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OLIDADO" sheetId="1" r:id="rId4"/>
    <sheet state="visible" name="PARAMETROS" sheetId="2" r:id="rId5"/>
    <sheet state="visible" name="ESTACIONID" sheetId="3" r:id="rId6"/>
  </sheets>
  <definedNames>
    <definedName hidden="1" localSheetId="0" name="Z_447FBDF2_9A77_4B4B_8322_3B6D08982A32_.wvu.FilterData">CONSOLIDADO!$B$1:$B$781</definedName>
  </definedNames>
  <calcPr/>
  <customWorkbookViews>
    <customWorkbookView activeSheetId="0" maximized="1" windowHeight="0" windowWidth="0" guid="{447FBDF2-9A77-4B4B-8322-3B6D08982A32}" name="Filter 1"/>
  </customWorkbookViews>
</workbook>
</file>

<file path=xl/sharedStrings.xml><?xml version="1.0" encoding="utf-8"?>
<sst xmlns="http://schemas.openxmlformats.org/spreadsheetml/2006/main" count="1988" uniqueCount="1089">
  <si>
    <t>CODIGO</t>
  </si>
  <si>
    <t>ESTACIONID</t>
  </si>
  <si>
    <t>RIOID</t>
  </si>
  <si>
    <t>CAMPANAID</t>
  </si>
  <si>
    <t>FECHA</t>
  </si>
  <si>
    <t>TIPO</t>
  </si>
  <si>
    <t>OBSERVACIONES</t>
  </si>
  <si>
    <t>HORA_INICIAL</t>
  </si>
  <si>
    <t>HORA_FINAL</t>
  </si>
  <si>
    <t>Base</t>
  </si>
  <si>
    <t>Altura</t>
  </si>
  <si>
    <t>Caudal_1</t>
  </si>
  <si>
    <t>Caudal_2</t>
  </si>
  <si>
    <t>Caudal_3</t>
  </si>
  <si>
    <t>Caudal_4</t>
  </si>
  <si>
    <t>Caudal_5</t>
  </si>
  <si>
    <t>Caudal_Prom</t>
  </si>
  <si>
    <t>pH_1</t>
  </si>
  <si>
    <t>pH_2</t>
  </si>
  <si>
    <t>pH_3</t>
  </si>
  <si>
    <t>pH_4</t>
  </si>
  <si>
    <t>pH_5</t>
  </si>
  <si>
    <t>pH_Prom</t>
  </si>
  <si>
    <t>Temp_1</t>
  </si>
  <si>
    <t>Temp_2</t>
  </si>
  <si>
    <t>Temp_3</t>
  </si>
  <si>
    <t>Temp_4</t>
  </si>
  <si>
    <t>Temp_5</t>
  </si>
  <si>
    <t>Temp_Prom</t>
  </si>
  <si>
    <t>Cond_1</t>
  </si>
  <si>
    <t>Cond_2</t>
  </si>
  <si>
    <t>Cond_3</t>
  </si>
  <si>
    <t>Cond_4</t>
  </si>
  <si>
    <t>Cond_5</t>
  </si>
  <si>
    <t>Cond_Prom</t>
  </si>
  <si>
    <t>OD_1</t>
  </si>
  <si>
    <t>OD_2</t>
  </si>
  <si>
    <t>OD_3</t>
  </si>
  <si>
    <t>OD_4</t>
  </si>
  <si>
    <t>OD_5</t>
  </si>
  <si>
    <t>OD_Prom</t>
  </si>
  <si>
    <t>DBO5 Total</t>
  </si>
  <si>
    <t>DQO Total</t>
  </si>
  <si>
    <t>Sólidos Suspendidos Totales [SST]</t>
  </si>
  <si>
    <t>Grasas y Aceites</t>
  </si>
  <si>
    <t>SAAM</t>
  </si>
  <si>
    <t>Coliformes Totales</t>
  </si>
  <si>
    <t>Fósforo Total [P]</t>
  </si>
  <si>
    <t>Nitrógeno Total Kjeldahl [NTK]</t>
  </si>
  <si>
    <t>Coliformes Fecales</t>
  </si>
  <si>
    <t>Nitratos</t>
  </si>
  <si>
    <t>Nitritos</t>
  </si>
  <si>
    <t>Nitrógeno Total</t>
  </si>
  <si>
    <t>QLI-Villa del Diamante</t>
  </si>
  <si>
    <t>COORDENADAS GEOGRAFICAS N04°33'16,7''  W74°09'10,6''</t>
  </si>
  <si>
    <t>QLI-El Satélite</t>
  </si>
  <si>
    <t>COORDENADAS GEOGRAFICAS N04°34'10,4,  W74°08'52,4''</t>
  </si>
  <si>
    <t>QLI-Bella Flor</t>
  </si>
  <si>
    <t>COORDENADAS GEOGRAFICAS N04°32'43,4'',  W74°09'30,2''</t>
  </si>
  <si>
    <t>QLI-San Francisco</t>
  </si>
  <si>
    <t>COORDENADAS GEOGRAFICAS N04°33'33,3'',  W74°09'0,08''</t>
  </si>
  <si>
    <t>QZA-Meissen</t>
  </si>
  <si>
    <t>Coordenadas Geograficas N04°33'34,0, W74°07'54,7''</t>
  </si>
  <si>
    <t>CRN-Entre Ríos</t>
  </si>
  <si>
    <t>Coordenadas Geograficas N04°40'59,5, W74°04'15,0''</t>
  </si>
  <si>
    <t>CMO-Pepe Sierra</t>
  </si>
  <si>
    <t>Coordenadas Geograficas N04°41'48,8" W74°03'13.2"</t>
  </si>
  <si>
    <t>CMO-Cantón Norte</t>
  </si>
  <si>
    <t>Coordenadas Geograficas N04°41'03,3" W74°01'51.8"</t>
  </si>
  <si>
    <t>Coordenadas Geograficas N04°33'33,3" W74°09'30,2''</t>
  </si>
  <si>
    <t>CMO-Alhambra</t>
  </si>
  <si>
    <t>Coordenadas Geograficas N04°41'49,0" W74°03'37.6"</t>
  </si>
  <si>
    <t>Coordenadas Geograficas N04°33'16,7" W74°09'10,6''</t>
  </si>
  <si>
    <t>Coordenadas Geograficas N04°33'33,3" W74°09'00,9''</t>
  </si>
  <si>
    <t>QSL-Alfonso López</t>
  </si>
  <si>
    <t>Coordenadas Geograficas N04°30'42,9" W74°06'26,0''</t>
  </si>
  <si>
    <t>Coordenadas Geograficas N04°34'10,7" W74°08'52.1"</t>
  </si>
  <si>
    <t>CMO-Santa Ana</t>
  </si>
  <si>
    <t>Coordenadas Geograficas N04°41'36,7" W74°02'26.5"</t>
  </si>
  <si>
    <t>QZA-Quindío</t>
  </si>
  <si>
    <t>Coordenadas Geograficas N04°32'25,21, W74°05'11,40''</t>
  </si>
  <si>
    <t>COR-Prado Veraniego</t>
  </si>
  <si>
    <t>Coordenadas Geograficas N04°43'00,7, W74°03'42,7''</t>
  </si>
  <si>
    <t>QZA-Molinos</t>
  </si>
  <si>
    <t>Coordenadas Geograficas N04°33'01,5, W74°06'46,4''</t>
  </si>
  <si>
    <t>CRN-La Castellana</t>
  </si>
  <si>
    <t>Coordenadas Geograficas N04°40'41,5, W74°03'40,7''</t>
  </si>
  <si>
    <t>COR-Humedal Córdoba</t>
  </si>
  <si>
    <t>Coordenadas Geograficas N04°42'08,0, W74°04'13,4''</t>
  </si>
  <si>
    <t>COR-Victoria Norte</t>
  </si>
  <si>
    <t>Coordenadas Geograficas N04°43'43,7, W74°03'23,5''</t>
  </si>
  <si>
    <t>HCO-Los Lagartos</t>
  </si>
  <si>
    <t>Coordenadas Geograficas N04°42'21,4, W74°05'16,3''</t>
  </si>
  <si>
    <t>QZA-Entre Nubes</t>
  </si>
  <si>
    <t>Coordenadas Geograficas N04°32'55,1, W74°06'03,5''</t>
  </si>
  <si>
    <t>CRN-Quebrada Chicó</t>
  </si>
  <si>
    <t>Coordenadas Geograficas N04°40'08,4, W74°02'44,8''</t>
  </si>
  <si>
    <t>CRN-El Virrey</t>
  </si>
  <si>
    <t>Coordenadas Geograficas N04°40'29,5, W74°03'27,6''</t>
  </si>
  <si>
    <t>Coordenadas Geograficas N04°30'42,9" , W74°06'26,0''</t>
  </si>
  <si>
    <t>QSL-Portal Usme</t>
  </si>
  <si>
    <t>Coordenadas Geograficas N04°31'43,6" , W74°07'15,0''</t>
  </si>
  <si>
    <t>QSL-Barranquillita</t>
  </si>
  <si>
    <t>Coordenadas Geograficas N04°31'16,9" , W74°06'58,1''</t>
  </si>
  <si>
    <t>QTR-Quiba</t>
  </si>
  <si>
    <t>Coordenadas Geograficas N04°32'11,0" , W74°08'22,3''</t>
  </si>
  <si>
    <t>QTR-Acapulco</t>
  </si>
  <si>
    <t>Coordenadas Geograficas N04°32'25,3" , W74°08'03,9''</t>
  </si>
  <si>
    <t>Coordenadas Geograficas N04°32'58,3" , W74°06'51,1''</t>
  </si>
  <si>
    <t>Coordenadas Geograficas N04°32'24,6", W74°05'11,3''</t>
  </si>
  <si>
    <t>Coordenadas Geograficas N04°32'55,1", W74°06'04,2''</t>
  </si>
  <si>
    <t>Coordenadas Geograficas N04°33'33,8", W74°07'54,6''</t>
  </si>
  <si>
    <t>Coordenadas Geograficas N04°40'41,7", W74°03'40,8''</t>
  </si>
  <si>
    <t>Coordenadas Geograficas N04°43'43,7" W74°03'23,5''</t>
  </si>
  <si>
    <t>COR-Britalia</t>
  </si>
  <si>
    <t>Coordenadas Geograficas N04°45'06,3" W74°03'11,4''</t>
  </si>
  <si>
    <t>CON-Callejas</t>
  </si>
  <si>
    <t>Coordenadas Geograficas N04°42'22,0" W74°02'55,2''</t>
  </si>
  <si>
    <t>CON-Bella Suiza</t>
  </si>
  <si>
    <t>Coordenadas Geograficas N04°42'49,3, W74°02'07,7''</t>
  </si>
  <si>
    <t>CON-Country</t>
  </si>
  <si>
    <t>Coordenadas Geograficas N04°43'02,0, W74°02'43,9''</t>
  </si>
  <si>
    <t>Coordenadas Geograficas N04°43'00,4 W74°03'42,9''</t>
  </si>
  <si>
    <t>Coordenadas Geograficas N04°42'07,8 W74°04'13,8''</t>
  </si>
  <si>
    <t>Coordenadas Geograficas N04°42'21,4 W74°05'16,2''</t>
  </si>
  <si>
    <t>Coordenadas Geograficas N04°32'25,4 W74°08'04,1''</t>
  </si>
  <si>
    <t>QTR-Mochuelo Bajo</t>
  </si>
  <si>
    <t>Coordenadas Geograficas N04°32'02,6 W74°08'28,5''</t>
  </si>
  <si>
    <t>Coordenadas Geograficas N04°32'11,2 W74°08'22,2''</t>
  </si>
  <si>
    <t>CON-Camino del Contador</t>
  </si>
  <si>
    <t>Coordenadas Geograficas N04°42'27,9 W74°03'36,0''</t>
  </si>
  <si>
    <t>QYO-Bolonia</t>
  </si>
  <si>
    <t>Coordenadas Geograficas N04°30'22,5, W74°06'32,8''</t>
  </si>
  <si>
    <t>QYO-Arrayanal</t>
  </si>
  <si>
    <t>Coordenadas Geograficas N04°29'57,2, W74°05'52,7''</t>
  </si>
  <si>
    <t>QYO-Monte Blanco</t>
  </si>
  <si>
    <t>Coordenadas Geograficas N04°30'14,9, W74°07'28,1''</t>
  </si>
  <si>
    <t>Coordenadas Geograficas N04°41'03,3, W74°01'51,8''</t>
  </si>
  <si>
    <t>QCH-Cantarrana</t>
  </si>
  <si>
    <t>Coordenadas Geograficas N04°29'51,2, W74°07'14,6''</t>
  </si>
  <si>
    <t>Coordenadas Geograficas N04°41'48,8, W74°03'13,2''</t>
  </si>
  <si>
    <t>Coordenadas Geograficas N04°41'51,2, W74°03'42,1''</t>
  </si>
  <si>
    <t>Coordenadas Geograficas N04°42'22,3, W74°02'55,3''</t>
  </si>
  <si>
    <t>Coordenadas Geograficas N04°42'49,7, W74°02'08,5''</t>
  </si>
  <si>
    <t>Coordenadas Geograficas N04°41'36,5, W74°02'26,1''</t>
  </si>
  <si>
    <t>QCH-La Orquídea</t>
  </si>
  <si>
    <t>Coordenadas Geograficas N04°29'45,0, W74°06'28,4''</t>
  </si>
  <si>
    <t>N/A</t>
  </si>
  <si>
    <t>Coordenadas Geograficas N04°42'27,9, W74°03'36,0''</t>
  </si>
  <si>
    <t>Coordenadas Geograficas N04°29'57,9, W74°05'53,2''</t>
  </si>
  <si>
    <t>Coordenadas Geograficas N04°32'03,2" , W74°08'27,9''</t>
  </si>
  <si>
    <t>Coordenadas Geograficas N04°40'08,7", W74°02'45,5''</t>
  </si>
  <si>
    <t>Coordenadas Geograficas N04°40'50,7", W74°04'14,7''</t>
  </si>
  <si>
    <t>Coordenadas Geograficas N04°29'51,2", W74°07'14,6''</t>
  </si>
  <si>
    <t>Coordenadas Geograficas N04°40'28,7", W74°03'26,9''</t>
  </si>
  <si>
    <t>Coordenadas Geograficas N04°29'45,0", W74°06'28,4''</t>
  </si>
  <si>
    <t>Coordenadas Geograficas N04°31'16,9" W74°06'58,1''</t>
  </si>
  <si>
    <t>Coordenadas Geograficas N04°31'43,6"  W74°07'15,0''</t>
  </si>
  <si>
    <t>Coordenadas Geograficas N04°45'06,3, W74°03'11,4''</t>
  </si>
  <si>
    <t>2579-17
141142</t>
  </si>
  <si>
    <t>2580-17
141143</t>
  </si>
  <si>
    <t>NA</t>
  </si>
  <si>
    <t>2581-17
141144</t>
  </si>
  <si>
    <t>2582-17
141145</t>
  </si>
  <si>
    <t>2583-17
141204</t>
  </si>
  <si>
    <t>2584-17
141205</t>
  </si>
  <si>
    <t>2585-17
141206</t>
  </si>
  <si>
    <t>2620-17
141303</t>
  </si>
  <si>
    <t>2621-17
141304</t>
  </si>
  <si>
    <t>2622-17
141305</t>
  </si>
  <si>
    <t>2623-17
141306</t>
  </si>
  <si>
    <t>2641-17
141638</t>
  </si>
  <si>
    <t>2642-17
141639</t>
  </si>
  <si>
    <t>2643-17
141640</t>
  </si>
  <si>
    <t>2674-17
141762</t>
  </si>
  <si>
    <t>2675-17
141763</t>
  </si>
  <si>
    <t>2676-17
141764</t>
  </si>
  <si>
    <t>2677-17
141765</t>
  </si>
  <si>
    <t>2715-17
141865</t>
  </si>
  <si>
    <t>2716-17
141866</t>
  </si>
  <si>
    <t>2731-17
141890</t>
  </si>
  <si>
    <t>2732-17
141891</t>
  </si>
  <si>
    <t>2744-17
141948</t>
  </si>
  <si>
    <t>2745-17
141949</t>
  </si>
  <si>
    <t>2746-17
141950</t>
  </si>
  <si>
    <t>2735-17
141972</t>
  </si>
  <si>
    <t>2736-17
141973</t>
  </si>
  <si>
    <t>2766-17
142074</t>
  </si>
  <si>
    <t>2767-17
142075</t>
  </si>
  <si>
    <t>2768-17
142076</t>
  </si>
  <si>
    <t>2769-17
142077</t>
  </si>
  <si>
    <t>2770-17
142099</t>
  </si>
  <si>
    <t>2771-17
142100</t>
  </si>
  <si>
    <t>2772-17
142101</t>
  </si>
  <si>
    <t>2773-17
142102</t>
  </si>
  <si>
    <t>2790-17
142154</t>
  </si>
  <si>
    <t>2791-17
142155</t>
  </si>
  <si>
    <t>2794-17
142158</t>
  </si>
  <si>
    <t>2795-17
142159</t>
  </si>
  <si>
    <t>2834-17
142286</t>
  </si>
  <si>
    <t>2835-17
142287</t>
  </si>
  <si>
    <t>2836-17
142288</t>
  </si>
  <si>
    <t>2837-17
142289</t>
  </si>
  <si>
    <t>1974-17
139624</t>
  </si>
  <si>
    <t>1975-17
139625</t>
  </si>
  <si>
    <t>1989-17
139667</t>
  </si>
  <si>
    <t>1990-17
139668</t>
  </si>
  <si>
    <t>1991-17
139669</t>
  </si>
  <si>
    <t>2254-17
140168</t>
  </si>
  <si>
    <t>2255-17
140169</t>
  </si>
  <si>
    <t>2256-17
140170</t>
  </si>
  <si>
    <t>2257-17
140171</t>
  </si>
  <si>
    <t>2285-17
140181</t>
  </si>
  <si>
    <t>2286-17
140182</t>
  </si>
  <si>
    <t>2287-17 
140183</t>
  </si>
  <si>
    <t>2461-17
140764</t>
  </si>
  <si>
    <t>2484-17
140777</t>
  </si>
  <si>
    <t xml:space="preserve"> SE REALIZA CAUDAL POR EL METODO VOLUMETRICO EN SALIDA DE TUBERIA - TENIENDO ESTO EN CUENTA NO APLICA PERFIL TRANVERSAL</t>
  </si>
  <si>
    <t>2485-17
140778</t>
  </si>
  <si>
    <t>2488-17
140797</t>
  </si>
  <si>
    <t>2489-17
140798</t>
  </si>
  <si>
    <t>1480-17
138577</t>
  </si>
  <si>
    <t>1477-17
138579</t>
  </si>
  <si>
    <t>1478-17
138580</t>
  </si>
  <si>
    <t>1479-17
138581</t>
  </si>
  <si>
    <t>1584-17
138891</t>
  </si>
  <si>
    <t>1585-17
138892</t>
  </si>
  <si>
    <t>1586-17
138893</t>
  </si>
  <si>
    <t>1587-17
138894</t>
  </si>
  <si>
    <t>1588-17
138895</t>
  </si>
  <si>
    <t>1589-17
138896</t>
  </si>
  <si>
    <t>1590-17
138897</t>
  </si>
  <si>
    <t>1591-17
138898</t>
  </si>
  <si>
    <t>658-18 - 152379</t>
  </si>
  <si>
    <t>659-18 -152380</t>
  </si>
  <si>
    <t>663-18 - 152375</t>
  </si>
  <si>
    <t>664-18 - 152376</t>
  </si>
  <si>
    <t>665-18 - 152377</t>
  </si>
  <si>
    <t>560-18 - 152137</t>
  </si>
  <si>
    <t>561-18 - 152138</t>
  </si>
  <si>
    <t>562-18 - 152139</t>
  </si>
  <si>
    <t>563-18 - 152134</t>
  </si>
  <si>
    <t>564-18 - 152135</t>
  </si>
  <si>
    <t>565-18 - 152136</t>
  </si>
  <si>
    <t>575-18 - 152180</t>
  </si>
  <si>
    <t>576-18 - 152181</t>
  </si>
  <si>
    <t>577-18 - 152182</t>
  </si>
  <si>
    <t>578-18 - 152183</t>
  </si>
  <si>
    <t>579-18 -  152184</t>
  </si>
  <si>
    <t>580-18 -  152185</t>
  </si>
  <si>
    <t>470-18 - 152002</t>
  </si>
  <si>
    <t>471-18 - 152003</t>
  </si>
  <si>
    <t>023-2018 - 151431</t>
  </si>
  <si>
    <t>024-2018 - 151432</t>
  </si>
  <si>
    <t>025-2018 - 151433</t>
  </si>
  <si>
    <t>026-2018 - 151434</t>
  </si>
  <si>
    <t>027-2018 - 151427</t>
  </si>
  <si>
    <t>028-2018 . 151428</t>
  </si>
  <si>
    <t>029-2018 - 151429</t>
  </si>
  <si>
    <t>030-2018 - 151430</t>
  </si>
  <si>
    <t>063-18 - 151447</t>
  </si>
  <si>
    <t>064-18 - 151448</t>
  </si>
  <si>
    <t>065-18 - 151449</t>
  </si>
  <si>
    <t>066-18 - 151444</t>
  </si>
  <si>
    <t>067-18 - 151445</t>
  </si>
  <si>
    <t>068-18 - 151446</t>
  </si>
  <si>
    <t>093-18 - 151514</t>
  </si>
  <si>
    <t>094-18 - 151515</t>
  </si>
  <si>
    <t>095-18 - 151516</t>
  </si>
  <si>
    <t>096-18 - 151517</t>
  </si>
  <si>
    <t>097-18 - 151518</t>
  </si>
  <si>
    <t>098-18 - 151519</t>
  </si>
  <si>
    <t>099-18 - 151520</t>
  </si>
  <si>
    <t>100-18 - 151521</t>
  </si>
  <si>
    <t>125-18 - 151564</t>
  </si>
  <si>
    <t>126-18 - 151565</t>
  </si>
  <si>
    <t>127-18 - 151566</t>
  </si>
  <si>
    <t>128-18 - 151567</t>
  </si>
  <si>
    <t>129-18 - 151568</t>
  </si>
  <si>
    <t>130-18 - 151569</t>
  </si>
  <si>
    <t>173-18 - 151638</t>
  </si>
  <si>
    <t>222-18 - 151645</t>
  </si>
  <si>
    <t>223-18 - 151646</t>
  </si>
  <si>
    <t>224-18 - 151647</t>
  </si>
  <si>
    <t>341-18 - 151785</t>
  </si>
  <si>
    <t>342-18 - 151786</t>
  </si>
  <si>
    <t>814-18 - 152707 - 152736</t>
  </si>
  <si>
    <t>816-18 - 152702</t>
  </si>
  <si>
    <t>817-18  - 152703</t>
  </si>
  <si>
    <t>818-18 -  152704</t>
  </si>
  <si>
    <t>849-18 - 152762</t>
  </si>
  <si>
    <t>860-18 - 152728</t>
  </si>
  <si>
    <t>861-18 - 152729</t>
  </si>
  <si>
    <t>862-18 - 152730</t>
  </si>
  <si>
    <t>885-18 - 152865</t>
  </si>
  <si>
    <t>886-18 - 152776</t>
  </si>
  <si>
    <t>887-18 - 152775</t>
  </si>
  <si>
    <t>716-18 -152437</t>
  </si>
  <si>
    <t>717-18 - 152438</t>
  </si>
  <si>
    <t>718-18 -152439</t>
  </si>
  <si>
    <t>719-18 - 152444</t>
  </si>
  <si>
    <t>720-18 - 152445</t>
  </si>
  <si>
    <t>721-18 - 152446</t>
  </si>
  <si>
    <t>1026-18 - 153166</t>
  </si>
  <si>
    <t>1027-18 - 153167</t>
  </si>
  <si>
    <t>2002AN01</t>
  </si>
  <si>
    <t>2002AN02</t>
  </si>
  <si>
    <t>2002AN03</t>
  </si>
  <si>
    <t>NUBLADO</t>
  </si>
  <si>
    <t>2702HA01</t>
  </si>
  <si>
    <t>2702HA02</t>
  </si>
  <si>
    <t>0603WI01</t>
  </si>
  <si>
    <t>0603WI04</t>
  </si>
  <si>
    <t>0603WI05</t>
  </si>
  <si>
    <t>1403AN01</t>
  </si>
  <si>
    <t>SOLEADO</t>
  </si>
  <si>
    <t>1403AN02</t>
  </si>
  <si>
    <t>1403AN03</t>
  </si>
  <si>
    <t>1403AN04</t>
  </si>
  <si>
    <t>2003AN01</t>
  </si>
  <si>
    <t>2003AN02</t>
  </si>
  <si>
    <t>2003AN03</t>
  </si>
  <si>
    <t>2003AN04</t>
  </si>
  <si>
    <t>2803AN01</t>
  </si>
  <si>
    <t>2803AN03</t>
  </si>
  <si>
    <t>2803AN04</t>
  </si>
  <si>
    <t>2803WI04</t>
  </si>
  <si>
    <t>2903HA01</t>
  </si>
  <si>
    <t>0404HA01</t>
  </si>
  <si>
    <t>0404HA02</t>
  </si>
  <si>
    <t>0404HA03</t>
  </si>
  <si>
    <t>0805AZ01</t>
  </si>
  <si>
    <t>0805AZ02</t>
  </si>
  <si>
    <t>0805AZ03</t>
  </si>
  <si>
    <t>0805SA01</t>
  </si>
  <si>
    <t>0805SA02</t>
  </si>
  <si>
    <t>0805SA03</t>
  </si>
  <si>
    <t>LLUVIA DEBIL</t>
  </si>
  <si>
    <t>0805SA04</t>
  </si>
  <si>
    <t>0805SI01</t>
  </si>
  <si>
    <t>0805SI02</t>
  </si>
  <si>
    <t>0805SI03</t>
  </si>
  <si>
    <t>0805SI04</t>
  </si>
  <si>
    <t>1505SI01</t>
  </si>
  <si>
    <t>1505SI02</t>
  </si>
  <si>
    <t>1505SI03</t>
  </si>
  <si>
    <t>1505SA01</t>
  </si>
  <si>
    <t>1505SA02</t>
  </si>
  <si>
    <t>1505SA03</t>
  </si>
  <si>
    <t>1605AZ01</t>
  </si>
  <si>
    <t>1605AZ02</t>
  </si>
  <si>
    <t>1705JG01</t>
  </si>
  <si>
    <t>1705JG02</t>
  </si>
  <si>
    <t>2205JG01</t>
  </si>
  <si>
    <t>2205JG02</t>
  </si>
  <si>
    <t>2205JG03</t>
  </si>
  <si>
    <t>2205FM01</t>
  </si>
  <si>
    <t>2205FM02</t>
  </si>
  <si>
    <t>2205FM03</t>
  </si>
  <si>
    <t>2205SA01</t>
  </si>
  <si>
    <t>2205SA03</t>
  </si>
  <si>
    <t>0606HA01</t>
  </si>
  <si>
    <t>0606HA02</t>
  </si>
  <si>
    <t>0606HA03</t>
  </si>
  <si>
    <t>1906SA01</t>
  </si>
  <si>
    <t>1906SA03</t>
  </si>
  <si>
    <t>1906HA01</t>
  </si>
  <si>
    <t>1906HA02</t>
  </si>
  <si>
    <t>1906AN01</t>
  </si>
  <si>
    <t>1906AN02</t>
  </si>
  <si>
    <t>2006WI01</t>
  </si>
  <si>
    <t>2006WI02</t>
  </si>
  <si>
    <t>2006WI03</t>
  </si>
  <si>
    <t>2006SE01</t>
  </si>
  <si>
    <t>2006SE02</t>
  </si>
  <si>
    <t>2706HA01</t>
  </si>
  <si>
    <t>2706HA02</t>
  </si>
  <si>
    <t>2706SE01</t>
  </si>
  <si>
    <t>2706SE02</t>
  </si>
  <si>
    <t>2806HA01</t>
  </si>
  <si>
    <t>0312WI01</t>
  </si>
  <si>
    <t>El cuerpo de agua no presentó  coloración. En el punto de muestreo no se percibió  olor.  Lecho natural.  Se tomaron las muestras puntuales a las 8:00</t>
  </si>
  <si>
    <t>0312WI02</t>
  </si>
  <si>
    <t>El cuerpo de agua no presentó  coloración. En el punto de muestreo no se percibió  olor.  Lecho natural.  Hubo presencia de espumas en la lamina de agua. Se tomaron las muestras puntuales a las 11:00</t>
  </si>
  <si>
    <t>0312WI03</t>
  </si>
  <si>
    <t>El cuerpo de agua no presentó  coloración. En el punto de muestreo no se percibió  olor.  Lecho natural.   Se tomaron las muestras puntuales a las 13:30</t>
  </si>
  <si>
    <t>0312SE01</t>
  </si>
  <si>
    <t>La fuente hídrica presentó material orgánico flotante. Se presentaron lluvias anteriores al muestreo. El cuerpo de agua no presentó  coloración. En el punto de muestreo no se percibió  olor.  Lecho natural.</t>
  </si>
  <si>
    <t>0312SE02</t>
  </si>
  <si>
    <t>La fuente hídrica presentó material vegetal flotante. Se presentaron lluvias anteriores al muestreo. El cuerpo de agua presentó  coloración café claro. En el punto de muestreo no se percibió  olor.  Lecho natural.</t>
  </si>
  <si>
    <t>0312SE03</t>
  </si>
  <si>
    <t>La fuente hídrica presentó material flotante, como residuos. Se presentaron lluvias anteriores al muestreo. El cuerpo de agua presentó  coloración café claro. En el punto de muestreo no se percibió  olor.  Lecho natural.</t>
  </si>
  <si>
    <t>0312SE04</t>
  </si>
  <si>
    <t>La fuente hídrica presentó material flotante, como residuos. Se presentaron lluvias anteriores al muestreo. El cuerpo de agua presentó  coloración café claro. En el punto de muestreo no se percibió  olor.  Lecho natural.  Por condiciones de la sección transversal no fue posible realizar la medición de caudal del quinto aforo.</t>
  </si>
  <si>
    <t>0512AN01</t>
  </si>
  <si>
    <t>El cuerpo de agua  presentó  coloración gris claro. En el punto de muestreo no se percibió  olor.  Canal en concreto.   Se tomaron las muestras puntuales en la alícuota #3 (7:00). Se realizó aforo aguas arriba,  margen derecho. En la alícuota #5 se evidenció un descarga de una estructura la cual produce aumento de caudal.</t>
  </si>
  <si>
    <t>0512AN02</t>
  </si>
  <si>
    <t>La fuente hídrica presentó material vegetal flotante.  El cuerpo de agua no presentó  coloración. En el punto de muestreo no se percibió  olor.  Canal en concreto.   Se tomaron las muestras puntuales en la alícuota #3 (10:15).</t>
  </si>
  <si>
    <t>0512AN03</t>
  </si>
  <si>
    <t>El cuerpo de agua  presentó  coloración gris claro. En el punto de muestreo no se percibió  olor.  Canal en concreto.   Se tomaron las muestras puntuales en la alícuota #3 (13:45).</t>
  </si>
  <si>
    <t>0512SE01</t>
  </si>
  <si>
    <t>El cuerpo de agua presentó  coloración gris claro. En el punto de muestreo se percibió  olor.  Canal en concreto.   Se tomaron las muestras puntuales en la alícuota #3 (7:00). El aforo fue realizado después de un represamiento en tierra que presento el canal.</t>
  </si>
  <si>
    <t>0512SE02</t>
  </si>
  <si>
    <t>El cuerpo de agua presentó  coloración gris claro. En el punto de muestreo se percibió  olor.  Canal en concreto.   Se tomaron las muestras puntuales en la alícuota #3 (10:15). Después de la segunda alícuota se observó una disminución en el caudal.</t>
  </si>
  <si>
    <t>0512SA01</t>
  </si>
  <si>
    <t>El cuerpo de agua no presentó  coloración. En el punto de muestreo no se percibió  olor.  Canal en concreto.   Se tomaron las muestras puntuales en la alícuota #3 (07:00).</t>
  </si>
  <si>
    <t>0512SA02</t>
  </si>
  <si>
    <t>El cuerpo de agua no presentó  coloración. En el punto de muestreo se percibió  olor característico a agua residual.  Canal en concreto.   Se tomaron las muestras puntuales en la alícuota #3 (10:15). Aproximadamente 8 m antes del punto de muestreo se evidenció un vertimiento. Las muestras fueron tomadas 20 m aguas arriba, por obras civiles que se llevaban a cabo en el lugar.</t>
  </si>
  <si>
    <t>0512SA03</t>
  </si>
  <si>
    <t>La fuente hídrica presentó material flotante, como residuos de basura.  El cuerpo de agua presentó  coloración gris claro. En el punto de muestreo se percibió  olor agua residual.  Canal en concreto.   Se tomaron las muestras puntuales en la alícuota #3 (13:15).</t>
  </si>
  <si>
    <t>0612HA01</t>
  </si>
  <si>
    <t>En el punto de muestreo no se percibió  olor.  Canal en concreto.   Se tomaron las muestras puntuales en la alícuota #3 (8:40).</t>
  </si>
  <si>
    <t>0612HA02</t>
  </si>
  <si>
    <t>La fuente hídrica presentó material  flotante, como residuos convencionales.  El cuerpo de agua  presentó coloración café claro. En el punto de muestreo se percibió  olor. Canal en concreto.   Se tomaron las muestras puntuales en la alícuota #3 (11:00). El aforo se realizo sobre la sección transversal, localizada a  55 m aguas arriba del paso vehicular de la Kr 53</t>
  </si>
  <si>
    <t>0612SE01</t>
  </si>
  <si>
    <t>El cuerpo de agua  presentó coloración gris claro. En el punto de muestreo no se percibió  olor.  Canal en concreto.   Se tomaron las muestras puntuales en la alícuota #3 (7:30).</t>
  </si>
  <si>
    <t>0612SE02</t>
  </si>
  <si>
    <t>La fuente hídrica presentó material vegetal flotante.  El cuerpo de agua  presentó coloración gris oscuro. En el punto de muestreo se percibió  olor. Canal en concreto.   Se tomaron las muestras puntuales en la alícuota #3 (12:00).</t>
  </si>
  <si>
    <t>0612WI01</t>
  </si>
  <si>
    <t>El cuerpo de agua  presentó coloración amarillo claro. En el punto de muestreo no se percibió  olor. La lamina de agua presentó iridiscencia. Canal en tierra.   Se tomaron las muestras puntuales en la alícuota #3 (8:00).</t>
  </si>
  <si>
    <t>-</t>
  </si>
  <si>
    <t>0612WI02</t>
  </si>
  <si>
    <t>La fuente hídrica presentó material vegetal flotante y residuos solidos.  El cuerpo de agua  presentó coloración amarillo. En el punto de muestreo se percibió  olor. La lamina de agua presentó iridiscencia y hubo presencia de espumas en el agua. Lecho natural.   Se tomaron las muestras puntuales en la alícuota #3 (10:30).</t>
  </si>
  <si>
    <t>0912SE01</t>
  </si>
  <si>
    <t>La fuente hídrica presentó material  flotante, como plásticos y telas.  El cuerpo de agua  presentó coloración amarillo claro. En el punto de muestreo no se percibió  olor. Lecho natural.   Se tomaron las muestras puntuales en la alícuota #3 (07:00). El aforo fue realizado 50 m aguas arriba de la ubicación original.</t>
  </si>
  <si>
    <t>0912SE02</t>
  </si>
  <si>
    <t>La fuente hídrica presentó material  flotante, como plásticos.  El cuerpo de agua  presentó coloración amarillo claro. En el punto de muestreo no se percibió  olor. Lecho natural.   Se tomaron las muestras puntuales en la alícuota #3 (11:00).</t>
  </si>
  <si>
    <t>0912SE03</t>
  </si>
  <si>
    <t>La fuente hídrica presentó material  flotante, como plásticos.  El cuerpo de agua  presentó coloración amarillo. En el punto de muestreo no se percibió  olor. Lecho natural.   Se tomaron las muestras puntuales en la alícuota #3 (13:15).</t>
  </si>
  <si>
    <t>0912WI01</t>
  </si>
  <si>
    <t>El cuerpo de agua  presentó coloración gris. En el punto de muestreo no se percibió  olor.  Lecho Natural.   Se tomaron las muestras puntuales en la alícuota #3 (9:30).</t>
  </si>
  <si>
    <t>0912WI02</t>
  </si>
  <si>
    <t>El cuerpo de agua  presentó coloración café. En el punto de muestreo no se percibió  olor.  Lecho Natural.   Se tomaron las muestras puntuales en la alícuota #3 (12:00). Durante el muestreo se evidenció solidos suspendidos, provenientes del vertimiento de ladrillera Las Marías, vertimiento que fue constante durante todo el muestreo.</t>
  </si>
  <si>
    <t>0912WI03</t>
  </si>
  <si>
    <t>El cuerpo de agua  presentó coloración café. En el punto de muestreo no se percibió  olor.  Lecho Natural.   Se tomaron las muestras puntuales en la alícuota #3 (14:30).</t>
  </si>
  <si>
    <t>1012WI02</t>
  </si>
  <si>
    <t>La fuente hídrica presentó material  vegetal flotante.  El cuerpo de agua  presentó coloración gris claro. En el punto de muestreo se percibió  olor, característico a materia orgánica en descomposición. Lecho natural.   Se tomaron las muestras puntuales en la alícuota #3 (10:30).</t>
  </si>
  <si>
    <t>1012SE01</t>
  </si>
  <si>
    <t>La fuente hídrica presentó material  flotante, como plásticos y llantas.  El cuerpo de agua  presentó coloración amarillo claro. En el punto de muestreo no se percibió  olor. Lecho natural.   Se tomaron las muestras puntuales en la alícuota #3 (07:05).</t>
  </si>
  <si>
    <t>1012SE02</t>
  </si>
  <si>
    <t>La fuente hídrica presentó material  flotante, como plásticos.  El cuerpo de agua  presentó coloración amarillo claro. En el punto de muestreo se percibió  olor, característico a agua residual domestica. Lecho natural.   Se tomaron las muestras puntuales en la alícuota #3 (09:15).</t>
  </si>
  <si>
    <t>1012SE03</t>
  </si>
  <si>
    <t>La fuente hídrica presentó material  flotante, como plásticos y palos.  El cuerpo de agua  presentó coloración gris. En el punto de muestreo se percibió  olor, característico a agua residual domestica. Lecho natural.   Se tomaron las muestras puntuales en la alícuota #3 (11:30).</t>
  </si>
  <si>
    <t>1012SE04</t>
  </si>
  <si>
    <t>La fuente hídrica presentó material  flotante, como plásticos y textil.  El cuerpo de agua  presentó coloración gris. En el punto de muestreo se percibió  olor, característico a agua residual domestica. Lecho natural.   Se tomaron las muestras puntuales en la alícuota #3 (14:00).</t>
  </si>
  <si>
    <t>1012AN01</t>
  </si>
  <si>
    <t>El cuerpo de agua  presentó coloración gris y presencia de espumas en la lámina de agua. En el punto de muestreo no se percibió  olor.  Canal en concreto.   Se tomaron las muestras puntuales en la alícuota #3 (08:30). Las muestras fueron tomadas a la salida de una tubería que entrega al canal.</t>
  </si>
  <si>
    <t>1012AN02</t>
  </si>
  <si>
    <t>El cuerpo de agua  presentó coloración gris . En el punto de muestreo  se percibió  olor, característico a agua residual.  Canal en concreto.   Se tomaron las muestras puntuales en la alícuota #3 (11:00).</t>
  </si>
  <si>
    <t>1012AN03</t>
  </si>
  <si>
    <t>El cuerpo de agua  presentó coloración gris . Canal en concreto.   Se tomaron las muestras puntuales en la alícuota #3 (14:35).</t>
  </si>
  <si>
    <t>1012AN04</t>
  </si>
  <si>
    <t>El cuerpo de agua  presentó coloración gris . Canal en concreto.   Se tomaron las muestras puntuales en la alícuota #3 (15:00).</t>
  </si>
  <si>
    <t>1601WI01</t>
  </si>
  <si>
    <t xml:space="preserve">La fuente hídrica no presentó material  flotante, iridiscencia ni coloración, no se percibió olor. Lecho canalizado.   Se tomaron las muestras puntuales en la alícuota #3 (07:00). </t>
  </si>
  <si>
    <t>1601WI02</t>
  </si>
  <si>
    <t>La fuente hídrica presentó coloración gris claro y se percibió olor. Lecho canalizado. No se evidencia material floitante, iridiscencia ni espumas. Se tomaron las muestras puntuales en la alícuota #3 (09:15). Durante el muestreo se observo obras dentro del canal aproximadamente 300mts aguas abajo, este tarabajo estaba cubierto con polisombra realizado por la empresa de acueducto y alcantarillado de bogota, donde estaba realizando matenimiento a las lozas del canal, por esta razon no se pudo realizar el muestreo mas arriba, ya que no dieron permiso y por la maquinaria dentro del canal.</t>
  </si>
  <si>
    <t>1601WI03</t>
  </si>
  <si>
    <t xml:space="preserve">La fuente hídrica presentó coloración gris claro y se percibió  olor e iridiscencia. Lecho canalizado. Se tomaron las muestras puntuales en la alícuota #3 (11:30). </t>
  </si>
  <si>
    <t>1601WI04</t>
  </si>
  <si>
    <t xml:space="preserve">La fuente hídrica presentó coloración gris claro y se percibió olor e iridiscencia, y material flotante  (residuos convencionales) Lecho canalizado.   Se tomaron las muestras puntuales en la alícuota #3 (15:00). </t>
  </si>
  <si>
    <t>1601HA01</t>
  </si>
  <si>
    <t>La fuente hídrica presentó coloración gris claro y se percibió olor, iridiscencia y material flotante (Materia Organica) Lecho canalizado. Se tomaron las muestras puntuales en la alícuota #3 (7:00). El punto de aforo se localiza 130 m aproximadamente aguas abajo del box coulvert.</t>
  </si>
  <si>
    <t>1601HA02</t>
  </si>
  <si>
    <t>La fuente hídrica presentó coloración gris claro. Lecho canalizado.   Se tomaron las muestras puntuales en la alícuota #3 (9:30). La seccion de aforo se localiza 90 m aproximadamente, aguas debajo de la tuberia de salida.</t>
  </si>
  <si>
    <t>1601HA03</t>
  </si>
  <si>
    <t>La fuente hídrica presentó coloración gris. Lecho canalizado. Se tomaron las muestras puntuales en la alícuota #3 (12:00). En la cuarta alicuota se presentan leves lluvias. Cambia la tonalidad del agua.</t>
  </si>
  <si>
    <t>1601HA04</t>
  </si>
  <si>
    <t xml:space="preserve">La fuente hídrica presentó coloración gris claro, No presento olor ni iridiscencia . Lecho canalizado.   Se tomaron las muestras puntuales en la alícuota #3 (17:00). </t>
  </si>
  <si>
    <t>1601AN01</t>
  </si>
  <si>
    <t xml:space="preserve">La fuente hídrica presentó material flotante (material vegetal), coloración tranparente, No presento olor ni iridiscencia . Lecho canalizado.   Se tomaron las muestras puntuales en la alícuota #3 (7:00). </t>
  </si>
  <si>
    <t>1601AN02</t>
  </si>
  <si>
    <t>La fuente hídrica presentó coloración amarillo claro, No presento olor ni iridiscencia . Lecho canalizado.   Se tomaron las muestras puntuales en la alícuota #3 (7:25). 
La georreferenciación en este punto fue suministrada por la SDA.</t>
  </si>
  <si>
    <t>1601AN03</t>
  </si>
  <si>
    <t xml:space="preserve">La fuente hídrica presentó coloración amarillo claro, No presento olor ni iridiscencia . Lecho canalizado.   Se tomaron las muestras puntuales en la alícuota #3 (10:00). </t>
  </si>
  <si>
    <t>1601AN04</t>
  </si>
  <si>
    <t>La fuente hídrica presentó coloración verde claro, No presento olor, espuma ni iridiscencia . Lecho canalizado. 
Se tomaron las muestras puntuales en la alícuota #3 (12:30). 
Se observa gran cantidad de algas.
Entre la tercera y cuarta alicuota se presentan leves lluvias.</t>
  </si>
  <si>
    <t>1601AN05</t>
  </si>
  <si>
    <t>La fuente hídrica presentó coloración gris claro, No presento olor, material flotante, espuma ni iridiscencia  Lecho natural.   Se tomaron las muestras puntuales en la alícuota #3 (15:30).</t>
  </si>
  <si>
    <t>2701WI01</t>
  </si>
  <si>
    <t xml:space="preserve">La fuente hídrica no presentó material  flotante. El cuerpo de agua  presentó coloración gris claro. En el punto de muestreo no se percibió  olor. Lecho natural.   Se tomaron las muestras puntuales en la alícuota # 3 (07:00). </t>
  </si>
  <si>
    <t>2701WI02</t>
  </si>
  <si>
    <t xml:space="preserve">La fuente hídrica no presentó material  flotante. El cuerpo de agua  presentó coloración amarillo claro. En el punto de muestreo no se percibió  olor. Lecho natural.  Se perciben espumas en el cuerpo de agua.  Se tomaron las muestras puntuales en la alícuota # 3 (07:00). </t>
  </si>
  <si>
    <t>2701WI03</t>
  </si>
  <si>
    <t xml:space="preserve">La fuente hídrica no presentó material  flotante. El cuerpo de agua  presentó coloración amarilla. En el punto de muestreo no se percibió  olor ni espumas. Lecho natural.  Hay aumento y disminución de caudal durante las alícuota #2.  Se tomaron las muestras puntuales en la alícuota # 3 (12:00). </t>
  </si>
  <si>
    <t>2701SE01</t>
  </si>
  <si>
    <t xml:space="preserve">El cuerpo de agua  presentó coloración gris claro. En el punto de muestreo no se percibió  olor. Lecho natural.   Se tomaron las muestras puntuales en la alícuota # 3 (07:00). </t>
  </si>
  <si>
    <t>2701SE02</t>
  </si>
  <si>
    <t xml:space="preserve">La fuente hídrica no presentó material  flotante. El cuerpo de agua  presentó coloración gris. En el punto de muestreo no se percibió  olor. Lecho natural.   Se tomaron las muestras puntuales en la alícuota # 3 (9:30). </t>
  </si>
  <si>
    <t>2701SE03</t>
  </si>
  <si>
    <t xml:space="preserve">La fuente hídrica no presentó material  flotante. El cuerpo de agua  presentó coloración gris. En el punto de muestreo no se percibió  olor. Lecho Canalizado. Se tomaron las muestras puntuales en la alícuota # 3 (12:00). </t>
  </si>
  <si>
    <t>2701HA01</t>
  </si>
  <si>
    <t>La fuente hídrica no presentó material  flotante. El cuerpo de agua  presentó coloración amarillo claro. En el punto de muestreo no se percibió  olor. Lecho Natural. Se tomaron las muestras puntuales en la alícuota # 3 (07:20). La sección de aforo se localiza a unos 8 metros aguas arriba del paso vehicular de la Calle 89 C Sur. Se presentaron lluvias durante el monitoreo.</t>
  </si>
  <si>
    <t>2701HA02</t>
  </si>
  <si>
    <t>El cuerpo de agua  presentó coloración amarillo claro. En el punto de muestreo no se percibió  olor. Lecho Natural. Se tomaron las muestras puntuales en la alícuota # 3 (10:00). Se verifican los valores de caudal debido a que son menores a los registrados en el punto aguas arriba denominado QYO-ARRAYAL</t>
  </si>
  <si>
    <t>2701HA03</t>
  </si>
  <si>
    <t xml:space="preserve">La fuente hídrica presentó material  flotante (Plastico). El cuerpo de agua  presentó coloración amarillo. En el punto de muestreo no se percibió  olor. Lecho Natural. Se tomaron las muestras puntuales en la alícuota # 3 (12:20). </t>
  </si>
  <si>
    <t>2701AN01</t>
  </si>
  <si>
    <t>La fuente hídrica no presentó material  flotante. El cuerpo de agua  presentó coloración amarillo claro. En el punto de muestreo no se percibió  olor. Lecho Natural. Se tomaron las muestras puntuales en la alícuota # 3 (8:15). Se presenta cambio de coloración a café, en la última alícuota</t>
  </si>
  <si>
    <t>N.E.</t>
  </si>
  <si>
    <t>2701AN02</t>
  </si>
  <si>
    <t xml:space="preserve">La fuente hídrica si presentó material  flotante correspondiente a residuos convencionales. El cuerpo de agua  presentó coloración amarilla. En el punto de muestreo no se percibió  olor. Lecho Natural. Se tomaron las muestras puntuales en la alícuota # 3 (11:30). </t>
  </si>
  <si>
    <t>030220WI03</t>
  </si>
  <si>
    <t>La fuente hídrica presentó una coloración gris claro y olor. El cuerpo de agua presentó material flotante. Canal en concreto. Se tomó muestra puntual a las 11:00 alícuota 3.</t>
  </si>
  <si>
    <t>030220WI04</t>
  </si>
  <si>
    <t>La fuente hídrica presentó coloración gris claro, sin olor. El cuerpo de agua presentó material flotante, como materia orgánica. Canal en Concreto. Se tomó muestra puntual a las 13:40 alícuota 3.</t>
  </si>
  <si>
    <t>030220SA01</t>
  </si>
  <si>
    <t>La fuente hídrica presentó una coloración gris clara, sin olor. Canal en concreto. El aforo se realizó en la caída después del puente Kr 7.</t>
  </si>
  <si>
    <t>N.A</t>
  </si>
  <si>
    <t>040220WI02</t>
  </si>
  <si>
    <t>La fuente hídrica presentó coloración gris clara y material flotante correspondiente a residuos convencionales. Lecho Natural. Se tomó muestra puntual en la alícuota 3 (9:45)</t>
  </si>
  <si>
    <t>040220WI03</t>
  </si>
  <si>
    <t>La fuente hídrica presentó coloración gris, sin olor y espumas. Lecho natural. Se tomó muestra puntual en la alícuota 3 (12:30).</t>
  </si>
  <si>
    <t>040220HA02</t>
  </si>
  <si>
    <t xml:space="preserve">La fuente hídrica presenta coloración gris. La sección de aforo se ubicó a 20m aproximadamente del paso vehicular de la CLL 68C-sur.  En la alícuota Numero 4 se aumentó el nivel de agua por lo tanto aumento el caudal y se presentó espuma. Lecho natural. Se toman muestras puntuales en la alícuota 3 (9:30). </t>
  </si>
  <si>
    <t>040220HA03</t>
  </si>
  <si>
    <t xml:space="preserve">La fuente hídrica presentó coloración gris claro y espumas. Lecho natural. La sección de aforo se localiza 15m aproximadamente aguas arriba del Box Culvert. Se toman muestras puntuales en la alícuota 3 (12:30). </t>
  </si>
  <si>
    <t>040220FE02</t>
  </si>
  <si>
    <t>La fuente hídrica presentó una coloración gris. Lecho natural. La toma de muestra puntual se realizó en la tercera alícuota a las 10:20.</t>
  </si>
  <si>
    <t>040220FE03</t>
  </si>
  <si>
    <t>La fuente hídrica presenta coloración gris y olor. Lecho natural. La muestra puntual se tomó en la tercera alícuota a las 12:45.</t>
  </si>
  <si>
    <t>040220SE02</t>
  </si>
  <si>
    <t xml:space="preserve">La fuente hídrica presenta color amarillo claro, sin olor y material flotante. Lecho natural. Se realizó lectura de pH en el laboratorio . Se tomó la Muestra puntual en la alícuota 3. </t>
  </si>
  <si>
    <t>040220SE03</t>
  </si>
  <si>
    <t>La fuente hídrica presentó una coloración café y olor. Canal en concreto. Lectura de pH en Laboratorio. Aumento de la lámina de agua a partir de la alícuota 4. Se toma muestra puntual en la tercera alícuota (14:00).</t>
  </si>
  <si>
    <t>110220SE01</t>
  </si>
  <si>
    <t xml:space="preserve">No se presentan lluvias anteriores al muestreo .El cuerpo de agua presentó coloración amarillo claro y sin presencia de material flotante. En el punto de muestreo se percibió olor, no se evidencio iridiscencia, ni espumas.  Tipo de Lecho canalizado. Las muestras puntuales fueron tomadas en la alícuota #3 (7:00).
Se realizó lectura de pH en el Laboratorio, los datos son reportados en la tabla mediciones In Situ por el método analítico Electrométrico (SM 4500-H+B).
</t>
  </si>
  <si>
    <t>140721DU02</t>
  </si>
  <si>
    <t xml:space="preserve">La fuente hídrica presenta coloración marrón claro y olor característico a agua residual doméstica. Durante el monitoreo se observó presencia de espuma y residuos sólidos en el lecho. Durante la toma de la tercera y cuarta alícuota se observa aumento de caudal. </t>
  </si>
  <si>
    <t>140721DU01</t>
  </si>
  <si>
    <t xml:space="preserve">Durante el monitoreo no se presentó color ni olor. </t>
  </si>
  <si>
    <t>220721DU01</t>
  </si>
  <si>
    <t>Se evidencia el color del agua amarillo, presencia de algas.
Durante el monitoreo se evidencia que el oxigeno tiende a subir
No hay presencia de material flotante</t>
  </si>
  <si>
    <t>220721SA01</t>
  </si>
  <si>
    <t>Durante la toma de la segunda alíciota, se observa el agua más turbia.
Color del agua grisáceo, no presenta olor fuerte.
Lecho natural, sin obstrucciones. 
Alrededor del área de monitoreo de observan viviendas</t>
  </si>
  <si>
    <t>220721WI01</t>
  </si>
  <si>
    <t>Canal artificial en concreto
No se observa material flotante ni olor
Se observa vegetación nativa de la zona
Se ubica en una zona residencial</t>
  </si>
  <si>
    <t>220721WI02</t>
  </si>
  <si>
    <t>Canal artificial con lecho en concreto.
Durante el monitoreo se evidencia presencia de material flotante y sedimento.
Se observa vegetación nativa de la zona.
Altura en msnm 2575</t>
  </si>
  <si>
    <t>220721DU02</t>
  </si>
  <si>
    <t>Durante el monitoreo se evidencia presencia de material flotante.
Se presentan olores ofensivos y el color del agua es gris claro.
A medida que pasaba el tiempo durante las dos horas, el caudal aumento.</t>
  </si>
  <si>
    <t>230721DU02</t>
  </si>
  <si>
    <t xml:space="preserve">Se realiza monitoreo en canal de concreto, lecho del canal con alta presencia de algas, no presenta color ni olor, se presentaron lloviznas leves al inicio del monitoreo, no se evidencia material flotante. </t>
  </si>
  <si>
    <t>230721DA01</t>
  </si>
  <si>
    <t>Durante la toma de la primera y tercera alícuota se presenta lluvia leve, se realiza toma de muestra en canal de concreto, no se presentó coloración ni olor, tampoco existe material flotante.</t>
  </si>
  <si>
    <t>230721WI01</t>
  </si>
  <si>
    <t xml:space="preserve">Lluvias leves durante el monitoreo, el cuerpo de agua presenta coloración (gris) y olor característico a ARD, lecho natural, se evidencian viviendas en ronda del cuerpo de agua (invasión). </t>
  </si>
  <si>
    <t>230721WI02</t>
  </si>
  <si>
    <t xml:space="preserve">Estructura en concreto
Durante la tercera alicuota se presenta cambio en la coloración del agua de gris claro a café, presenta olor característico de aguas residuales domésticas. </t>
  </si>
  <si>
    <t>270721JM03</t>
  </si>
  <si>
    <t>* Canal superficial encausado con costales de concreto, su lecho es en concreto, se observa sedimento, no hay presencia de material flotante pero se percibe  olor a agua residual doméstica y olor a cemento.
* El punto se ubica cerca al puente vehicular después de los vertimientos.
* La altura es de 2671 msnm
*En el transcurso del monitoreo el caudal aumento.
* Desde la tercera alícuota se evidencia cambios fisicoquímicos del agua debido a que aumento la turbiedad y el pH.</t>
  </si>
  <si>
    <t>260721WI02</t>
  </si>
  <si>
    <t>Canal en concreto con lecho en concreto, se observa vegetación nativa. el canal o punto de monitoreo se encuentra diagonal al puente vehicular. No se observa material flotante ni sedimento. 
La altura es de 2647 msnm.</t>
  </si>
  <si>
    <t>260721WI01</t>
  </si>
  <si>
    <t>Canal natural con lecho en grava y roca, se observa vegetación nativa de la zona. No hay presencia de olor ni de material flotante, color del agua café. La altura en m.s.n.m es de 2773 m.</t>
  </si>
  <si>
    <t>270721DU01</t>
  </si>
  <si>
    <t>Durante el monitoreo se evidencia cambio de color, de café claro a café oscuro, entre el horario de 08:00 a 09:00 se observa la descarga de un vertimiento. A partir de la tercera alícuota  se evidencia presencia de espuma. La quebrada tiene material flotante. La altura m.s.n.m 2656 m.</t>
  </si>
  <si>
    <t>270721DU03</t>
  </si>
  <si>
    <t>Durante el monitoreo se evidencio cambio en la coloración del agua de manera constante.
se evidencia arrastre de sedimentos.
teniendo en cuenta el cambio de pH, se verifica nuevamente el equipo.
Altura 2577.</t>
  </si>
  <si>
    <t>280721WI01</t>
  </si>
  <si>
    <t>Canal natural con formación rocosa, no se observa material flotante, no hay presencia de olor. Se observa bastante roca en el cauce de la fuente, vegetación nativa de la zona y basura a las orillas. Se ubica al lado del puente vehicular. La altura en m.s.n.m es de 2809 m .</t>
  </si>
  <si>
    <t>280721WI02</t>
  </si>
  <si>
    <t xml:space="preserve">Canal natural con lecho rocoso, vegetación nativa.
No hay presencia de material flotante, ni olor.
La altura es de 2756 msnm.
El punto se ubica bajo el puente vehicular. </t>
  </si>
  <si>
    <t>280721WI03</t>
  </si>
  <si>
    <t>Canal natural con lecho en roca y grava, se observa roca en el cauce de la quebrada. No hay presencia de olor, se evidencia material flotante y basura alrededor; en la parte superior a la toma de muestra se observa formación de espuma color blanco. La altura en m.s.n.m es de 2655 m.</t>
  </si>
  <si>
    <t>300721JM01</t>
  </si>
  <si>
    <t>*Lecho natural, día nublado
*El cuerpo de agua presenta una coloración amarilla y espuma permanente
* Vegetación arbórea
*Altura 2650 m.s.n.m.</t>
  </si>
  <si>
    <t>270721JM02</t>
  </si>
  <si>
    <t>Canal natural con lecho en roca
Se observa presencia de espuma blanca en la superficie, hay presencia de olor a agua residual domestica y material flotante. 
Se observa cobertura vegetal nativa de la zona. 
La altura en msnm de 2636.</t>
  </si>
  <si>
    <t>290721JM01</t>
  </si>
  <si>
    <t>Canal en concreto de forma trapezoidal.
Techo en concreto.
No se observa material flotante.
No hay presencia de olor.
Al momento de tomar la quinta alícuota se presentan lluvias.</t>
  </si>
  <si>
    <t>290721WI01</t>
  </si>
  <si>
    <t>Monitoreo compuesto, canal artificial en concreto, vegetación arbórea y pasto. Color del espejo de agua gris claro y no presenta olor. Obra en modernización del anden costado izquierdo.</t>
  </si>
  <si>
    <t>260721JM01</t>
  </si>
  <si>
    <t>El agua presenta color café y no se evidencia olor característico. Se observa descargas de vertimientos de casas aledañas.</t>
  </si>
  <si>
    <t>260721JM02</t>
  </si>
  <si>
    <t>Durante el monitoreo se observa presencia de material flotante, el agua presenta color marrón y olores característicos a ARD. Se evidencia alta presencia de sedimentos.</t>
  </si>
  <si>
    <t>220721SA02</t>
  </si>
  <si>
    <t>Lecho natural sin obstrucciones.
Presenta color grisáceo.
Se presentan lloviznas durante el monitoreo.</t>
  </si>
  <si>
    <t>300721JM02</t>
  </si>
  <si>
    <t>*Lecho natural, el punto de muestra se realiza a 20 metros aguas arriba del puente vehicular.
* Olor característico (Agua Residual)
*Lecho rocoso y presenta coloración gris claro, además el punto se encuentra en zona urbana.
*En la tercera alícuota se presentó lluvia muy leve y se evidencia color en el cuerpo de agua amarillento y un cambio significativo en la conductividad en la cuarta alícuota.
*Altura 2809 m.sn.m.
* Método de aforo volumétrico</t>
  </si>
  <si>
    <t>230721DU01</t>
  </si>
  <si>
    <t>Canal en concreto, con presencia de lama.
Se presentan lloviznas durante el monitoreo.
No se presenta olor y es incoloro</t>
  </si>
  <si>
    <t>230721DA03</t>
  </si>
  <si>
    <t>*Canal en concreto, no hay material sedimentable pero se observa material flotante.
*Vegetación nativa de la zona.</t>
  </si>
  <si>
    <t>240721SA02</t>
  </si>
  <si>
    <t xml:space="preserve">*Canal artificial en concreto, con lecho en concreto, se observa material flotante y sedimentos, hay leve presencia de olor a agua residual doméstica, color gris. Se observa materia fecal.
*El punto se ubica debajo del puente en el parque de los Andes. </t>
  </si>
  <si>
    <t>240721FE01</t>
  </si>
  <si>
    <t>*Tubería Diámetro 1,70m
*Durante el monitoreo se evidencia olores tipo ARD, presencia de material flotante y color del agua gris.
*Altura 2618 m.s.n.m.</t>
  </si>
  <si>
    <t>290721WI03</t>
  </si>
  <si>
    <t>*La medición de aforo de caudal se realizó con el equipo ADCP, por ende la composición se realizó a un mismo volumen.
*Lecho natural.
*Color del cuerpo de agua gris claro.
*Sin olor.
*Vegetación arbustiva y herbácea.
*Aguas abajo se observa acumulación de sólidos.</t>
  </si>
  <si>
    <t>030821HA04</t>
  </si>
  <si>
    <t>Tipo de lecho natural rocoso. Se percibe olor característico a agua residual. El punto de monitoreo se encuentra aproximadamente a 5 metros aguas abajo de una estructura de descarga de un vertimiento. 
Durante la alícuota 2 y 3 se presentaron lluvias aguas arriba del punto de monitoreo.</t>
  </si>
  <si>
    <t>030821HA03</t>
  </si>
  <si>
    <t xml:space="preserve">Tipo de lecho del cauce natural. Se presentaron lluvias aguas arriba del punto de monitoreo que posiblemente pudieron generar el aumento en el nivel del cauce. La coloración del agua es gris con presencia de espuma en la superficie y se percibe un olor característica a agua residual. </t>
  </si>
  <si>
    <t>030821WI03</t>
  </si>
  <si>
    <t>Lecho del rio rocoso con caídas de agua pronunciadas, presenta un color verdoso.
Altura: 2645</t>
  </si>
  <si>
    <t>290721WI02</t>
  </si>
  <si>
    <t>Cuerpo de agua canalizado, se observa presencia de sólidos, vegetación arbórea y pastizales.  Se observa en el cuerpo de agua un color gris claro, sin olor.</t>
  </si>
  <si>
    <t>240721SA01</t>
  </si>
  <si>
    <t>Canal en concreto con lecho en concreto.
Durante el monitoreo se observa material flotante y sedimentos. Alrededor hay vegetación nativa de la zona.
El punto se encuentra a un costado de la NQS, lateral al puente peatonal.
No hay presencia de olor, el color del agua es gris/verdoso.
La altura en msnm es de 2559.</t>
  </si>
  <si>
    <t>030821WI02</t>
  </si>
  <si>
    <t>Lecho de rio rocoso, color de agua verdosa, vegetación, presencia de materiales flotante.
Presencia de lloviznas durante el monitoreo.</t>
  </si>
  <si>
    <t>040821DU02</t>
  </si>
  <si>
    <t>No reporta</t>
  </si>
  <si>
    <t>040821WI03</t>
  </si>
  <si>
    <t xml:space="preserve">Lecho canalizado en concreto.
Vegetación herbaria y arbustiva.
No presenta olor
Color del cuerpo de agua - gris claro. </t>
  </si>
  <si>
    <t>040821WI02</t>
  </si>
  <si>
    <t>Lecho natural rocoso.
Se evidencia espuma en la caída del cuerpo de agua.
vegetación herbácea.
El punto de monitoreo se encuentra ubicado a aproximadamente 8 metros aguas arriba del puente vehicular.
Color característico del cuerpo de agua - café claro.
Olor: sin olor
Altura: 2645 msnm</t>
  </si>
  <si>
    <t>050821JM01</t>
  </si>
  <si>
    <t>Canal artificial en concreto, en la superficie se observa la presencia de algas y material flotante, la coloración de la agua es verdosa</t>
  </si>
  <si>
    <t>050821SA02</t>
  </si>
  <si>
    <t>Durante el monitoreo se observó una biopelícula a lo largo del canal, también se observó gran cantidad de material flotante. La coloración del agua es gris y se percibió un olor característico a agua residual doméstica.</t>
  </si>
  <si>
    <t>060821FE02</t>
  </si>
  <si>
    <t>Punto de monitoreo con coloración verdosa, se observó presencia de material flotante. Altura: 2556 msnm.</t>
  </si>
  <si>
    <t>050821SA01</t>
  </si>
  <si>
    <t xml:space="preserve">Durante el monitoreo se evidenció la presencia de material flotante, materia fecal y una biopelicula a lo largo del canal. También se percibe un olor característico a agua residual. Se observó aumento del caudal a partir de la segunda alícuota. 
Para la primera y segunda alícuota se evidenció una coloración marrón oscura en el agua. </t>
  </si>
  <si>
    <t>060821MP01</t>
  </si>
  <si>
    <t>Punto ubicado aproximadamente 30 metros aguas arriba del puente de la Calle 129 con Carrera 154, 30m aguas arriba del punto de monitoreo se encuentra el canal Pasadena que desemboca en el canal Córdoba. Canal artificial en concreto, se evidencia la presencia de lama y material flotante. No se perciben olores ofensivos, coloración del agua gris.</t>
  </si>
  <si>
    <t>060821FE01</t>
  </si>
  <si>
    <t>Color de agua gris, tipo de lecho en mampostería.</t>
  </si>
  <si>
    <t>060821WI02</t>
  </si>
  <si>
    <t xml:space="preserve">En el momento del monitoreo se observa la presencia de algas en el canal, no se perciben olores ofensivos, agua incolora. </t>
  </si>
  <si>
    <t>060821WI01</t>
  </si>
  <si>
    <t>Canal artificial con estructura en concreto con presencia de residuos sólidos dentro del cauce. Presenta iridiscencia en la primera alicuota, no se perciben olores ofensivos.</t>
  </si>
  <si>
    <t>060821MP03</t>
  </si>
  <si>
    <t xml:space="preserve">Punto de monitoreo ubicado al respaldo del Club Los Lagartos antes de la confluencia del vertimiento que proviene del club, aproximadamente a 20m aguas arriba se encuentra un puente peatonal. 
Durante el monitoreo se evidencia la presencia de material flotante, se presenta una coloración gris en el agua y se percibe un olor característico a agua residual. 
El canal se encuentra construido en concreto y en el lecho se observan sedimentos. </t>
  </si>
  <si>
    <t>050821JM02</t>
  </si>
  <si>
    <t xml:space="preserve">Tipo de lecho canal en concreto con presencia de algas. El agua presenta una coloración verdosa y se evidencia material flotante. </t>
  </si>
  <si>
    <t>290721JM02</t>
  </si>
  <si>
    <t>*Canal artificial y lecho en concreto, se observa material flotante, sedimentos y olor a agua residual doméstica.
*El punto se ubica metros abajo de la salida del Box Coulvert, se observa vegetación nativa de la zona.
*La altura es de 2530 m.s.n.m.</t>
  </si>
  <si>
    <t>240721FE02</t>
  </si>
  <si>
    <t xml:space="preserve">*Durante el monitoreo se evidencia material flotante, presencia de olores tipo ARD y color del agua gris claro. </t>
  </si>
  <si>
    <t>100821WI01</t>
  </si>
  <si>
    <t xml:space="preserve">En la segunda alícuota se presenta un incremento de caudal, debido a la llovizna que se presentó en la parte alta del afluente. Se presenta un cuerpo de agua de coloración café claro, inoloro. Se observa espuma en la superficie, no hay material flotante y se observa arrastre de sedimentos 
</t>
  </si>
  <si>
    <t>100821WI03</t>
  </si>
  <si>
    <t xml:space="preserve">En la segunda alícuota aumenta la conductividad, el pH se tornó alcalino y el color del agua es café.Se evidencia arrastre de sedimento y espuma
Altitud 2592 m.s.n.m.
</t>
  </si>
  <si>
    <t>100821WI02</t>
  </si>
  <si>
    <t xml:space="preserve">Se realiza el monitoreo a 8 metros aproximadamente aguas arriba del paso vehicular; además se observó que aledaño al paso vehicular hay cuatro estructuras de vertimiento. El cause natural es rocoso, se observa un cambio en la coloración de café claro a café oscuro en  la cuarta alicuota. Además de la variación de conductividad desde la segunda alicuota.
</t>
  </si>
  <si>
    <t>270721JM01</t>
  </si>
  <si>
    <t>Canal natural con lecho en roca y grava.Sin presencia de material flotante. El punto de muestreo se cambia a unos 350 metros aguas arriba debido a presencia de vertimientos que afectan la calidad del agua, se realiza el monitoreo en el puente de la Transversal 13 G este, donde el agua no presenta color ni se percibe olor.
*Altura 2938 m.s.n.m.</t>
  </si>
  <si>
    <t>060821MP02</t>
  </si>
  <si>
    <t>*Punto de monitoreo ubicado en parte II (sector II) del Humedal Córdoba, aproximadamente 15 metros aguas arriba del puente vehicular de la Avenida Suba.
*Se evidencia material flotante y residuos sólidos. Se percibe olor característico a agua residual y tiene coloración grisácea.
*Lecho natural lodoso.</t>
  </si>
  <si>
    <t>110821JM02</t>
  </si>
  <si>
    <t xml:space="preserve">Lecho rocoso con obstrucciónes de tipo natural.
Se evidencia aumento de caudal en la segunda alícuota, además de lloviznas en el punto de monitoreo.
A 10 metros aproximadamente aguas arriba del punto de monitoreo se ven 3 tuberias de las cuales solo una de ellas esta vertiendo. 
</t>
  </si>
  <si>
    <t>110821JM03</t>
  </si>
  <si>
    <t xml:space="preserve"> Quebrada Chiguaza. Canal en concreto rodeado de vegetación herbácea y arbórea. Se observa  coloración grisácea en el cuerpo de agua, no se perciben olores ofensivos.
Altura: 2572m
</t>
  </si>
  <si>
    <t>110821WI01</t>
  </si>
  <si>
    <t>Lecho del río rocoso, con vegetación aledaña y biodiversidad. Durante el muestreo se presentan leves lluvias
Color: Amarillo.
Altura:2946m</t>
  </si>
  <si>
    <t>110821WI03</t>
  </si>
  <si>
    <t>Lecho rocoso, con vegetación aledaña y biodiversidad.
Durante el desarrollo del monitoreo se presentaron lloviznas.
Altura:2683m</t>
  </si>
  <si>
    <t>120821FE01</t>
  </si>
  <si>
    <t xml:space="preserve">Canal en concreto, forma del canal trapezoidal con vegetación herbácea a los alrededores. Se observa biopelícula en el lecho, olor típico de agua residual, color grisáceo.
El punto de monitoreo se encuentra ubicado aproximadamente a 70 metros aguas arriba del puente. 
Altura:2557m </t>
  </si>
  <si>
    <t>100821DU02</t>
  </si>
  <si>
    <t>Lecho rocoso, agua con tonalidad amarilla, vegetación y biodiversidad aledaña. No se perciben olores ofensivos. 
Altura:2850m</t>
  </si>
  <si>
    <t>240821DU01</t>
  </si>
  <si>
    <t>Cuenca canal Salitre, subcuenca canal Contador. El lecho del río en concreto, color del agua gris clara, olor característico del agua residual con presencia de material flotante. Altura 2556 msnm.</t>
  </si>
  <si>
    <t>120821SA02</t>
  </si>
  <si>
    <t>En el punto de monitoreo se observa que el agua tiene una coloración verdosa y hay presencia de material flotante. Además, se evidencian especies herbáceas.
Altura:2605m</t>
  </si>
  <si>
    <t>300821SA01</t>
  </si>
  <si>
    <t>Canal en concreto 
Se evidencia arrastre de sedimentos, se percibe olor a ARD y se observa una coloración grisácea.  El punto de monitoreo se encuentra ubicado aguas arriba del puente vehicular de KR 16B con CL 60 sur 
Altura - 2575 metros</t>
  </si>
  <si>
    <t>120821SA01</t>
  </si>
  <si>
    <t xml:space="preserve">Lecho en concreto uniforme. Presenta vegetación y biodiversidad, el color del agua es amarillenta.
</t>
  </si>
  <si>
    <t>300821SA02</t>
  </si>
  <si>
    <t>Lecho natural, se percibe olor característico a ARD, se observa coloración grisácea, durante la toma de la alícuota 3 (13:00) hay presencia de irisdiscencia en la superficie. Punto de monitoreo esta ubicado a 40 metros aguas arriba del puente vehicular de la CL 49bis sur.</t>
  </si>
  <si>
    <t>240821DU02</t>
  </si>
  <si>
    <t>Cuenca Salitre . subcuenca Canal Contador. Se observa un color de agua verdoso, olor característico a agua residual, biodiversidad de vegetación y presencia de material flotante. Altura 2566 msnm.</t>
  </si>
  <si>
    <t>300821DU01</t>
  </si>
  <si>
    <t xml:space="preserve">Punto de muestreo con olor característico a agua residual, se observa una coloración amarilla. Lecho rocoso y en el fondo arenoso.  
Altura de 2680 metros </t>
  </si>
  <si>
    <t>180821DU03</t>
  </si>
  <si>
    <t xml:space="preserve">Lecho rocoso.
Márgenes encajonadas.
No se presenta material flotante
Olor: Material orgánico en descomposición
Color: No se percibe tonalidad
Altura:2660 msnm
Quebrada Yomasa
</t>
  </si>
  <si>
    <t>300821DU02</t>
  </si>
  <si>
    <t xml:space="preserve">Punto de monitoreo de lecho rocoso, se observa un color de agua traslucido y no se perciben olores ofensivos.
Altura de 2931 metros </t>
  </si>
  <si>
    <t>200821LA02</t>
  </si>
  <si>
    <t>Color:Verdoso
Olor: Característico del agua residual
Presencia de material flotante
Vegetación aledaña y biodiversidad (aves)
En el cauce del río en la parte izquierda se presenta presencia de escombros.
Ubicado en la av. calle 30 con 91, entre el puente peatonal y la subestación eléctrica, 10 metros aguas abajo del box culvert.
Altura: 2561 msnm.</t>
  </si>
  <si>
    <t>310821JM02</t>
  </si>
  <si>
    <t xml:space="preserve">Punto de monitoreo con coloración leve, inodora, se evidencia acumulación de residuos en la ronda del cuerpo de agua.
Altitud: 2782 metros 
</t>
  </si>
  <si>
    <t>190821DU01</t>
  </si>
  <si>
    <t>Cuerpo de agua canalizado.
Vegetación herbácea
Olor característico del cuerpo de agua: inoloro
Color característico del cuerpo de agua
El punto de monitoreo se encuentra ubicado aproximadamente a 30 metros aguas arriba del puente vehicular, dentro de los predios de cemex.
Altura: 2585 msnm</t>
  </si>
  <si>
    <t>310821JM03</t>
  </si>
  <si>
    <t>Color: gris claro 
Olor: se percibe olor característico a agua residual 
50m agua arriba se presenta fenómeno de remoción en masa 
Se observa residuos solidos y escorrentía tanto en la quebrada como en la ronda 
Canal natural con vegetación herbácea y arbustiva 
Altitud: 2747 
Cuenca Rio Tunjuelo - Subcuenca Quebrada Yomasa Tramo 1</t>
  </si>
  <si>
    <t>310821JM01</t>
  </si>
  <si>
    <t xml:space="preserve">Punto de monitoreo con coloración café clara, no se perciben olores ofensivos. A 50 metros aguas arriba se observa vertimiento donde la estructura se encuentra con la Quebrada y alimenta el cuerpo de agua por escorrentía. Se observa residuos solidos y escombros en la ronda del Río. Canal natural con vegetación herbácea y arbustiva, en la margen derecha se observa ganadería 
Altitud: 2647 msnm </t>
  </si>
  <si>
    <t>200821JM02</t>
  </si>
  <si>
    <t xml:space="preserve">Cuenca del río salitre, red de ampliación - localidad Chapinero, Barrio Chicó.
Tubería en concreto, cuerpo de agua grisáceo, con olor característico del agua residual, con algo de espuma superficial. 
La estructura es en mampostería y la salida es en concreto. Se presentaron lluvias el día anterior y en horas de la mañana antes del monitoreo. </t>
  </si>
  <si>
    <t>210821DU01</t>
  </si>
  <si>
    <t>Agua de color verdoso, con material flotante. Se observa vegetación y biodiversidad.
Altura:2542 msnm</t>
  </si>
  <si>
    <t>270821HA01</t>
  </si>
  <si>
    <t>Quebrada Trompeta, lecho rocoso con obstrucción. Se presenta vegetación aledaña y biodiversidad.
Color: Amarillento.
Sin olor
Después de la tercera alicuota se torna el agua turbia</t>
  </si>
  <si>
    <t>280821AN02</t>
  </si>
  <si>
    <t>Canal en concreto, aguas arriba del puente vehicular de la calle 129, aproximadamente a 30 metros se observan algas dentro del canal y con los cambios de temperatura se observan los cambios de oxigeno.
Muestra incolora e inolora.
Se presentaron precipitaciones durante la noche y a la madrugada.</t>
  </si>
  <si>
    <t>280821AN01</t>
  </si>
  <si>
    <t>Punto de monitoreo ubicado aguas arriba del puente vehicular de la avenida Suba en el casco urbano.
Se evidencia aumento de residuos sólidos entre la segunda y quinta alícuota; por esta razón se realiza un transecto en el último caudal.
Es un lecho natural lodoso, con color grisáceo, inoloro.
Se presentan precipitaciones durante la noche y la madrugada.</t>
  </si>
  <si>
    <t>040821DU01</t>
  </si>
  <si>
    <t>040821WI01</t>
  </si>
  <si>
    <t xml:space="preserve">El lecho del cuerpo de agua es natural y rocoso. Punto de monitoreo ubicado 30 metros aguas abajo del puente vehicular. En el momento del monitoreo no se percibe olores ofensivos, el agua presenta una coloración café claro. </t>
  </si>
  <si>
    <t>250821DU01</t>
  </si>
  <si>
    <t>Cuenca salitre - subcuenca Canal molinos - tramo 4 
Color del agua amarillenta con material flotante 
Olor característico a agua residual 
Vegetación aledaña con biodiversidad 
Altura de 2581 metros</t>
  </si>
  <si>
    <t>100821DU03</t>
  </si>
  <si>
    <t xml:space="preserve">Lecho rocoso, coloración del agua verdosa, con presencia de espuma y material flotante </t>
  </si>
  <si>
    <t>120821FE02</t>
  </si>
  <si>
    <t>Canal en concreto de forma trapezoidal. El punto de monitoreo se encuentra ubicado aproximadamente a 80 metros aguas arriba del puente. Se observa vegetación herbácea.
Presenta color grisáceo.
Olor a agua residual y se observa material flotante.</t>
  </si>
  <si>
    <t>310821HA01</t>
  </si>
  <si>
    <t xml:space="preserve">Punto de monitoreo de lecho natural con vegetación herbácea. En la medición de las dos primeras alicuotas las muestras fueron inodoras e incoloras. Antes de la toma de la tercera alícuota, se presentó actividad de poda de pasto en las orillas de la quebrada; por esta razón, se observó un cambio de coloración del agua debido a la presencia de residuos de pasto en el cuerpo de agua (verde claro). El punto de monitoreo esta ubicado a 20 metros aproximadamente del puente peatonal KR 5 este con CL 97 SUR. Altura 2811 msnm. </t>
  </si>
  <si>
    <t>170821DU01</t>
  </si>
  <si>
    <t>Se presenta un lecho rocoso con vegetación aledaña, hay presencia de material flotante y el agua tiene un color amarillento claro.
Altura:2635 msnm</t>
  </si>
  <si>
    <t>240821WI01</t>
  </si>
  <si>
    <t xml:space="preserve">Canal en concreto forma trapezoidal 
Vegetación arbórea y herbácea a su alrededor 
Color del cuerpo de agua grisáceo 
Olor - sin olor 
Se observan algas al fondo 
El punto de monitoreo se encuentra ubicado aproximadamente a 200 metros aguas arriba de la avenida 19 
Altura - 2566 metros </t>
  </si>
  <si>
    <t>170821DU03</t>
  </si>
  <si>
    <t>Se presenta vegetación aledaña y biodiversidad. El cuerpo de agua presenta material flotante y coloración café oscura.
Altura: 2798 msnm</t>
  </si>
  <si>
    <t>170821JM01</t>
  </si>
  <si>
    <t xml:space="preserve">Se realiza el monitoreo debajo del puente vehicular dentro del casco urbano. Se evidencia un vertimiento aguas abajo.
El lecho es en concreto, con sedimento arenoso, el agua presenta un color café, y es inolora.
Se presentan precipitaciones en la noche lo cual afecta las condiciones de la muestra 4 de las 9:30 ya que el agua se percibe con mayor turbidez.
</t>
  </si>
  <si>
    <t>250821JM03</t>
  </si>
  <si>
    <t xml:space="preserve">Canal en concreto con forma tipo vertedero rectangular 
Color del cuerpo de agua verdoso traslucido 
Sin olor perceptible 
Vegetación arbórea 
A partir de la salida del vertimiento se genera una pluma de agua contaminante de aproximadamente 35 metros 
El punto de monitoreo se encuentra ubicado en el costado inferior del club Los Lagartos </t>
  </si>
  <si>
    <t>170821JM02</t>
  </si>
  <si>
    <t xml:space="preserve">Lecho natural en piedra con presencia de escombros. Color del agua café e inolora.Punto dentro del casco urbano.
Se presentaron precipitaciones en la noche anterior y lluvias leves al inicio del monitoreo y sol desde la segunda muestra hasta la última. </t>
  </si>
  <si>
    <t>310821HA02</t>
  </si>
  <si>
    <t xml:space="preserve">Lecho natural rocoso con vegetación herbácea y arbustiva 
Se percibe un olor a agua residual domestica 
Color característico del cuerpo de agua gris claro y se observa espuma en la superficie 
El punto de monitoreo se encuentra ubicado dentro de los predios del parque nacional Cantarrana y al respaldo del conjunto residencial del Cantarrana </t>
  </si>
  <si>
    <t>170821WI02</t>
  </si>
  <si>
    <t>Lecho natural con vegetación arbustiva. El color del cuerpo de agua es café claro con olor característico a agua residual. Se observan espumas en la superficie del agua sobre las 11 am. Altura: 2602 msnm</t>
  </si>
  <si>
    <t>010921JM01</t>
  </si>
  <si>
    <t xml:space="preserve">Punto de monitoreo de lecho rocoso, se observó presencia de material flotante, no se percibieron olores ofensivos y se evicendió una coloración amarilla.
Altura 2796 metros </t>
  </si>
  <si>
    <t>010921DU01</t>
  </si>
  <si>
    <t xml:space="preserve">Lecho natural rocoso 
Vegetación herbácea y arbustiva 
Se observa un color gris claro y espuma leve en la superficie del cauce 
No se percibe olor 
El punto de monitoreo esta ubicado aguas arriba del puente peatonal de la KR 19b con CL 68d sur barrio Sauces
Altura de 2598 metros </t>
  </si>
  <si>
    <t>010921JM02</t>
  </si>
  <si>
    <t>Punto de monitoreo de lecho rocoso, se evidenció una coloración amarilla.</t>
  </si>
  <si>
    <t>180821DU02</t>
  </si>
  <si>
    <t>Lecho rocoso, incolora, con leve olor a materia orgánica en descomposición.
Altura: 2753 msnm.</t>
  </si>
  <si>
    <t>180821DU01</t>
  </si>
  <si>
    <t>Lecho rocoso - arenoso. Se percibe un leve olor a materia orgánica en descomposición. No se presenta material flotante.
Altura: 2825 msnm.</t>
  </si>
  <si>
    <t>210821WI01</t>
  </si>
  <si>
    <t>El punto se encuentra dentro del casco urbano su revestimiento es en ladrillo con presencia de lama.
Se presenta una coloración grisácea, con olor característico del agua residual y con presencia de material flotante.
Altura: 2576 msnm</t>
  </si>
  <si>
    <t>250821JM02</t>
  </si>
  <si>
    <t>*Canal trapezoidal en concreto.
*Se percibe olor a agua residual.
*Se observa un color gris claro.
*Vegetación herbácea y arbustiva.
*El punto de monitoreo se encuentra ubicado al oriente de la autopista norte,  CL 114 KR 21</t>
  </si>
  <si>
    <t>010921FE01</t>
  </si>
  <si>
    <t xml:space="preserve">Punto de monitoreo con presencia de espuma, escombros y lama. No se perciben olores ofensivos, el cuerpo de agua no presenta coloración, se tornó traslucido. </t>
  </si>
  <si>
    <t>170821WI01</t>
  </si>
  <si>
    <t>Lecho natural rodeado de vegetación y pastos. El punto de monitoreo se encuentra ubicado a 8 metros aguas arriba del puente vehicular. El cuerpo de agua presenta una coloración café clara, con olor característico a agua residual, además se observa material flotante.
Altura:2570 msnm</t>
  </si>
  <si>
    <t>250821JM01</t>
  </si>
  <si>
    <t>*Canal trapezoidal en concreto.
*Color característico: gris claro.
*Olor característico: Agua residual.
*Se observa material flotante.
*Vegetación herbácea y arbustiva alrededor.
*Se observa iridiscencia en la superficie del agua y aumento del caudal en las alícuotas 3,4 y 5.
*El punto de monitoreo se encuentra ubicado cerca del puente vehicular de la KR 53.</t>
  </si>
  <si>
    <t>240821WI02</t>
  </si>
  <si>
    <t>Canal en concreto trapezoidal, se encuentra en mantenimiento aguas abajo.
El punto de monitoreo se encuentra ubicado aproximadamente a 40 metros aguas abajo del puente vehicular.
El color característico del cuerpo de agua es grisáceo, se observan algas en la base del canal,
Altura: 2565 msnm</t>
  </si>
  <si>
    <t>250821DU02</t>
  </si>
  <si>
    <t xml:space="preserve">El cuerpo de agua presenta una coloración amarillenta, se observan solidos suspendidos, vegetación y biodiversidad </t>
  </si>
  <si>
    <t>010921DU02</t>
  </si>
  <si>
    <t>El punto de monitoreo esta ubicado a 10 metros, aproximadamente, aguas arriba del puente vehicular de la Cl 61 sur con kra 24.
El cuerpo de agua presenta una coloración café clara, no se percibe olor ofensivo y se observa espuma en la superficie.</t>
  </si>
  <si>
    <t>030921HA03</t>
  </si>
  <si>
    <t>La tubería que transporta el caudal natural de la Quebrada Chicó es en concreto. El cuerpo de agua presenta espuma y material en suspensión; su coloración es grisácea y el olor es característico al agua residual.
Se presentaron lloviznas leves durante la toma de la última alícuota.</t>
  </si>
  <si>
    <t>010921FE02</t>
  </si>
  <si>
    <t xml:space="preserve">Lecho natural rocoso, con presencia de vegetación herbácea y pastos. Se observan residuos solidos, escombros y lama. 
El punto de monitoreo esta rodeado de viviendas urbanas; durante el muestreo se presentan precipitaciones en la toma de la última alícuota.
El color del agua es café claro y el olor es característico del agua residual.
</t>
  </si>
  <si>
    <t>030921JM03</t>
  </si>
  <si>
    <t xml:space="preserve">Canal en concreto ubicado en la zona urbana, rodeado de biodiversidad y viviendas.
El punto de monitoreo se ubica aproximadamente a 60 metros aguas abajo del puente de la AC 30. Aguas arriba del punto de monitoreo se observan escombros. El cuerpo de agua presenta un color gris, tiene presencia de material flotante y residuos solidos. </t>
  </si>
  <si>
    <t>030921HA01</t>
  </si>
  <si>
    <t xml:space="preserve">Canal trapezoidal con presencia de material vegetal en las uniones de las lozas del canal. 
El cuerpo de agua presenta un color grisáceo con olor característico del agua residual, a la orilla derecha se observa material fecal e iridiscencia, además de residuos solidos.
Altitud: 2557 msnm.  </t>
  </si>
  <si>
    <t>030921JM01</t>
  </si>
  <si>
    <t xml:space="preserve">Durante el monitoreo se observó una coloración marrón en el agua, con presencia de material flotante. 
El punto de monitoreo se encuentra ubicado en zona urbana a 120m aguas arriba de la Autopista Norte. </t>
  </si>
  <si>
    <t>230921WI02</t>
  </si>
  <si>
    <t>Lecho rocoso
En la toma de la ultima alícuota se presentó llovizna.
Se evidencia el vertimiento a 5 metros del punto de muestreo.</t>
  </si>
  <si>
    <t>230921WI03</t>
  </si>
  <si>
    <t>El lecho del cuerpo de agua es rocoso.
No presenta más observaciones.</t>
  </si>
  <si>
    <t>230921DU01</t>
  </si>
  <si>
    <t>El punto de monitoreo se encuentra ubicado dentro de los predios del parque ambiental Cantarrana, aguas abajo del conjunto residencial Cantarrana, quebrada chuniza.
Se observa espuma en la superficie del cauce y presencia de residuos solidos (Plástico y llantas).
Se perciben olores ofensivos.
Presenta color.</t>
  </si>
  <si>
    <t>230921DU03</t>
  </si>
  <si>
    <t>Se presentan residuos solidos.
Hay variación del color.
Se perciben olores ofensivos.
Se presentan leves lluvias entre la cuarta y quinta alícuota.
El punto de monitoreo se encuentra ubicado a 30 metros aguas arriba del puente peatonal.</t>
  </si>
  <si>
    <t>230921JM01</t>
  </si>
  <si>
    <t>El lecho del agua es rocoso y arenoso.
Color del agua: Marrón claro.
No presenta más observaciones.</t>
  </si>
  <si>
    <t>230921JM02</t>
  </si>
  <si>
    <t>Lecho del agua es rocoso y arenoso.
No se observa material flotante.
No se registra mas observaciones.</t>
  </si>
  <si>
    <t>230921JM03</t>
  </si>
  <si>
    <t>Durante el monitoreo, específicamente en la cuarta alícuota se percibió olores ofensivos.
En la quinta alícuota se presentaron lluvias leves.</t>
  </si>
  <si>
    <t>240921WI03</t>
  </si>
  <si>
    <t xml:space="preserve">Se observan viviendas y parques cerca al canal. El vertimiento presenta una coloración amarilla y se percibe olor a agua residual. </t>
  </si>
  <si>
    <t>240921DU02</t>
  </si>
  <si>
    <t>El vertimiento es translucido y no se perciben olores. Se observa leve presencia de residuos y escombros en el cauce y en sus alrededores.  El punto de monitoreo se encuentra ubicado aproximadamente 1 metro aguas arriba del puente vehicular.</t>
  </si>
  <si>
    <t>240921DU03</t>
  </si>
  <si>
    <t xml:space="preserve">El vertimiento presenta olor a agua residual, además se observa espuma en la superficie del cauce y residuos solidos al rededor. </t>
  </si>
  <si>
    <t>240921FE03</t>
  </si>
  <si>
    <t>Punto de monitoreo de lecho en concreto; se observa presencia de material suspendido. 
Altura: 2563 msnm</t>
  </si>
  <si>
    <t>240921FE02</t>
  </si>
  <si>
    <t>Punto de muestreo de lecho en concreto, se evidencia presencia de material flotante. 
Altura: 2552 msnm</t>
  </si>
  <si>
    <t>240921AN03</t>
  </si>
  <si>
    <t>Punto de monitoreo con coloración aparente, se percibe olor ofensivo. No se evidencia presencia de material flotante. 
Altura: 2614 msnm.</t>
  </si>
  <si>
    <t>230921WI01</t>
  </si>
  <si>
    <t xml:space="preserve">
Lecho rocoso, durante el monitoreo se presentan lluvias leves, la noche anterior se presentan lluvias hasta la madrugada. </t>
  </si>
  <si>
    <t>240921WI01</t>
  </si>
  <si>
    <t>Cauce natural con lecho en lodo, el cause presenta coloración café y se percibe olor a agua residual. 
Aguas arriba se observan residuos solidos como llantas, bolsas y escombros. Además se evidencia remoción en masa de las laderas del cauce. 
Altura: 2588 msnm.</t>
  </si>
  <si>
    <t>240921AN04</t>
  </si>
  <si>
    <t xml:space="preserve">Canal en mampostería, se percibe olor y color. No se observa materia flotante  </t>
  </si>
  <si>
    <t>280921WI01</t>
  </si>
  <si>
    <t>Durante el monitoreo se pudo evidenciar que el en el fondo se encuentran algas esto puede ser debido a que el oxigeno disuelto se presenta alto.</t>
  </si>
  <si>
    <t>280921WI03</t>
  </si>
  <si>
    <t>No presenta.</t>
  </si>
  <si>
    <t>280921JM01</t>
  </si>
  <si>
    <t xml:space="preserve">Durante el monitoreo se pudo observar que en el canal se presentan algas, color, espuma, residuos y escombros; además se evidencia que el oxigeno disuelto aumenta conforme sube la temperatura y el pH </t>
  </si>
  <si>
    <t>280921JM03</t>
  </si>
  <si>
    <t>Durante el monitoreo se pudo observar que en el canal hay presencia de algas, residuos solidos aguas arriba y coloración</t>
  </si>
  <si>
    <t>290921DA04</t>
  </si>
  <si>
    <t>Debido a fuertes lluvia se suspende monitoreo en la tercera alícuota, durante el monitoreo no se perciben olores ni color en el agua, se observa que al canal le hace falta mantenimiento hay excesiva vegetación y se observan algunos residuos solidos en su alrededor</t>
  </si>
  <si>
    <t>290921DA01</t>
  </si>
  <si>
    <t xml:space="preserve">El monitoreo se realizo unos 10 metros aguas abajo de donde siempre se realiza por presencia de habitantes extranjeros sobre el canal, en la 2 3 y 4 el vertimiento COR-HCO 0690 inicio vertimiento con flujo continuo, característico de agua Residual domestico, presencia de espumas (jabones) y olor a los mismos, durante el monitoreo no se presentaron malos olores ni tonalidad diferente, aguas abajo se encontraba el punto 0070 que también inicio descarga </t>
  </si>
  <si>
    <t>290921AN01</t>
  </si>
  <si>
    <t xml:space="preserve">Durante el monitoreo en el momento de la toma de las alícuotas dos y tres se presencio material flotante de origen vegetal, olor característico a materia orgánica en descomposición y color; para el color se presenta mas oscuro en la toma de la quinta alícuota.  </t>
  </si>
  <si>
    <t>290921AN03</t>
  </si>
  <si>
    <t xml:space="preserve">Durante el monitoreo se pudo observar que el canal presento color, algas y material flotante orgánico. </t>
  </si>
  <si>
    <t>011021HA01</t>
  </si>
  <si>
    <t>Durante el monitoreo se pudo presenciar que el canal presenta olor característico a agua residual; en la toma de la cuarta alícuota se presentó arrastre de material vegetal en la superficie.</t>
  </si>
  <si>
    <t>021121FE03</t>
  </si>
  <si>
    <t xml:space="preserve">Canal artificial de lecho en concreto en forma trapezoidal.      La fuente hídrica presenta coloración, no se perciben olores ofensivos; adicionalmente, se observan residuos sólidos en la ronda del cuerpo de agua.
Altura: 2574 msnm. </t>
  </si>
  <si>
    <t>021121MP02</t>
  </si>
  <si>
    <t>La fuente hídrica presenta coloración, no se perciben olores ofensivos, ni se observa presencia de material flotante. 
Altura:2573 msnm.</t>
  </si>
  <si>
    <t>271021WI03</t>
  </si>
  <si>
    <t xml:space="preserve">Lecho natural rocoso, se percibe color y olor característico a agua residual. Además se observan residuos solidos. </t>
  </si>
  <si>
    <t>271021WI02</t>
  </si>
  <si>
    <t>Se observa residuos sólidos en la ronda y superficie del cuerpo de agua. El vertimiento presenta coloración, se percibe olor característico a agua residual.  El punto de monitoreo se encuentra ubicado debajo del puente vehicular de la TV 10 BIS con CL 71D SUR.
Altura: 2644 msnm.</t>
  </si>
  <si>
    <t>021121MP03</t>
  </si>
  <si>
    <t>Punto de monitoreo con lecho en concreto, se observa presencia de material flotante. 
Altura: 2571 msnm.</t>
  </si>
  <si>
    <t>081021FE01</t>
  </si>
  <si>
    <t>Lecho arenoso y rocoso. Se presenta coloración amarilla, no se percibe olor</t>
  </si>
  <si>
    <t>081021JM01</t>
  </si>
  <si>
    <t xml:space="preserve">Se presenta un lecho natural, se percibe olor a agua residual, se observa iridiscencia en la superficie y residuos sólidos en la ronda.                                                                     El punto de monitoreo se encuentra ubicado aproximadamente 15 metros aguas arriba del puente vehicular Av. Villavicencio.                                                      Aproximadamente a 5 metros aguas arriba del punto, se observa un vertimiento a margen derecha.                             </t>
  </si>
  <si>
    <t>081021JM03</t>
  </si>
  <si>
    <t xml:space="preserve">Se presenta lecho natural rocoso, se evidencia color, se percibe olor a agua residual. Además de residuos sólidos en la ronda del cauce. </t>
  </si>
  <si>
    <t>221021HA02</t>
  </si>
  <si>
    <t>Punto de monitoreo ubicado apróximadamente 6 metros aguas arriba de un vertimiento directo ubicado a margen derecha de la quebrada. Lecho natural, se evidencia a partir de la segunda alícuota cambio de color y aumento de sedimentos</t>
  </si>
  <si>
    <t>221021HA03</t>
  </si>
  <si>
    <t>Punto de monitoreo ubicado apróximadamente 27 metros aguas arriba del paso vehicular de la DG 81 Sur, y 2 metros aguas abajo de un vertimiento que proviene de un canal tributario ubicado en la margen izquierda del cauce. Lecho natural rocoso, presencia de espumas, se perciben olores ofensivos.</t>
  </si>
  <si>
    <t>221021AN01</t>
  </si>
  <si>
    <t>Lecho rocoso y arenoso, durante el monitoreo no se percibieron olores ofensivos, el agua presentó coloración y espuma.</t>
  </si>
  <si>
    <t>291021AN02</t>
  </si>
  <si>
    <t>Se presenta un lecho en concreto, se observa material flotante, se percibe olor y color gris</t>
  </si>
  <si>
    <t>051121DU02</t>
  </si>
  <si>
    <t>Canal en concreto, no se percibe olor , Se observa material flotante, y algas (lama) adheridas a la losa del canal, se observa color.</t>
  </si>
  <si>
    <t>221021AN02</t>
  </si>
  <si>
    <t>Lecho rocoso/arenoso, se perciben olores ofensivos y coloración del agua</t>
  </si>
  <si>
    <t>221021AN03</t>
  </si>
  <si>
    <t>Lecho rocoso/arenoso, el cuerpo de agua presenta coloración, no se perciben olores ofensivos</t>
  </si>
  <si>
    <t>041121DU01</t>
  </si>
  <si>
    <t>Durante el monitoreo se pudo evidenciar que el canal presenta color y olor, además, se observaron solidos suspendidos de origen vegetal.</t>
  </si>
  <si>
    <t>121121SE03</t>
  </si>
  <si>
    <t xml:space="preserve">Se presenta un lecho rocoso, se observa material flotante, se percibe olor a agua residual y coloración amarilla. </t>
  </si>
  <si>
    <t>271021WI01</t>
  </si>
  <si>
    <t>Canal en concreto forma trapezoidal.
Vegetación arbórea.
Se perciben olores ofensivos.
El punto de monitoreo se encuentra ubicado a 30 metros aproximadamente de la descarga del rio Tunjuelo que se localiza dentro de los predios de la empresa Cemex.</t>
  </si>
  <si>
    <t>171121WI01</t>
  </si>
  <si>
    <t>Lecho natural rocoso, presenta color, se observan residuos sólidos en los alrededores,  no se percibe olor.</t>
  </si>
  <si>
    <t>221021HA01</t>
  </si>
  <si>
    <t>Punto de monitoreo ubicado aproximadamente 20 metros aguas arriba del puente vehicular de la avenida Boyacá, lecho natural/rocoso, residuos sólidos en la ronda del cauce, se perciben olores ofensivos.</t>
  </si>
  <si>
    <t>171121WI02</t>
  </si>
  <si>
    <t xml:space="preserve">Lecho natural rocoso, no se percibe olor, se observa color y presencia de residuos en las orillas y en la superficie. </t>
  </si>
  <si>
    <t>171121WI03</t>
  </si>
  <si>
    <t>Lecho natural rocoso, se observa muestra con color y se percibe olor característico a agua residual. Además se observan residuos sólidos en la orilla y en la superficie de la fuente hídrica</t>
  </si>
  <si>
    <t>191121HA01</t>
  </si>
  <si>
    <t>Durante el monitoreo se pudo evidenciar que el cuerpo hídrico presentó coloración,  se percibió olor característico de agua residual y se observó presencia de material flotante.</t>
  </si>
  <si>
    <t>291021AN03</t>
  </si>
  <si>
    <t xml:space="preserve">Se evidencia vegetación aledaña, lecho en concreto, presencia de color en el punto de muestreo. </t>
  </si>
  <si>
    <t>291021SE02</t>
  </si>
  <si>
    <t>Se evidencia material flotante por remoción de materia vegetal por adecuación del canal.</t>
  </si>
  <si>
    <t>251121HA01</t>
  </si>
  <si>
    <t>Lecho natural rocoso, presencia de residuos sólidos, escombros y basura, se percibe olor y color.</t>
  </si>
  <si>
    <t>051121DU01</t>
  </si>
  <si>
    <t xml:space="preserve">Canal en concreto en forma trapezoidal, se observan sedimentos, material flotante y color en el punto de muestreo. </t>
  </si>
  <si>
    <t>291121HA01</t>
  </si>
  <si>
    <t xml:space="preserve">Lecho en concreto, no se percibe color ni olor. </t>
  </si>
  <si>
    <t>111121JM02</t>
  </si>
  <si>
    <t>Canal natural, lecho en roca y sedimento. No se evidencian residuos en la fuente, ausencia de color en el punto de muestreo.</t>
  </si>
  <si>
    <t>041121JM01</t>
  </si>
  <si>
    <t>La fuente hídrica presenta coloración, se percibe olor característico a agua residual y se observa presencia de material flotante.
Altura: 2577 msnm</t>
  </si>
  <si>
    <t>261121DU01</t>
  </si>
  <si>
    <t>El cuerpo de agua presenta color y olor, el monitoreo se realiza aguas abajo a 20 metros de un vertimiento existente en la margen izquierda.</t>
  </si>
  <si>
    <t>261121DU03</t>
  </si>
  <si>
    <t>Lecho natural rocoso-arenoso, se observa coloración del agua</t>
  </si>
  <si>
    <t>191121WI02</t>
  </si>
  <si>
    <t>Durante el monitoreo se evidenció presencia de sedimentos y material flotante en el cuerpo de agua. Adicionalmente, se observó color aparente y se percibieron olores ofensivos.</t>
  </si>
  <si>
    <t>191121WI03</t>
  </si>
  <si>
    <t>Durante el monitoreo se pudo evidenciar que la fuente hídrica presenta sedimentación, color aparente y se percibe olor.</t>
  </si>
  <si>
    <t>011221AN03</t>
  </si>
  <si>
    <t xml:space="preserve">No presenta. 
</t>
  </si>
  <si>
    <t>251121HA02</t>
  </si>
  <si>
    <t>Durante el monitoreo se pudo evidenciar que el cuerpo de agua presenta color aparente y olor. Debido a fuertes lluvias presentadas durante el momento del monitoreo no se realiza la toma de cuarta y quinta alicuota</t>
  </si>
  <si>
    <t>251121FE01</t>
  </si>
  <si>
    <t>Durante el monitoreo se pudo evidenciar que el cuerpo de agua presenta color aparente y olor característico a agua residual</t>
  </si>
  <si>
    <t>251121FE02</t>
  </si>
  <si>
    <t>Durante el monitoreo se pudo evidenciar que el cuerpo de agua presenta olor característico a agua residual.</t>
  </si>
  <si>
    <t>301121DU01</t>
  </si>
  <si>
    <t>Durante el monitoreo se pudo evidenciar que el vertimiento presenta residuos sólidos, color aparente y olor. Después de la toma de la tercera alícuota se observó un cambio en el agua tornándose más turbia. En la toma de la quinta alícuota se evidenció un aumento en el caudal y cambio en el color del agua</t>
  </si>
  <si>
    <t>031221DU02</t>
  </si>
  <si>
    <t xml:space="preserve">Lecho en mampostería, se percibe color y olor. </t>
  </si>
  <si>
    <t>301121DU02</t>
  </si>
  <si>
    <t>Durante el monitoreo se puede evidenciar que el vertimiento presenta sedimentos, color aparente y olor.</t>
  </si>
  <si>
    <t>071221DU03</t>
  </si>
  <si>
    <t>Se presenta un lecho en cemento, se percibe olor, el agua presenta color caraterístico y se observa material flotante.</t>
  </si>
  <si>
    <t>071221WI02</t>
  </si>
  <si>
    <t>Se presentaron algas en el fondo del cuerpo de agua. Se percibe olor característico a productos de aseo en la toma de la 2 y 3 alícuota.  Se observa color.</t>
  </si>
  <si>
    <t>111121JM01</t>
  </si>
  <si>
    <t>Se observa material flotante, pasticos, telas, icopor entre otros residuos.
se observa espuma blanca en la superficie de la fuente, presenta color.
Altura en msnm es de 2645</t>
  </si>
  <si>
    <t>031221DU03</t>
  </si>
  <si>
    <t>El vertimiento presenta coloración, se perciben olores ofensivos.
Altura: 2595 msnm</t>
  </si>
  <si>
    <t>131221DU03</t>
  </si>
  <si>
    <t>Punto de monitoreo de lecho rocoso,la fuente hídrica presenta coloración y espuma.</t>
  </si>
  <si>
    <t>031221SA03</t>
  </si>
  <si>
    <t>El punto de muestreo se encuentra en un canal artificial en concreto en donde se observa coloración, material flotante ademas se perciben olores ofensivos
Altura: 2559 msnm</t>
  </si>
  <si>
    <t>071221WI03</t>
  </si>
  <si>
    <t>Se observo coloración en el punto de muestreo y se percibieron olores ofensivos.</t>
  </si>
  <si>
    <t>031221SA04</t>
  </si>
  <si>
    <t>Se observo coloración y material flotante, además se percibieron olores ofensivos
Altura: 2564 msnm</t>
  </si>
  <si>
    <t>021121FE02</t>
  </si>
  <si>
    <t>Se observa coloración. No se observa material flotante y no se perciben olores ofensivos.
Altura: 2568 msnm</t>
  </si>
  <si>
    <t>Determinante</t>
  </si>
  <si>
    <t>Abreviatura</t>
  </si>
  <si>
    <t>Unidades</t>
  </si>
  <si>
    <t>B</t>
  </si>
  <si>
    <t>[m]</t>
  </si>
  <si>
    <t>Hmáx</t>
  </si>
  <si>
    <t>Caudal</t>
  </si>
  <si>
    <t>[L.s-1]</t>
  </si>
  <si>
    <t>pH</t>
  </si>
  <si>
    <t>Temperatura</t>
  </si>
  <si>
    <t>T</t>
  </si>
  <si>
    <t>[°C]</t>
  </si>
  <si>
    <t>Conductividad</t>
  </si>
  <si>
    <t>Conduc</t>
  </si>
  <si>
    <t>[µS.cm-1]</t>
  </si>
  <si>
    <t>Oxígeno Disuelto</t>
  </si>
  <si>
    <t>OD</t>
  </si>
  <si>
    <t>[mg O2.L-1]</t>
  </si>
  <si>
    <t>Demanda Bioquímica de Oxígeno</t>
  </si>
  <si>
    <t>DBO5</t>
  </si>
  <si>
    <t>Demanda Química de Oxígeno</t>
  </si>
  <si>
    <t>DQO</t>
  </si>
  <si>
    <t>Sólidos Suspendidos Totales</t>
  </si>
  <si>
    <t>SST</t>
  </si>
  <si>
    <t>[mg SST.L-1]</t>
  </si>
  <si>
    <t>GyA</t>
  </si>
  <si>
    <t>[mg.L-1]</t>
  </si>
  <si>
    <t>Fósforo Total</t>
  </si>
  <si>
    <t>Ptotal</t>
  </si>
  <si>
    <t>[mg P.L-1]</t>
  </si>
  <si>
    <t>Col.Fec</t>
  </si>
  <si>
    <t>[NMP.100 mL-1]</t>
  </si>
  <si>
    <t>Nitrógeno Total Kjeldahl</t>
  </si>
  <si>
    <t>NTK</t>
  </si>
  <si>
    <t>[mg N.L-1]</t>
  </si>
  <si>
    <t>Ni</t>
  </si>
  <si>
    <t>Na</t>
  </si>
  <si>
    <t>NTotal</t>
  </si>
  <si>
    <t>Alcalinidad</t>
  </si>
  <si>
    <t>Alc</t>
  </si>
  <si>
    <t>[mg CaCO3.L-1]</t>
  </si>
  <si>
    <t>Dureza Total</t>
  </si>
  <si>
    <t>DT</t>
  </si>
  <si>
    <t>Arsénico</t>
  </si>
  <si>
    <t>As</t>
  </si>
  <si>
    <t>[mg As.L-1]</t>
  </si>
  <si>
    <t>Bario</t>
  </si>
  <si>
    <t>Ba</t>
  </si>
  <si>
    <t>[mg Ba.L-1]</t>
  </si>
  <si>
    <t>Cadmio</t>
  </si>
  <si>
    <t>Cd</t>
  </si>
  <si>
    <t>[mg Cd.L-1]</t>
  </si>
  <si>
    <t>Cianuro</t>
  </si>
  <si>
    <t>CN</t>
  </si>
  <si>
    <t>[mg CN-.L-1]</t>
  </si>
  <si>
    <t>Zinc</t>
  </si>
  <si>
    <t>Zn</t>
  </si>
  <si>
    <t>[mg Zn.L-1]</t>
  </si>
  <si>
    <t>Cobre</t>
  </si>
  <si>
    <t>Cu</t>
  </si>
  <si>
    <t>[mg Cu.L-1]</t>
  </si>
  <si>
    <t>Fenoles Totales</t>
  </si>
  <si>
    <t>Fenoltotal</t>
  </si>
  <si>
    <t>[mg Fenol.L-1]</t>
  </si>
  <si>
    <t>Cromo Total</t>
  </si>
  <si>
    <t>Crtotal</t>
  </si>
  <si>
    <t>[mg Cr.L-1]</t>
  </si>
  <si>
    <t>Manganeso</t>
  </si>
  <si>
    <t>Mn</t>
  </si>
  <si>
    <t>[mg Mn.L-1]</t>
  </si>
  <si>
    <t>Mercurio</t>
  </si>
  <si>
    <t>Hg</t>
  </si>
  <si>
    <t>[mg Hg.L-1]</t>
  </si>
  <si>
    <t>Níquel</t>
  </si>
  <si>
    <t>[mg Ni.L-1]</t>
  </si>
  <si>
    <t>Nitrógeno Amoniacal</t>
  </si>
  <si>
    <t>NH4</t>
  </si>
  <si>
    <t>Plomo</t>
  </si>
  <si>
    <t>Pb</t>
  </si>
  <si>
    <t>[mg Pb.L-1]</t>
  </si>
  <si>
    <t>Sulfuros Totales</t>
  </si>
  <si>
    <t>Stotal</t>
  </si>
  <si>
    <t>[mg S-2.L-1]</t>
  </si>
  <si>
    <t>Amonio</t>
  </si>
  <si>
    <t>Amo</t>
  </si>
  <si>
    <t>mg/L</t>
  </si>
  <si>
    <t>Col.To</t>
  </si>
  <si>
    <t>Estación</t>
  </si>
  <si>
    <t>Río</t>
  </si>
  <si>
    <t>Cuenca</t>
  </si>
  <si>
    <t>Tramo</t>
  </si>
  <si>
    <t>Abscisado</t>
  </si>
  <si>
    <t>Fotografia</t>
  </si>
  <si>
    <t>Fotografia 2</t>
  </si>
  <si>
    <t>Pais</t>
  </si>
  <si>
    <t>Latitud</t>
  </si>
  <si>
    <t>Longitud</t>
  </si>
  <si>
    <t>PTotal</t>
  </si>
  <si>
    <t>Canal Molinos</t>
  </si>
  <si>
    <t>Salitre</t>
  </si>
  <si>
    <t>https://drive.google.com/uc?export=view&amp;id=1By61fzPdPy8INeIHuEkBPiCp-Uca51cw</t>
  </si>
  <si>
    <t>https://drive.google.com/uc?export=view&amp;id=1mFUaegBIihgHN5RXj5S69MfiPYIGTu__</t>
  </si>
  <si>
    <t>Colombia</t>
  </si>
  <si>
    <t>https://drive.google.com/uc?export=view&amp;id=1TBQPgn_3anmedJz-FYN6pNFyfv4d96aA</t>
  </si>
  <si>
    <t>https://drive.google.com/uc?export=view&amp;id=1RzTZ-AA2MSO8MFRfv1n1YVrY2yhTpIPq</t>
  </si>
  <si>
    <t>https://drive.google.com/uc?export=view&amp;id=1Oyj1_kzoQ25u6UAIkkWU6O5dfD39YI74</t>
  </si>
  <si>
    <t>https://drive.google.com/uc?export=view&amp;id=1o2RYkECpLpW6mRGgd3AH9l1kSuWR-Eaz</t>
  </si>
  <si>
    <t>https://drive.google.com/uc?export=view&amp;id=1ZvBfgZHnlwJfoHoYiupzT6P6IT8-bxVA</t>
  </si>
  <si>
    <t>https://drive.google.com/uc?export=view&amp;id=1HcGT8QGKWlBZhJJkyZQFYprdiDNckQCN</t>
  </si>
  <si>
    <t>Canal Contador</t>
  </si>
  <si>
    <t>https://drive.google.com/uc?export=view&amp;id=1xmS_SvCRnndfjDCpq4tMcrW3ISEfWeTH</t>
  </si>
  <si>
    <t>https://drive.google.com/uc?export=view&amp;id=1WGJ38JD54vh2RkpU990TTIecvuulgerN</t>
  </si>
  <si>
    <t>https://drive.google.com/uc?export=view&amp;id=1MwEf9g6LJl_VnXIJUa4T0GLctWk-kELz</t>
  </si>
  <si>
    <t>https://drive.google.com/uc?export=view&amp;id=12Z44y1B7N2GJ4S9nRL7WVyNzDuool2Pn</t>
  </si>
  <si>
    <t>https://drive.google.com/uc?export=view&amp;id=1k5vu2OnbQw7vU433zGozPx8R-hevFGaZ</t>
  </si>
  <si>
    <t>https://drive.google.com/uc?export=view&amp;id=1u_7hYNSJLR29nBMtS24DSItuLe30OFao</t>
  </si>
  <si>
    <t>https://drive.google.com/uc?export=view&amp;id=1NZG3QPY85UNncQp77cs0z1dCTnvMEkmU</t>
  </si>
  <si>
    <t>https://drive.google.com/uc?export=view&amp;id=1Ez28KANT-_hZ9csKh1h_qxL8pAX1J_f5</t>
  </si>
  <si>
    <t>Canal Córdoba</t>
  </si>
  <si>
    <t>https://drive.google.com/uc?export=view&amp;id=1XiPX7prwU291-1hzkN9w88LE5WRJHNji</t>
  </si>
  <si>
    <t>https://drive.google.com/uc?export=view&amp;id=1vjhNpd2cW1dgN7A400xpaSUCs18s8704</t>
  </si>
  <si>
    <t>https://drive.google.com/uc?export=view&amp;id=1mp2BuaD-3b1cGtMgeuVpgZ38NSmf0qJf</t>
  </si>
  <si>
    <t>https://drive.google.com/file/d/0B9r5gq_rj14oREp3NXBPTTZRU1U/view?usp=sharing&amp;resourcekey=0-SPXAkrMoC8iyKUBfxkW92A</t>
  </si>
  <si>
    <t>https://drive.google.com/uc?export=view&amp;id=17xV6WydXLyGq80rpcJWr7UeGVAnZXpSG</t>
  </si>
  <si>
    <t>https://drive.google.com/uc?export=view&amp;id=1qCn1znbzMXoTveVL50IlUAq65SVq1DiS</t>
  </si>
  <si>
    <t>https://drive.google.com/uc?export=view&amp;id=12zcfY-0Bf9-NNtmxRGUc4PLq38cBYJe4</t>
  </si>
  <si>
    <t>https://drive.google.com/uc?export=view&amp;id=100Ui73WTtQe7pOMsa1dkT6jops3a0DVz</t>
  </si>
  <si>
    <t>https://drive.google.com/uc?export=view&amp;id=1xBwXextwtRKen2MHY8INItxV_rtpAgzR</t>
  </si>
  <si>
    <t>https://drive.google.com/uc?export=view&amp;id=1MuadTrg8w8qHpdQj1WWDoHwyGbRWxSGq</t>
  </si>
  <si>
    <t>Canal Río Negro</t>
  </si>
  <si>
    <t>https://drive.google.com/uc?export=view&amp;id=1IjVhw17gCPddC2KXXTn4l5SqRK9qJhuB</t>
  </si>
  <si>
    <t>https://drive.google.com/uc?export=view&amp;id=1OyP1reC3F9O_ovpVsyXXnVWKOymPt6yW</t>
  </si>
  <si>
    <t>https://drive.google.com/uc?export=view&amp;id=1t0bK-6pWs-lCYhdbfuZx53Pwrem4-L5e</t>
  </si>
  <si>
    <t>https://drive.google.com/uc?export=view&amp;id=11ho63nyApzEUUNobNltmEZbss1ub7q5x</t>
  </si>
  <si>
    <t>https://drive.google.com/uc?export=view&amp;id=1rl5k-tZSRIT0nckzAliqXQ9f1gyR1EF8</t>
  </si>
  <si>
    <t>https://drive.google.com/uc?export=view&amp;id=1HIz_PCuBZhiXpYibsigg5iDfN4vWs1bl</t>
  </si>
  <si>
    <t>https://drive.google.com/uc?export=view&amp;id=1PgH0qKyj7hgLLFSVAe5uWe8R9NqCRJgo</t>
  </si>
  <si>
    <t>https://drive.google.com/uc?export=view&amp;id=1_eezQGfzkceQez6J9Zg8XbCn_lu6V5kE</t>
  </si>
  <si>
    <t>Quebrada Chuniza</t>
  </si>
  <si>
    <t>Tunjuelo</t>
  </si>
  <si>
    <t>https://drive.google.com/uc?export=view&amp;id=1lA7mxwkSA9yeYKXm7CFf11IZxcD6rZUC</t>
  </si>
  <si>
    <t>https://drive.google.com/uc?export=view&amp;id=1UBqiqpF0hAa7LdMP4emxhrDpfKdp2sJN</t>
  </si>
  <si>
    <t>https://drive.google.com/uc?export=view&amp;id=199H8V3CPraoKaxlYC_y8PK_7CPWAmAcb</t>
  </si>
  <si>
    <t>https://drive.google.com/uc?export=view&amp;id=1VHrWdiFZcnwujLvVG4RrzpaixM5RifGi</t>
  </si>
  <si>
    <t>Quebrada Yomasa</t>
  </si>
  <si>
    <t>https://drive.google.com/uc?export=view&amp;id=1fD471YRONW_wLG75tni70HqFYWekkcGA</t>
  </si>
  <si>
    <t>https://drive.google.com/uc?export=view&amp;id=1wzRxbrX-R4dmPKIKI1J22xLxZ3ydy5GI</t>
  </si>
  <si>
    <t>https://drive.google.com/uc?export=view&amp;id=1AmjreCTcH6HNbEux7EpNfEzhIrLQ1yoe</t>
  </si>
  <si>
    <t>https://drive.google.com/uc?export=view&amp;id=1VfU5wphE_WptsPeX4j4NE_owQdHu9hMS</t>
  </si>
  <si>
    <t>https://drive.google.com/uc?export=view&amp;id=1s95l4Co1epcmW7qUjFKLrlhztbShzwV2</t>
  </si>
  <si>
    <t>https://drive.google.com/uc?export=view&amp;id=1Odf04cqeGm2ICe8aOYjyJk-VqPsH3KsW</t>
  </si>
  <si>
    <t>Quebrada Santa Librada</t>
  </si>
  <si>
    <t>https://drive.google.com/uc?export=view&amp;id=1kIMbuRJcDDtErMpNrUjzNUFy2wkgd0df</t>
  </si>
  <si>
    <t>https://drive.google.com/uc?export=view&amp;id=1bAPpBUxy2hy675LDQCDbjodVrW8flrr8</t>
  </si>
  <si>
    <t>https://drive.google.com/uc?export=view&amp;id=1CpUjdqFcmxeIdHQ5M3Owh0KG-bzlXTJD</t>
  </si>
  <si>
    <t>https://drive.google.com/uc?export=view&amp;id=1oD2S6KejuR81hRDmz67rGCDuq3kiz-Ix</t>
  </si>
  <si>
    <t>https://drive.google.com/uc?export=view&amp;id=1EyAb_3h-GhBAZa_JWouv1HScMVs5iSMT</t>
  </si>
  <si>
    <t>https://drive.google.com/uc?export=view&amp;id=18anQ4x_m8_CyOvXDSuoq_HyuwYX9KusB</t>
  </si>
  <si>
    <t>Quebrada Trompeta</t>
  </si>
  <si>
    <t>https://drive.google.com/uc?export=view&amp;id=1DT9iW2csu2fjpfvfLjgKNSEti66pdkv_</t>
  </si>
  <si>
    <t>https://drive.google.com/uc?export=view&amp;id=1yeohGk8OXPmbsqqk-yMXa2yoCuXAz8ZD</t>
  </si>
  <si>
    <t>https://drive.google.com/uc?export=view&amp;id=1UxafhWm9dKAEWCm4ljGRMWlUE3C4TnVT</t>
  </si>
  <si>
    <t>https://drive.google.com/uc?export=view&amp;id=1jkfH_s47yyZu89IdAwCTDNqFtvd9_7Zp</t>
  </si>
  <si>
    <t>https://drive.google.com/uc?export=view&amp;id=1IFep2KzDZnp9v_J5-x-PxrqBsbbONebc</t>
  </si>
  <si>
    <t>https://drive.google.com/uc?export=view&amp;id=1SH_qybKn1uvjpKRmB45wcoaX6KqTKmfJ</t>
  </si>
  <si>
    <t>Quebrada Chigüaza</t>
  </si>
  <si>
    <t>https://drive.google.com/uc?export=view&amp;id=133jzjgQpJfNTe0uoKc15_NwHLuQuKBjq</t>
  </si>
  <si>
    <t>https://drive.google.com/uc?export=view&amp;id=1GOtNcwqhx4kXqXbXNIpzR1CtGxtg4Kua</t>
  </si>
  <si>
    <t>https://drive.google.com/uc?export=view&amp;id=1inVeZxjrUvl2nc4MNBzIidMKJQhH1Oev</t>
  </si>
  <si>
    <t>https://drive.google.com/uc?export=view&amp;id=1rQH3yauoGqnOskcV_NLZPdtqrhYTNnR3</t>
  </si>
  <si>
    <t>https://drive.google.com/uc?export=view&amp;id=1_yno-EJXRuZ2SB4Sjcqk9ERPH-mm2ejj</t>
  </si>
  <si>
    <t>https://drive.google.com/uc?export=view&amp;id=16aaqu5-Pa_a7v5FYROMjv4At1UPXTtbl</t>
  </si>
  <si>
    <t>https://drive.google.com/uc?export=view&amp;id=1lrtUM3Gux5ZyMRoFJeWE_jYvsVkc7kz2</t>
  </si>
  <si>
    <t>https://drive.google.com/uc?export=view&amp;id=1DRczOKt6r581vCv3M8amWojud9Mhofwy</t>
  </si>
  <si>
    <t>Quebrada Limas</t>
  </si>
  <si>
    <t>https://drive.google.com/uc?export=view&amp;id=1MLn5ibHGa2I5F88qKSKcq_TzFPjCippz</t>
  </si>
  <si>
    <t>https://drive.google.com/uc?export=view&amp;id=1jFSxNFqzEwMGPgY6ZbwjQGXYpfMrt9Wg</t>
  </si>
  <si>
    <t>https://drive.google.com/uc?export=view&amp;id=1PNE710Yo2ZNgbUN905jAdu3p-3FBd-su</t>
  </si>
  <si>
    <t>https://drive.google.com/uc?export=view&amp;id=1lDXWjjrJfD1uwHTR476hZuPCcvfjlDvq</t>
  </si>
  <si>
    <t>https://drive.google.com/uc?export=view&amp;id=1uPXqVjVLnZvc13jvAiUqgzxpFXdePEoz</t>
  </si>
  <si>
    <t>https://drive.google.com/uc?export=view&amp;id=1nYa0ym5Bqs36IgZD3vbMQB5Qr_CfQzwy</t>
  </si>
  <si>
    <t>https://drive.google.com/uc?export=view&amp;id=1oWt1rGKTcrCbmABa77ZFSl-iMM3DLUGP</t>
  </si>
  <si>
    <t>https://drive.google.com/uc?export=view&amp;id=1LfjdkPhxOBf6s8MXrBgH858J6hYi7Vpf</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</si>
</sst>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HH:mm:ss"/>
    <numFmt numFmtId="166" formatCode="[$-1540A]m/d/yyyy"/>
    <numFmt numFmtId="167" formatCode="0.0"/>
    <numFmt numFmtId="168" formatCode="D/M/YYYY"/>
  </numFmts>
  <fonts count="19">
    <font>
      <sz val="11.0"/>
      <color theme="1"/>
      <name val="Calibri"/>
      <scheme val="minor"/>
    </font>
    <font>
      <b/>
      <sz val="9.0"/>
      <color theme="1"/>
      <name val="Calibri"/>
    </font>
    <font>
      <b/>
      <sz val="10.0"/>
      <color theme="1"/>
      <name val="Calibri"/>
    </font>
    <font>
      <sz val="11.0"/>
      <color theme="1"/>
      <name val="Calibri"/>
    </font>
    <font>
      <sz val="10.0"/>
      <color theme="1"/>
      <name val="Calibri"/>
    </font>
    <font>
      <sz val="10.0"/>
      <color rgb="FFFF0000"/>
      <name val="Calibri"/>
    </font>
    <font>
      <sz val="11.0"/>
      <color rgb="FFFF0000"/>
      <name val="Calibri"/>
    </font>
    <font>
      <sz val="11.0"/>
      <color rgb="FF000000"/>
      <name val="Calibri"/>
    </font>
    <font>
      <sz val="9.0"/>
      <color theme="1"/>
      <name val="Calibri"/>
    </font>
    <font>
      <sz val="10.0"/>
      <color rgb="FF000000"/>
      <name val="Calibri"/>
    </font>
    <font>
      <u/>
      <sz val="10.0"/>
      <color rgb="FF1155CC"/>
      <name val="Calibri"/>
    </font>
    <font>
      <u/>
      <sz val="10.0"/>
      <color rgb="FF000000"/>
      <name val="Calibri"/>
    </font>
    <font>
      <u/>
      <sz val="10.0"/>
      <color rgb="FF0000FF"/>
    </font>
    <font>
      <u/>
      <sz val="10.0"/>
      <color theme="1"/>
      <name val="Calibri"/>
    </font>
    <font>
      <sz val="10.0"/>
      <color theme="1"/>
      <name val="Calibri"/>
      <scheme val="minor"/>
    </font>
    <font>
      <u/>
      <sz val="10.0"/>
      <color rgb="FF0000FF"/>
    </font>
    <font>
      <u/>
      <sz val="10.0"/>
      <color rgb="FF1155CC"/>
    </font>
    <font>
      <u/>
      <sz val="10.0"/>
      <color rgb="FF0563C1"/>
    </font>
    <font>
      <color theme="1"/>
      <name val="Calibri"/>
      <scheme val="minor"/>
    </font>
  </fonts>
  <fills count="7">
    <fill>
      <patternFill patternType="none"/>
    </fill>
    <fill>
      <patternFill patternType="lightGray"/>
    </fill>
    <fill>
      <patternFill patternType="solid">
        <fgColor rgb="FF99CCFF"/>
        <bgColor rgb="FF99CCFF"/>
      </patternFill>
    </fill>
    <fill>
      <patternFill patternType="solid">
        <fgColor rgb="FF00FF00"/>
        <bgColor rgb="FF00FF00"/>
      </patternFill>
    </fill>
    <fill>
      <patternFill patternType="solid">
        <fgColor rgb="FF00B050"/>
        <bgColor rgb="FF00B050"/>
      </patternFill>
    </fill>
    <fill>
      <patternFill patternType="solid">
        <fgColor rgb="FFCC99FF"/>
        <bgColor rgb="FFCC99FF"/>
      </patternFill>
    </fill>
    <fill>
      <patternFill patternType="solid">
        <fgColor theme="7"/>
        <bgColor theme="7"/>
      </patternFill>
    </fill>
  </fills>
  <borders count="8">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164" xfId="0" applyAlignment="1" applyBorder="1" applyFont="1" applyNumberFormat="1">
      <alignment horizontal="center" shrinkToFit="0" vertical="center" wrapText="1"/>
    </xf>
    <xf borderId="1" fillId="2" fontId="1" numFmtId="165" xfId="0" applyAlignment="1" applyBorder="1" applyFont="1" applyNumberFormat="1">
      <alignment horizontal="center" shrinkToFit="0" vertical="center" wrapText="1"/>
    </xf>
    <xf borderId="1" fillId="2" fontId="2" numFmtId="165" xfId="0" applyAlignment="1" applyBorder="1" applyFont="1" applyNumberFormat="1">
      <alignment horizontal="center" shrinkToFit="0" vertical="center" wrapText="1"/>
    </xf>
    <xf borderId="2" fillId="0" fontId="2" numFmtId="0" xfId="0" applyAlignment="1" applyBorder="1" applyFont="1">
      <alignment horizontal="center" vertical="center"/>
    </xf>
    <xf borderId="1" fillId="3" fontId="1" numFmtId="4" xfId="0" applyAlignment="1" applyBorder="1" applyFill="1" applyFont="1" applyNumberFormat="1">
      <alignment horizontal="center" shrinkToFit="0" vertical="center" wrapText="1"/>
    </xf>
    <xf borderId="1" fillId="4" fontId="1" numFmtId="4" xfId="0" applyAlignment="1" applyBorder="1" applyFill="1" applyFont="1" applyNumberFormat="1">
      <alignment horizontal="center" shrinkToFit="0" vertical="center" wrapText="1"/>
    </xf>
    <xf borderId="1" fillId="2" fontId="1" numFmtId="4" xfId="0" applyAlignment="1" applyBorder="1" applyFont="1" applyNumberFormat="1">
      <alignment horizontal="center" shrinkToFit="0" vertical="center" wrapText="1"/>
    </xf>
    <xf borderId="1" fillId="5" fontId="1" numFmtId="4" xfId="0" applyAlignment="1" applyBorder="1" applyFill="1" applyFont="1" applyNumberFormat="1">
      <alignment horizontal="center" shrinkToFit="0" vertical="center" wrapText="1"/>
    </xf>
    <xf borderId="2" fillId="0" fontId="3" numFmtId="0" xfId="0" applyAlignment="1" applyBorder="1" applyFont="1">
      <alignment horizontal="center" shrinkToFit="0" vertical="center" wrapText="1"/>
    </xf>
    <xf borderId="2" fillId="0" fontId="3" numFmtId="166" xfId="0" applyAlignment="1" applyBorder="1" applyFont="1" applyNumberFormat="1">
      <alignment horizontal="center" vertical="center"/>
    </xf>
    <xf borderId="2" fillId="0" fontId="3" numFmtId="0" xfId="0" applyAlignment="1" applyBorder="1" applyFont="1">
      <alignment horizontal="center" vertical="center"/>
    </xf>
    <xf borderId="2" fillId="0" fontId="4" numFmtId="165" xfId="0" applyAlignment="1" applyBorder="1" applyFont="1" applyNumberFormat="1">
      <alignment horizontal="center" vertical="center"/>
    </xf>
    <xf borderId="2" fillId="0" fontId="3" numFmtId="4" xfId="0" applyAlignment="1" applyBorder="1" applyFont="1" applyNumberFormat="1">
      <alignment horizontal="center" vertical="center"/>
    </xf>
    <xf borderId="2" fillId="0" fontId="4" numFmtId="4" xfId="0" applyAlignment="1" applyBorder="1" applyFont="1" applyNumberFormat="1">
      <alignment horizontal="center" vertical="center"/>
    </xf>
    <xf borderId="2" fillId="0" fontId="3" numFmtId="0" xfId="0" applyAlignment="1" applyBorder="1" applyFont="1">
      <alignment horizontal="center" readingOrder="0" vertical="center"/>
    </xf>
    <xf borderId="2" fillId="0" fontId="4" numFmtId="166" xfId="0" applyAlignment="1" applyBorder="1" applyFont="1" applyNumberFormat="1">
      <alignment horizontal="center" vertical="center"/>
    </xf>
    <xf borderId="2" fillId="0" fontId="4" numFmtId="0" xfId="0" applyAlignment="1" applyBorder="1" applyFont="1">
      <alignment horizontal="center" vertical="center"/>
    </xf>
    <xf borderId="2" fillId="0" fontId="5" numFmtId="4" xfId="0" applyAlignment="1" applyBorder="1" applyFont="1" applyNumberFormat="1">
      <alignment horizontal="center" vertical="center"/>
    </xf>
    <xf borderId="2" fillId="0" fontId="4" numFmtId="4" xfId="0" applyAlignment="1" applyBorder="1" applyFont="1" applyNumberFormat="1">
      <alignment horizontal="center" shrinkToFit="0" vertical="center" wrapText="1"/>
    </xf>
    <xf borderId="2" fillId="0" fontId="4" numFmtId="167" xfId="0" applyAlignment="1" applyBorder="1" applyFont="1" applyNumberFormat="1">
      <alignment horizontal="center" shrinkToFit="0" vertical="center" wrapText="1"/>
    </xf>
    <xf borderId="2" fillId="0" fontId="4" numFmtId="2" xfId="0" applyAlignment="1" applyBorder="1" applyFont="1" applyNumberFormat="1">
      <alignment horizontal="center" shrinkToFit="0" vertical="center" wrapText="1"/>
    </xf>
    <xf borderId="2" fillId="0" fontId="4" numFmtId="167" xfId="0" applyAlignment="1" applyBorder="1" applyFont="1" applyNumberFormat="1">
      <alignment horizontal="center" vertical="center"/>
    </xf>
    <xf borderId="2" fillId="0" fontId="4" numFmtId="2" xfId="0" applyAlignment="1" applyBorder="1" applyFont="1" applyNumberFormat="1">
      <alignment horizontal="center" vertical="center"/>
    </xf>
    <xf borderId="2" fillId="0" fontId="5" numFmtId="4" xfId="0" applyAlignment="1" applyBorder="1" applyFont="1" applyNumberFormat="1">
      <alignment horizontal="center" shrinkToFit="0" vertical="center" wrapText="1"/>
    </xf>
    <xf borderId="3" fillId="0" fontId="4" numFmtId="4" xfId="0" applyAlignment="1" applyBorder="1" applyFont="1" applyNumberFormat="1">
      <alignment horizontal="center" vertical="center"/>
    </xf>
    <xf borderId="3" fillId="0" fontId="3" numFmtId="0" xfId="0" applyAlignment="1" applyBorder="1" applyFont="1">
      <alignment horizontal="center" shrinkToFit="0" vertical="center" wrapText="1"/>
    </xf>
    <xf borderId="3" fillId="0" fontId="3" numFmtId="166" xfId="0" applyAlignment="1" applyBorder="1" applyFont="1" applyNumberFormat="1">
      <alignment horizontal="center" vertical="center"/>
    </xf>
    <xf borderId="3" fillId="0" fontId="3" numFmtId="0" xfId="0" applyAlignment="1" applyBorder="1" applyFont="1">
      <alignment horizontal="center" vertical="center"/>
    </xf>
    <xf borderId="3" fillId="0" fontId="4" numFmtId="165" xfId="0" applyAlignment="1" applyBorder="1" applyFont="1" applyNumberFormat="1">
      <alignment horizontal="center" vertical="center"/>
    </xf>
    <xf borderId="3" fillId="0" fontId="3" numFmtId="4" xfId="0" applyAlignment="1" applyBorder="1" applyFont="1" applyNumberFormat="1">
      <alignment horizontal="center" vertical="center"/>
    </xf>
    <xf borderId="3" fillId="0" fontId="3" numFmtId="0" xfId="0" applyAlignment="1" applyBorder="1" applyFont="1">
      <alignment horizontal="center" readingOrder="0" shrinkToFit="0" vertical="center" wrapText="1"/>
    </xf>
    <xf borderId="3" fillId="0" fontId="3" numFmtId="0" xfId="0" applyAlignment="1" applyBorder="1" applyFont="1">
      <alignment horizontal="center" readingOrder="0" vertical="center"/>
    </xf>
    <xf borderId="3" fillId="0" fontId="3" numFmtId="168" xfId="0" applyAlignment="1" applyBorder="1" applyFont="1" applyNumberFormat="1">
      <alignment horizontal="center" readingOrder="0" vertical="center"/>
    </xf>
    <xf borderId="3" fillId="0" fontId="3" numFmtId="165" xfId="0" applyAlignment="1" applyBorder="1" applyFont="1" applyNumberFormat="1">
      <alignment horizontal="center" readingOrder="0" vertical="center"/>
    </xf>
    <xf borderId="3" fillId="0" fontId="3" numFmtId="4" xfId="0" applyAlignment="1" applyBorder="1" applyFont="1" applyNumberFormat="1">
      <alignment horizontal="center" readingOrder="0" vertical="center"/>
    </xf>
    <xf borderId="2" fillId="0" fontId="6" numFmtId="4" xfId="0" applyAlignment="1" applyBorder="1" applyFont="1" applyNumberFormat="1">
      <alignment horizontal="center" readingOrder="0" shrinkToFit="0" wrapText="0"/>
    </xf>
    <xf borderId="2" fillId="0" fontId="7" numFmtId="4" xfId="0" applyAlignment="1" applyBorder="1" applyFont="1" applyNumberFormat="1">
      <alignment horizontal="center" readingOrder="0" shrinkToFit="0" wrapText="0"/>
    </xf>
    <xf borderId="4" fillId="0" fontId="6" numFmtId="4" xfId="0" applyAlignment="1" applyBorder="1" applyFont="1" applyNumberFormat="1">
      <alignment horizontal="center" readingOrder="0" shrinkToFit="0" wrapText="0"/>
    </xf>
    <xf borderId="5" fillId="0" fontId="7" numFmtId="4" xfId="0" applyAlignment="1" applyBorder="1" applyFont="1" applyNumberFormat="1">
      <alignment horizontal="center" readingOrder="0" shrinkToFit="0" wrapText="0"/>
    </xf>
    <xf borderId="5" fillId="0" fontId="6" numFmtId="4" xfId="0" applyAlignment="1" applyBorder="1" applyFont="1" applyNumberFormat="1">
      <alignment horizontal="center" readingOrder="0" shrinkToFit="0" wrapText="0"/>
    </xf>
    <xf borderId="6" fillId="0" fontId="6" numFmtId="4" xfId="0" applyAlignment="1" applyBorder="1" applyFont="1" applyNumberFormat="1">
      <alignment horizontal="center" readingOrder="0" shrinkToFit="0" wrapText="0"/>
    </xf>
    <xf borderId="6" fillId="0" fontId="7" numFmtId="4" xfId="0" applyAlignment="1" applyBorder="1" applyFont="1" applyNumberFormat="1">
      <alignment horizontal="center" readingOrder="0" shrinkToFit="0" wrapText="0"/>
    </xf>
    <xf borderId="2" fillId="0" fontId="3" numFmtId="168" xfId="0" applyAlignment="1" applyBorder="1" applyFont="1" applyNumberFormat="1">
      <alignment horizontal="center" vertical="center"/>
    </xf>
    <xf borderId="2" fillId="0" fontId="3" numFmtId="165" xfId="0" applyAlignment="1" applyBorder="1" applyFont="1" applyNumberFormat="1">
      <alignment horizontal="center" vertical="center"/>
    </xf>
    <xf borderId="2" fillId="0" fontId="4" numFmtId="168" xfId="0" applyAlignment="1" applyBorder="1" applyFont="1" applyNumberFormat="1">
      <alignment horizontal="center" vertical="center"/>
    </xf>
    <xf borderId="3" fillId="0" fontId="4" numFmtId="0" xfId="0" applyAlignment="1" applyBorder="1" applyFont="1">
      <alignment horizontal="center" vertical="center"/>
    </xf>
    <xf borderId="2" fillId="0" fontId="3" numFmtId="4" xfId="0" applyAlignment="1" applyBorder="1" applyFont="1" applyNumberFormat="1">
      <alignment horizontal="center" shrinkToFit="0" vertical="center" wrapText="1"/>
    </xf>
    <xf borderId="2" fillId="6" fontId="3" numFmtId="0" xfId="0" applyAlignment="1" applyBorder="1" applyFill="1" applyFont="1">
      <alignment horizontal="center" readingOrder="0" shrinkToFit="0" vertical="center" wrapText="1"/>
    </xf>
    <xf borderId="0" fillId="0" fontId="1" numFmtId="0" xfId="0" applyAlignment="1" applyFont="1">
      <alignment horizontal="center" vertical="bottom"/>
    </xf>
    <xf borderId="2" fillId="0" fontId="1" numFmtId="0" xfId="0" applyAlignment="1" applyBorder="1" applyFont="1">
      <alignment horizontal="center" vertical="bottom"/>
    </xf>
    <xf borderId="2" fillId="0" fontId="1" numFmtId="0" xfId="0" applyAlignment="1" applyBorder="1" applyFont="1">
      <alignment vertical="bottom"/>
    </xf>
    <xf borderId="2" fillId="0" fontId="8" numFmtId="0" xfId="0" applyAlignment="1" applyBorder="1" applyFont="1">
      <alignment vertical="bottom"/>
    </xf>
    <xf borderId="2" fillId="2" fontId="1"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2" fillId="4" fontId="1" numFmtId="0" xfId="0" applyAlignment="1" applyBorder="1" applyFont="1">
      <alignment horizontal="center" shrinkToFit="0" vertical="center" wrapText="1"/>
    </xf>
    <xf borderId="0" fillId="2" fontId="1" numFmtId="11" xfId="0" applyAlignment="1" applyFont="1" applyNumberFormat="1">
      <alignment horizontal="center" vertical="center"/>
    </xf>
    <xf borderId="2" fillId="2" fontId="1" numFmtId="11" xfId="0" applyAlignment="1" applyBorder="1" applyFont="1" applyNumberFormat="1">
      <alignment horizontal="center" vertical="center"/>
    </xf>
    <xf borderId="7" fillId="0" fontId="3" numFmtId="0" xfId="0" applyAlignment="1" applyBorder="1" applyFont="1">
      <alignment horizontal="center" shrinkToFit="0" vertical="center" wrapText="1"/>
    </xf>
    <xf borderId="2" fillId="0" fontId="9" numFmtId="1" xfId="0" applyAlignment="1" applyBorder="1" applyFont="1" applyNumberFormat="1">
      <alignment horizontal="center" shrinkToFit="0" vertical="center" wrapText="1"/>
    </xf>
    <xf borderId="2" fillId="0" fontId="4" numFmtId="0" xfId="0" applyAlignment="1" applyBorder="1" applyFont="1">
      <alignment horizontal="center" readingOrder="0" vertical="center"/>
    </xf>
    <xf borderId="2" fillId="0" fontId="10" numFmtId="0" xfId="0" applyAlignment="1" applyBorder="1" applyFont="1">
      <alignment horizontal="center" readingOrder="0" vertical="center"/>
    </xf>
    <xf borderId="2" fillId="0" fontId="11" numFmtId="0" xfId="0" applyAlignment="1" applyBorder="1" applyFont="1">
      <alignment horizontal="center" readingOrder="0" vertical="center"/>
    </xf>
    <xf borderId="2" fillId="0" fontId="4" numFmtId="11" xfId="0" applyAlignment="1" applyBorder="1" applyFont="1" applyNumberFormat="1">
      <alignment horizontal="center" vertical="center"/>
    </xf>
    <xf borderId="0" fillId="0" fontId="12" numFmtId="0" xfId="0" applyAlignment="1" applyFont="1">
      <alignment horizontal="left"/>
    </xf>
    <xf borderId="2" fillId="0" fontId="13" numFmtId="0" xfId="0" applyAlignment="1" applyBorder="1" applyFont="1">
      <alignment horizontal="center" readingOrder="0" vertical="center"/>
    </xf>
    <xf borderId="0" fillId="0" fontId="14" numFmtId="0" xfId="0" applyAlignment="1" applyFont="1">
      <alignment horizontal="center" readingOrder="0" vertical="center"/>
    </xf>
    <xf borderId="0" fillId="0" fontId="15" numFmtId="0" xfId="0" applyFont="1"/>
    <xf borderId="0" fillId="0" fontId="16" numFmtId="0" xfId="0" applyAlignment="1" applyFont="1">
      <alignment readingOrder="0"/>
    </xf>
    <xf borderId="0" fillId="0" fontId="17" numFmtId="0" xfId="0" applyAlignment="1" applyFont="1">
      <alignment horizontal="left" readingOrder="0"/>
    </xf>
    <xf borderId="2" fillId="0" fontId="9" numFmtId="1" xfId="0" applyAlignment="1" applyBorder="1" applyFont="1" applyNumberFormat="1">
      <alignment horizontal="center" vertical="center"/>
    </xf>
    <xf borderId="6" fillId="0" fontId="9" numFmtId="1" xfId="0" applyAlignment="1" applyBorder="1" applyFont="1" applyNumberFormat="1">
      <alignment horizontal="center" shrinkToFit="0" vertical="center" wrapText="1"/>
    </xf>
    <xf borderId="5" fillId="0" fontId="9" numFmtId="1" xfId="0" applyAlignment="1" applyBorder="1" applyFont="1" applyNumberFormat="1">
      <alignment horizontal="center" shrinkToFit="0" vertical="center" wrapText="1"/>
    </xf>
    <xf borderId="5" fillId="0" fontId="4" numFmtId="0" xfId="0" applyAlignment="1" applyBorder="1" applyFont="1">
      <alignment horizontal="center" vertical="center"/>
    </xf>
    <xf borderId="4" fillId="0" fontId="9" numFmtId="1" xfId="0" applyAlignment="1" applyBorder="1" applyFont="1" applyNumberFormat="1">
      <alignment horizontal="center" shrinkToFit="0" vertical="center" wrapText="1"/>
    </xf>
    <xf borderId="4" fillId="0" fontId="9" numFmtId="1" xfId="0" applyAlignment="1" applyBorder="1" applyFont="1" applyNumberFormat="1">
      <alignment horizontal="center" readingOrder="0" shrinkToFit="0" vertical="center" wrapText="1"/>
    </xf>
    <xf borderId="0" fillId="0" fontId="18" numFmtId="0" xfId="0" applyAlignment="1" applyFont="1">
      <alignment readingOrder="0"/>
    </xf>
  </cellXfs>
  <cellStyles count="1">
    <cellStyle xfId="0" name="Normal" builtinId="0"/>
  </cellStyles>
  <dxfs count="1">
    <dxf>
      <font>
        <color rgb="FFFF000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rive.google.com/uc?export=view&amp;id=1wzRxbrX-R4dmPKIKI1J22xLxZ3ydy5GI" TargetMode="External"/><Relationship Id="rId42" Type="http://schemas.openxmlformats.org/officeDocument/2006/relationships/hyperlink" Target="https://drive.google.com/uc?export=view&amp;id=1VfU5wphE_WptsPeX4j4NE_owQdHu9hMS" TargetMode="External"/><Relationship Id="rId41" Type="http://schemas.openxmlformats.org/officeDocument/2006/relationships/hyperlink" Target="https://drive.google.com/uc?export=view&amp;id=1AmjreCTcH6HNbEux7EpNfEzhIrLQ1yoe" TargetMode="External"/><Relationship Id="rId44" Type="http://schemas.openxmlformats.org/officeDocument/2006/relationships/hyperlink" Target="https://drive.google.com/uc?export=view&amp;id=1Odf04cqeGm2ICe8aOYjyJk-VqPsH3KsW" TargetMode="External"/><Relationship Id="rId43" Type="http://schemas.openxmlformats.org/officeDocument/2006/relationships/hyperlink" Target="https://drive.google.com/uc?export=view&amp;id=1s95l4Co1epcmW7qUjFKLrlhztbShzwV2" TargetMode="External"/><Relationship Id="rId46" Type="http://schemas.openxmlformats.org/officeDocument/2006/relationships/hyperlink" Target="https://drive.google.com/uc?export=view&amp;id=1bAPpBUxy2hy675LDQCDbjodVrW8flrr8" TargetMode="External"/><Relationship Id="rId45" Type="http://schemas.openxmlformats.org/officeDocument/2006/relationships/hyperlink" Target="https://drive.google.com/uc?export=view&amp;id=1kIMbuRJcDDtErMpNrUjzNUFy2wkgd0df" TargetMode="External"/><Relationship Id="rId1" Type="http://schemas.openxmlformats.org/officeDocument/2006/relationships/hyperlink" Target="https://drive.google.com/uc?export=view&amp;id=1By61fzPdPy8INeIHuEkBPiCp-Uca51cw" TargetMode="External"/><Relationship Id="rId2" Type="http://schemas.openxmlformats.org/officeDocument/2006/relationships/hyperlink" Target="https://drive.google.com/uc?export=view&amp;id=1mFUaegBIihgHN5RXj5S69MfiPYIGTu__" TargetMode="External"/><Relationship Id="rId3" Type="http://schemas.openxmlformats.org/officeDocument/2006/relationships/hyperlink" Target="https://drive.google.com/uc?export=view&amp;id=1TBQPgn_3anmedJz-FYN6pNFyfv4d96aA" TargetMode="External"/><Relationship Id="rId4" Type="http://schemas.openxmlformats.org/officeDocument/2006/relationships/hyperlink" Target="https://drive.google.com/uc?export=view&amp;id=1RzTZ-AA2MSO8MFRfv1n1YVrY2yhTpIPq" TargetMode="External"/><Relationship Id="rId9" Type="http://schemas.openxmlformats.org/officeDocument/2006/relationships/hyperlink" Target="https://drive.google.com/uc?export=view&amp;id=1xmS_SvCRnndfjDCpq4tMcrW3ISEfWeTH" TargetMode="External"/><Relationship Id="rId48" Type="http://schemas.openxmlformats.org/officeDocument/2006/relationships/hyperlink" Target="https://drive.google.com/uc?export=view&amp;id=1oD2S6KejuR81hRDmz67rGCDuq3kiz-Ix" TargetMode="External"/><Relationship Id="rId47" Type="http://schemas.openxmlformats.org/officeDocument/2006/relationships/hyperlink" Target="https://drive.google.com/uc?export=view&amp;id=1CpUjdqFcmxeIdHQ5M3Owh0KG-bzlXTJD" TargetMode="External"/><Relationship Id="rId49" Type="http://schemas.openxmlformats.org/officeDocument/2006/relationships/hyperlink" Target="https://drive.google.com/uc?export=view&amp;id=1EyAb_3h-GhBAZa_JWouv1HScMVs5iSMT" TargetMode="External"/><Relationship Id="rId5" Type="http://schemas.openxmlformats.org/officeDocument/2006/relationships/hyperlink" Target="https://drive.google.com/uc?export=view&amp;id=1Oyj1_kzoQ25u6UAIkkWU6O5dfD39YI74" TargetMode="External"/><Relationship Id="rId6" Type="http://schemas.openxmlformats.org/officeDocument/2006/relationships/hyperlink" Target="https://drive.google.com/uc?export=view&amp;id=1o2RYkECpLpW6mRGgd3AH9l1kSuWR-Eaz" TargetMode="External"/><Relationship Id="rId7" Type="http://schemas.openxmlformats.org/officeDocument/2006/relationships/hyperlink" Target="https://drive.google.com/uc?export=view&amp;id=1ZvBfgZHnlwJfoHoYiupzT6P6IT8-bxVA" TargetMode="External"/><Relationship Id="rId8" Type="http://schemas.openxmlformats.org/officeDocument/2006/relationships/hyperlink" Target="https://drive.google.com/uc?export=view&amp;id=1HcGT8QGKWlBZhJJkyZQFYprdiDNckQCN" TargetMode="External"/><Relationship Id="rId73" Type="http://schemas.openxmlformats.org/officeDocument/2006/relationships/drawing" Target="../drawings/drawing3.xml"/><Relationship Id="rId72" Type="http://schemas.openxmlformats.org/officeDocument/2006/relationships/hyperlink" Target="https://drive.google.com/uc?export=view&amp;id=1LfjdkPhxOBf6s8MXrBgH858J6hYi7Vpf" TargetMode="External"/><Relationship Id="rId31" Type="http://schemas.openxmlformats.org/officeDocument/2006/relationships/hyperlink" Target="https://drive.google.com/uc?export=view&amp;id=1rl5k-tZSRIT0nckzAliqXQ9f1gyR1EF8" TargetMode="External"/><Relationship Id="rId30" Type="http://schemas.openxmlformats.org/officeDocument/2006/relationships/hyperlink" Target="https://drive.google.com/uc?export=view&amp;id=11ho63nyApzEUUNobNltmEZbss1ub7q5x" TargetMode="External"/><Relationship Id="rId33" Type="http://schemas.openxmlformats.org/officeDocument/2006/relationships/hyperlink" Target="https://drive.google.com/uc?export=view&amp;id=1PgH0qKyj7hgLLFSVAe5uWe8R9NqCRJgo" TargetMode="External"/><Relationship Id="rId32" Type="http://schemas.openxmlformats.org/officeDocument/2006/relationships/hyperlink" Target="https://drive.google.com/uc?export=view&amp;id=1HIz_PCuBZhiXpYibsigg5iDfN4vWs1bl" TargetMode="External"/><Relationship Id="rId35" Type="http://schemas.openxmlformats.org/officeDocument/2006/relationships/hyperlink" Target="https://drive.google.com/uc?export=view&amp;id=1lA7mxwkSA9yeYKXm7CFf11IZxcD6rZUC" TargetMode="External"/><Relationship Id="rId34" Type="http://schemas.openxmlformats.org/officeDocument/2006/relationships/hyperlink" Target="https://drive.google.com/uc?export=view&amp;id=1_eezQGfzkceQez6J9Zg8XbCn_lu6V5kE" TargetMode="External"/><Relationship Id="rId71" Type="http://schemas.openxmlformats.org/officeDocument/2006/relationships/hyperlink" Target="https://drive.google.com/uc?export=view&amp;id=1oWt1rGKTcrCbmABa77ZFSl-iMM3DLUGP" TargetMode="External"/><Relationship Id="rId70" Type="http://schemas.openxmlformats.org/officeDocument/2006/relationships/hyperlink" Target="https://drive.google.com/uc?export=view&amp;id=1nYa0ym5Bqs36IgZD3vbMQB5Qr_CfQzwy" TargetMode="External"/><Relationship Id="rId37" Type="http://schemas.openxmlformats.org/officeDocument/2006/relationships/hyperlink" Target="https://drive.google.com/uc?export=view&amp;id=199H8V3CPraoKaxlYC_y8PK_7CPWAmAcb" TargetMode="External"/><Relationship Id="rId36" Type="http://schemas.openxmlformats.org/officeDocument/2006/relationships/hyperlink" Target="https://drive.google.com/uc?export=view&amp;id=1UBqiqpF0hAa7LdMP4emxhrDpfKdp2sJN" TargetMode="External"/><Relationship Id="rId39" Type="http://schemas.openxmlformats.org/officeDocument/2006/relationships/hyperlink" Target="https://drive.google.com/uc?export=view&amp;id=1fD471YRONW_wLG75tni70HqFYWekkcGA" TargetMode="External"/><Relationship Id="rId38" Type="http://schemas.openxmlformats.org/officeDocument/2006/relationships/hyperlink" Target="https://drive.google.com/uc?export=view&amp;id=1VHrWdiFZcnwujLvVG4RrzpaixM5RifGi" TargetMode="External"/><Relationship Id="rId62" Type="http://schemas.openxmlformats.org/officeDocument/2006/relationships/hyperlink" Target="https://drive.google.com/uc?export=view&amp;id=16aaqu5-Pa_a7v5FYROMjv4At1UPXTtbl" TargetMode="External"/><Relationship Id="rId61" Type="http://schemas.openxmlformats.org/officeDocument/2006/relationships/hyperlink" Target="https://drive.google.com/uc?export=view&amp;id=1_yno-EJXRuZ2SB4Sjcqk9ERPH-mm2ejj" TargetMode="External"/><Relationship Id="rId20" Type="http://schemas.openxmlformats.org/officeDocument/2006/relationships/hyperlink" Target="https://drive.google.com/file/d/0B9r5gq_rj14oREp3NXBPTTZRU1U/view?usp=sharing&amp;resourcekey=0-SPXAkrMoC8iyKUBfxkW92A" TargetMode="External"/><Relationship Id="rId64" Type="http://schemas.openxmlformats.org/officeDocument/2006/relationships/hyperlink" Target="https://drive.google.com/uc?export=view&amp;id=1DRczOKt6r581vCv3M8amWojud9Mhofwy" TargetMode="External"/><Relationship Id="rId63" Type="http://schemas.openxmlformats.org/officeDocument/2006/relationships/hyperlink" Target="https://drive.google.com/uc?export=view&amp;id=1lrtUM3Gux5ZyMRoFJeWE_jYvsVkc7kz2" TargetMode="External"/><Relationship Id="rId22" Type="http://schemas.openxmlformats.org/officeDocument/2006/relationships/hyperlink" Target="https://drive.google.com/uc?export=view&amp;id=1qCn1znbzMXoTveVL50IlUAq65SVq1DiS" TargetMode="External"/><Relationship Id="rId66" Type="http://schemas.openxmlformats.org/officeDocument/2006/relationships/hyperlink" Target="https://drive.google.com/uc?export=view&amp;id=1jFSxNFqzEwMGPgY6ZbwjQGXYpfMrt9Wg" TargetMode="External"/><Relationship Id="rId21" Type="http://schemas.openxmlformats.org/officeDocument/2006/relationships/hyperlink" Target="https://drive.google.com/uc?export=view&amp;id=17xV6WydXLyGq80rpcJWr7UeGVAnZXpSG" TargetMode="External"/><Relationship Id="rId65" Type="http://schemas.openxmlformats.org/officeDocument/2006/relationships/hyperlink" Target="https://drive.google.com/uc?export=view&amp;id=1MLn5ibHGa2I5F88qKSKcq_TzFPjCippz" TargetMode="External"/><Relationship Id="rId24" Type="http://schemas.openxmlformats.org/officeDocument/2006/relationships/hyperlink" Target="https://drive.google.com/uc?export=view&amp;id=100Ui73WTtQe7pOMsa1dkT6jops3a0DVz" TargetMode="External"/><Relationship Id="rId68" Type="http://schemas.openxmlformats.org/officeDocument/2006/relationships/hyperlink" Target="https://drive.google.com/uc?export=view&amp;id=1lDXWjjrJfD1uwHTR476hZuPCcvfjlDvq" TargetMode="External"/><Relationship Id="rId23" Type="http://schemas.openxmlformats.org/officeDocument/2006/relationships/hyperlink" Target="https://drive.google.com/uc?export=view&amp;id=12zcfY-0Bf9-NNtmxRGUc4PLq38cBYJe4" TargetMode="External"/><Relationship Id="rId67" Type="http://schemas.openxmlformats.org/officeDocument/2006/relationships/hyperlink" Target="https://drive.google.com/uc?export=view&amp;id=1PNE710Yo2ZNgbUN905jAdu3p-3FBd-su" TargetMode="External"/><Relationship Id="rId60" Type="http://schemas.openxmlformats.org/officeDocument/2006/relationships/hyperlink" Target="https://drive.google.com/uc?export=view&amp;id=1rQH3yauoGqnOskcV_NLZPdtqrhYTNnR3" TargetMode="External"/><Relationship Id="rId26" Type="http://schemas.openxmlformats.org/officeDocument/2006/relationships/hyperlink" Target="https://drive.google.com/uc?export=view&amp;id=1MuadTrg8w8qHpdQj1WWDoHwyGbRWxSGq" TargetMode="External"/><Relationship Id="rId25" Type="http://schemas.openxmlformats.org/officeDocument/2006/relationships/hyperlink" Target="https://drive.google.com/uc?export=view&amp;id=1xBwXextwtRKen2MHY8INItxV_rtpAgzR" TargetMode="External"/><Relationship Id="rId69" Type="http://schemas.openxmlformats.org/officeDocument/2006/relationships/hyperlink" Target="https://drive.google.com/uc?export=view&amp;id=1uPXqVjVLnZvc13jvAiUqgzxpFXdePEoz" TargetMode="External"/><Relationship Id="rId28" Type="http://schemas.openxmlformats.org/officeDocument/2006/relationships/hyperlink" Target="https://drive.google.com/uc?export=view&amp;id=1OyP1reC3F9O_ovpVsyXXnVWKOymPt6yW" TargetMode="External"/><Relationship Id="rId27" Type="http://schemas.openxmlformats.org/officeDocument/2006/relationships/hyperlink" Target="https://drive.google.com/uc?export=view&amp;id=1IjVhw17gCPddC2KXXTn4l5SqRK9qJhuB" TargetMode="External"/><Relationship Id="rId29" Type="http://schemas.openxmlformats.org/officeDocument/2006/relationships/hyperlink" Target="https://drive.google.com/uc?export=view&amp;id=1t0bK-6pWs-lCYhdbfuZx53Pwrem4-L5e" TargetMode="External"/><Relationship Id="rId51" Type="http://schemas.openxmlformats.org/officeDocument/2006/relationships/hyperlink" Target="https://drive.google.com/uc?export=view&amp;id=1DT9iW2csu2fjpfvfLjgKNSEti66pdkv_" TargetMode="External"/><Relationship Id="rId50" Type="http://schemas.openxmlformats.org/officeDocument/2006/relationships/hyperlink" Target="https://drive.google.com/uc?export=view&amp;id=18anQ4x_m8_CyOvXDSuoq_HyuwYX9KusB" TargetMode="External"/><Relationship Id="rId53" Type="http://schemas.openxmlformats.org/officeDocument/2006/relationships/hyperlink" Target="https://drive.google.com/uc?export=view&amp;id=1UxafhWm9dKAEWCm4ljGRMWlUE3C4TnVT" TargetMode="External"/><Relationship Id="rId52" Type="http://schemas.openxmlformats.org/officeDocument/2006/relationships/hyperlink" Target="https://drive.google.com/uc?export=view&amp;id=1yeohGk8OXPmbsqqk-yMXa2yoCuXAz8ZD" TargetMode="External"/><Relationship Id="rId11" Type="http://schemas.openxmlformats.org/officeDocument/2006/relationships/hyperlink" Target="https://drive.google.com/uc?export=view&amp;id=1MwEf9g6LJl_VnXIJUa4T0GLctWk-kELz" TargetMode="External"/><Relationship Id="rId55" Type="http://schemas.openxmlformats.org/officeDocument/2006/relationships/hyperlink" Target="https://drive.google.com/uc?export=view&amp;id=1IFep2KzDZnp9v_J5-x-PxrqBsbbONebc" TargetMode="External"/><Relationship Id="rId10" Type="http://schemas.openxmlformats.org/officeDocument/2006/relationships/hyperlink" Target="https://drive.google.com/uc?export=view&amp;id=1WGJ38JD54vh2RkpU990TTIecvuulgerN" TargetMode="External"/><Relationship Id="rId54" Type="http://schemas.openxmlformats.org/officeDocument/2006/relationships/hyperlink" Target="https://drive.google.com/uc?export=view&amp;id=1jkfH_s47yyZu89IdAwCTDNqFtvd9_7Zp" TargetMode="External"/><Relationship Id="rId13" Type="http://schemas.openxmlformats.org/officeDocument/2006/relationships/hyperlink" Target="https://drive.google.com/uc?export=view&amp;id=1k5vu2OnbQw7vU433zGozPx8R-hevFGaZ" TargetMode="External"/><Relationship Id="rId57" Type="http://schemas.openxmlformats.org/officeDocument/2006/relationships/hyperlink" Target="https://drive.google.com/uc?export=view&amp;id=133jzjgQpJfNTe0uoKc15_NwHLuQuKBjq" TargetMode="External"/><Relationship Id="rId12" Type="http://schemas.openxmlformats.org/officeDocument/2006/relationships/hyperlink" Target="https://drive.google.com/uc?export=view&amp;id=12Z44y1B7N2GJ4S9nRL7WVyNzDuool2Pn" TargetMode="External"/><Relationship Id="rId56" Type="http://schemas.openxmlformats.org/officeDocument/2006/relationships/hyperlink" Target="https://drive.google.com/uc?export=view&amp;id=1SH_qybKn1uvjpKRmB45wcoaX6KqTKmfJ" TargetMode="External"/><Relationship Id="rId15" Type="http://schemas.openxmlformats.org/officeDocument/2006/relationships/hyperlink" Target="https://drive.google.com/uc?export=view&amp;id=1NZG3QPY85UNncQp77cs0z1dCTnvMEkmU" TargetMode="External"/><Relationship Id="rId59" Type="http://schemas.openxmlformats.org/officeDocument/2006/relationships/hyperlink" Target="https://drive.google.com/uc?export=view&amp;id=1inVeZxjrUvl2nc4MNBzIidMKJQhH1Oev" TargetMode="External"/><Relationship Id="rId14" Type="http://schemas.openxmlformats.org/officeDocument/2006/relationships/hyperlink" Target="https://drive.google.com/uc?export=view&amp;id=1u_7hYNSJLR29nBMtS24DSItuLe30OFao" TargetMode="External"/><Relationship Id="rId58" Type="http://schemas.openxmlformats.org/officeDocument/2006/relationships/hyperlink" Target="https://drive.google.com/uc?export=view&amp;id=1GOtNcwqhx4kXqXbXNIpzR1CtGxtg4Kua" TargetMode="External"/><Relationship Id="rId17" Type="http://schemas.openxmlformats.org/officeDocument/2006/relationships/hyperlink" Target="https://drive.google.com/uc?export=view&amp;id=1XiPX7prwU291-1hzkN9w88LE5WRJHNji" TargetMode="External"/><Relationship Id="rId16" Type="http://schemas.openxmlformats.org/officeDocument/2006/relationships/hyperlink" Target="https://drive.google.com/uc?export=view&amp;id=1Ez28KANT-_hZ9csKh1h_qxL8pAX1J_f5" TargetMode="External"/><Relationship Id="rId19" Type="http://schemas.openxmlformats.org/officeDocument/2006/relationships/hyperlink" Target="https://drive.google.com/uc?export=view&amp;id=1mp2BuaD-3b1cGtMgeuVpgZ38NSmf0qJf" TargetMode="External"/><Relationship Id="rId18" Type="http://schemas.openxmlformats.org/officeDocument/2006/relationships/hyperlink" Target="https://drive.google.com/uc?export=view&amp;id=1vjhNpd2cW1dgN7A400xpaSUCs18s870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43"/>
    <col customWidth="1" min="2" max="2" width="24.0"/>
    <col customWidth="1" min="3" max="6" width="10.86"/>
    <col customWidth="1" min="7" max="7" width="28.14"/>
    <col customWidth="1" min="8" max="43" width="10.86"/>
    <col customWidth="1" min="44" max="44" width="15.14"/>
    <col customWidth="1" min="45" max="48" width="10.86"/>
    <col customWidth="1" min="49" max="49" width="14.57"/>
    <col customWidth="1" min="50" max="53" width="10.86"/>
  </cols>
  <sheetData>
    <row r="1" ht="14.25" customHeight="1">
      <c r="A1" s="1" t="s">
        <v>0</v>
      </c>
      <c r="B1" s="1" t="s">
        <v>1</v>
      </c>
      <c r="C1" s="1" t="s">
        <v>2</v>
      </c>
      <c r="D1" s="1" t="s">
        <v>3</v>
      </c>
      <c r="E1" s="2" t="s">
        <v>4</v>
      </c>
      <c r="F1" s="1" t="s">
        <v>5</v>
      </c>
      <c r="G1" s="1" t="s">
        <v>6</v>
      </c>
      <c r="H1" s="3" t="s">
        <v>7</v>
      </c>
      <c r="I1" s="4" t="s">
        <v>8</v>
      </c>
      <c r="J1" s="5" t="s">
        <v>9</v>
      </c>
      <c r="K1" s="5" t="s">
        <v>10</v>
      </c>
      <c r="L1" s="6" t="s">
        <v>11</v>
      </c>
      <c r="M1" s="6" t="s">
        <v>12</v>
      </c>
      <c r="N1" s="6" t="s">
        <v>13</v>
      </c>
      <c r="O1" s="6" t="s">
        <v>14</v>
      </c>
      <c r="P1" s="6" t="s">
        <v>15</v>
      </c>
      <c r="Q1" s="7" t="s">
        <v>16</v>
      </c>
      <c r="R1" s="6" t="s">
        <v>17</v>
      </c>
      <c r="S1" s="6" t="s">
        <v>18</v>
      </c>
      <c r="T1" s="6" t="s">
        <v>19</v>
      </c>
      <c r="U1" s="6" t="s">
        <v>20</v>
      </c>
      <c r="V1" s="6" t="s">
        <v>21</v>
      </c>
      <c r="W1" s="7" t="s">
        <v>22</v>
      </c>
      <c r="X1" s="6" t="s">
        <v>23</v>
      </c>
      <c r="Y1" s="6" t="s">
        <v>24</v>
      </c>
      <c r="Z1" s="6" t="s">
        <v>25</v>
      </c>
      <c r="AA1" s="6" t="s">
        <v>26</v>
      </c>
      <c r="AB1" s="6" t="s">
        <v>27</v>
      </c>
      <c r="AC1" s="7" t="s">
        <v>28</v>
      </c>
      <c r="AD1" s="6" t="s">
        <v>29</v>
      </c>
      <c r="AE1" s="6" t="s">
        <v>30</v>
      </c>
      <c r="AF1" s="6" t="s">
        <v>31</v>
      </c>
      <c r="AG1" s="6" t="s">
        <v>32</v>
      </c>
      <c r="AH1" s="6" t="s">
        <v>33</v>
      </c>
      <c r="AI1" s="7" t="s">
        <v>34</v>
      </c>
      <c r="AJ1" s="6" t="s">
        <v>35</v>
      </c>
      <c r="AK1" s="6" t="s">
        <v>36</v>
      </c>
      <c r="AL1" s="6" t="s">
        <v>37</v>
      </c>
      <c r="AM1" s="6" t="s">
        <v>38</v>
      </c>
      <c r="AN1" s="6" t="s">
        <v>39</v>
      </c>
      <c r="AO1" s="7" t="s">
        <v>40</v>
      </c>
      <c r="AP1" s="8" t="s">
        <v>41</v>
      </c>
      <c r="AQ1" s="8" t="s">
        <v>42</v>
      </c>
      <c r="AR1" s="8" t="s">
        <v>43</v>
      </c>
      <c r="AS1" s="8" t="s">
        <v>44</v>
      </c>
      <c r="AT1" s="8" t="s">
        <v>45</v>
      </c>
      <c r="AU1" s="8" t="s">
        <v>46</v>
      </c>
      <c r="AV1" s="8" t="s">
        <v>47</v>
      </c>
      <c r="AW1" s="8" t="s">
        <v>48</v>
      </c>
      <c r="AX1" s="8" t="s">
        <v>49</v>
      </c>
      <c r="AY1" s="8" t="s">
        <v>50</v>
      </c>
      <c r="AZ1" s="8" t="s">
        <v>51</v>
      </c>
      <c r="BA1" s="9" t="s">
        <v>52</v>
      </c>
    </row>
    <row r="2" ht="14.25" customHeight="1">
      <c r="A2" s="10">
        <v>113257.0</v>
      </c>
      <c r="B2" s="11" t="s">
        <v>53</v>
      </c>
      <c r="C2" s="11"/>
      <c r="D2" s="12"/>
      <c r="E2" s="11">
        <v>42240.0</v>
      </c>
      <c r="F2" s="12">
        <v>1.0</v>
      </c>
      <c r="G2" s="12" t="s">
        <v>54</v>
      </c>
      <c r="H2" s="13">
        <v>0.4375</v>
      </c>
      <c r="I2" s="13">
        <v>0.5208333333333333</v>
      </c>
      <c r="J2" s="12">
        <v>1.6</v>
      </c>
      <c r="K2" s="12">
        <v>0.13</v>
      </c>
      <c r="L2" s="14">
        <v>118.8</v>
      </c>
      <c r="M2" s="14">
        <v>138.1</v>
      </c>
      <c r="N2" s="14">
        <v>97.9</v>
      </c>
      <c r="O2" s="14">
        <v>86.5</v>
      </c>
      <c r="P2" s="14">
        <v>64.7</v>
      </c>
      <c r="Q2" s="14">
        <v>101.19999999999999</v>
      </c>
      <c r="R2" s="14">
        <v>7.5</v>
      </c>
      <c r="S2" s="14">
        <v>7.79</v>
      </c>
      <c r="T2" s="14">
        <v>7.78</v>
      </c>
      <c r="U2" s="14">
        <v>7.6</v>
      </c>
      <c r="V2" s="14">
        <v>7.77</v>
      </c>
      <c r="W2" s="14">
        <v>7.688</v>
      </c>
      <c r="X2" s="14">
        <v>16.7</v>
      </c>
      <c r="Y2" s="14">
        <v>16.8</v>
      </c>
      <c r="Z2" s="14">
        <v>18.0</v>
      </c>
      <c r="AA2" s="14">
        <v>17.2</v>
      </c>
      <c r="AB2" s="14">
        <v>18.2</v>
      </c>
      <c r="AC2" s="14">
        <v>17.380000000000003</v>
      </c>
      <c r="AD2" s="14">
        <v>254.0</v>
      </c>
      <c r="AE2" s="14">
        <v>262.0</v>
      </c>
      <c r="AF2" s="14">
        <v>266.0</v>
      </c>
      <c r="AG2" s="14">
        <v>264.0</v>
      </c>
      <c r="AH2" s="14">
        <v>264.0</v>
      </c>
      <c r="AI2" s="14">
        <v>262.0</v>
      </c>
      <c r="AJ2" s="14">
        <v>5.3</v>
      </c>
      <c r="AK2" s="14">
        <v>5.32</v>
      </c>
      <c r="AL2" s="14">
        <v>5.3</v>
      </c>
      <c r="AM2" s="14">
        <v>5.14</v>
      </c>
      <c r="AN2" s="14">
        <v>4.82</v>
      </c>
      <c r="AO2" s="14">
        <v>5.176</v>
      </c>
      <c r="AP2" s="14">
        <v>74.0</v>
      </c>
      <c r="AQ2" s="14">
        <v>95.0</v>
      </c>
      <c r="AR2" s="14">
        <v>88.0</v>
      </c>
      <c r="AS2" s="14">
        <v>3.98</v>
      </c>
      <c r="AT2" s="14">
        <v>0.15</v>
      </c>
      <c r="AU2" s="14">
        <v>1.2033E7</v>
      </c>
      <c r="AV2" s="15">
        <v>0.485</v>
      </c>
      <c r="AW2" s="15">
        <v>20.4</v>
      </c>
      <c r="AX2" s="15">
        <v>130000.0</v>
      </c>
      <c r="AY2" s="14">
        <v>0.507</v>
      </c>
      <c r="AZ2" s="14">
        <v>0.056</v>
      </c>
      <c r="BA2" s="14">
        <v>20.963</v>
      </c>
    </row>
    <row r="3" ht="14.25" customHeight="1">
      <c r="A3" s="10">
        <v>113258.0</v>
      </c>
      <c r="B3" s="11" t="s">
        <v>55</v>
      </c>
      <c r="C3" s="11"/>
      <c r="D3" s="12"/>
      <c r="E3" s="11">
        <v>42240.0</v>
      </c>
      <c r="F3" s="12">
        <v>1.0</v>
      </c>
      <c r="G3" s="12" t="s">
        <v>56</v>
      </c>
      <c r="H3" s="13">
        <v>0.2916666666666667</v>
      </c>
      <c r="I3" s="13">
        <v>0.37499999999999994</v>
      </c>
      <c r="J3" s="12">
        <v>4.0</v>
      </c>
      <c r="K3" s="12">
        <v>0.24</v>
      </c>
      <c r="L3" s="14">
        <v>125.9</v>
      </c>
      <c r="M3" s="14">
        <v>159.3</v>
      </c>
      <c r="N3" s="14">
        <v>427.1</v>
      </c>
      <c r="O3" s="14">
        <v>550.7</v>
      </c>
      <c r="P3" s="14">
        <v>298.5</v>
      </c>
      <c r="Q3" s="14">
        <v>312.3</v>
      </c>
      <c r="R3" s="14">
        <v>7.75</v>
      </c>
      <c r="S3" s="14">
        <v>7.44</v>
      </c>
      <c r="T3" s="14">
        <v>7.67</v>
      </c>
      <c r="U3" s="14">
        <v>7.61</v>
      </c>
      <c r="V3" s="14">
        <v>7.71</v>
      </c>
      <c r="W3" s="14">
        <v>7.636</v>
      </c>
      <c r="X3" s="14">
        <v>14.3</v>
      </c>
      <c r="Y3" s="14">
        <v>14.4</v>
      </c>
      <c r="Z3" s="14">
        <v>14.5</v>
      </c>
      <c r="AA3" s="14">
        <v>15.2</v>
      </c>
      <c r="AB3" s="14">
        <v>16.1</v>
      </c>
      <c r="AC3" s="14">
        <v>14.9</v>
      </c>
      <c r="AD3" s="14">
        <v>241.0</v>
      </c>
      <c r="AE3" s="14">
        <v>267.0</v>
      </c>
      <c r="AF3" s="14">
        <v>280.0</v>
      </c>
      <c r="AG3" s="14">
        <v>309.0</v>
      </c>
      <c r="AH3" s="14">
        <v>296.0</v>
      </c>
      <c r="AI3" s="14">
        <v>278.6</v>
      </c>
      <c r="AJ3" s="14">
        <v>4.48</v>
      </c>
      <c r="AK3" s="14">
        <v>4.27</v>
      </c>
      <c r="AL3" s="14">
        <v>4.26</v>
      </c>
      <c r="AM3" s="14">
        <v>3.05</v>
      </c>
      <c r="AN3" s="14">
        <v>3.27</v>
      </c>
      <c r="AO3" s="14">
        <v>3.8659999999999997</v>
      </c>
      <c r="AP3" s="14">
        <v>146.0</v>
      </c>
      <c r="AQ3" s="14">
        <v>197.0</v>
      </c>
      <c r="AR3" s="14">
        <v>188.0</v>
      </c>
      <c r="AS3" s="14">
        <v>5.19</v>
      </c>
      <c r="AT3" s="14">
        <v>0.166</v>
      </c>
      <c r="AU3" s="14">
        <v>1413600.0</v>
      </c>
      <c r="AV3" s="15">
        <v>3.99</v>
      </c>
      <c r="AW3" s="15">
        <v>19.9</v>
      </c>
      <c r="AX3" s="15">
        <v>35000.0</v>
      </c>
      <c r="AY3" s="14">
        <v>0.793</v>
      </c>
      <c r="AZ3" s="14">
        <v>0.056</v>
      </c>
      <c r="BA3" s="14">
        <v>20.749</v>
      </c>
    </row>
    <row r="4" ht="14.25" customHeight="1">
      <c r="A4" s="10">
        <v>113260.0</v>
      </c>
      <c r="B4" s="11" t="s">
        <v>57</v>
      </c>
      <c r="C4" s="11"/>
      <c r="D4" s="12"/>
      <c r="E4" s="11">
        <v>42240.0</v>
      </c>
      <c r="F4" s="12">
        <v>1.0</v>
      </c>
      <c r="G4" s="12" t="s">
        <v>58</v>
      </c>
      <c r="H4" s="13">
        <v>0.5</v>
      </c>
      <c r="I4" s="13">
        <v>0.583333333333333</v>
      </c>
      <c r="J4" s="12">
        <v>6.0</v>
      </c>
      <c r="K4" s="12">
        <v>0.15</v>
      </c>
      <c r="L4" s="14">
        <v>20.57</v>
      </c>
      <c r="M4" s="14">
        <v>25.82</v>
      </c>
      <c r="N4" s="14">
        <v>27.3</v>
      </c>
      <c r="O4" s="14">
        <v>27.84</v>
      </c>
      <c r="P4" s="14">
        <v>25.82</v>
      </c>
      <c r="Q4" s="14">
        <v>25.47</v>
      </c>
      <c r="R4" s="14">
        <v>7.27</v>
      </c>
      <c r="S4" s="14">
        <v>7.38</v>
      </c>
      <c r="T4" s="14">
        <v>7.43</v>
      </c>
      <c r="U4" s="14">
        <v>7.15</v>
      </c>
      <c r="V4" s="14">
        <v>7.38</v>
      </c>
      <c r="W4" s="14">
        <v>7.322</v>
      </c>
      <c r="X4" s="14">
        <v>18.4</v>
      </c>
      <c r="Y4" s="14">
        <v>16.6</v>
      </c>
      <c r="Z4" s="14">
        <v>15.8</v>
      </c>
      <c r="AA4" s="14">
        <v>16.4</v>
      </c>
      <c r="AB4" s="14">
        <v>15.9</v>
      </c>
      <c r="AC4" s="14">
        <v>16.619999999999997</v>
      </c>
      <c r="AD4" s="14">
        <v>649.0</v>
      </c>
      <c r="AE4" s="14">
        <v>189.4</v>
      </c>
      <c r="AF4" s="14">
        <v>159.6</v>
      </c>
      <c r="AG4" s="14">
        <v>146.4</v>
      </c>
      <c r="AH4" s="14">
        <v>165.3</v>
      </c>
      <c r="AI4" s="14">
        <v>261.94</v>
      </c>
      <c r="AJ4" s="14">
        <v>4.81</v>
      </c>
      <c r="AK4" s="14">
        <v>4.8</v>
      </c>
      <c r="AL4" s="14">
        <v>4.74</v>
      </c>
      <c r="AM4" s="14">
        <v>5.03</v>
      </c>
      <c r="AN4" s="14">
        <v>5.01</v>
      </c>
      <c r="AO4" s="14">
        <v>4.878</v>
      </c>
      <c r="AP4" s="14">
        <v>40.0</v>
      </c>
      <c r="AQ4" s="14">
        <v>52.0</v>
      </c>
      <c r="AR4" s="14">
        <v>60.0</v>
      </c>
      <c r="AS4" s="14">
        <v>1.61</v>
      </c>
      <c r="AT4" s="14">
        <v>0.15</v>
      </c>
      <c r="AU4" s="14">
        <v>2.172E7</v>
      </c>
      <c r="AV4" s="15">
        <v>2.85</v>
      </c>
      <c r="AW4" s="15">
        <v>6.89</v>
      </c>
      <c r="AX4" s="15">
        <v>2508000.0</v>
      </c>
      <c r="AY4" s="14">
        <v>2.0</v>
      </c>
      <c r="AZ4" s="14">
        <v>0.107</v>
      </c>
      <c r="BA4" s="14">
        <v>8.997</v>
      </c>
    </row>
    <row r="5" ht="14.25" customHeight="1">
      <c r="A5" s="10">
        <v>113259.0</v>
      </c>
      <c r="B5" s="11" t="s">
        <v>59</v>
      </c>
      <c r="C5" s="11"/>
      <c r="D5" s="12"/>
      <c r="E5" s="11">
        <v>42240.0</v>
      </c>
      <c r="F5" s="12">
        <v>1.0</v>
      </c>
      <c r="G5" s="12" t="s">
        <v>60</v>
      </c>
      <c r="H5" s="13">
        <v>0.34375</v>
      </c>
      <c r="I5" s="13">
        <v>0.42708333333333326</v>
      </c>
      <c r="J5" s="12">
        <v>0.16</v>
      </c>
      <c r="K5" s="12">
        <v>1.85</v>
      </c>
      <c r="L5" s="14">
        <v>68.72</v>
      </c>
      <c r="M5" s="14">
        <v>52.75</v>
      </c>
      <c r="N5" s="14">
        <v>96.63</v>
      </c>
      <c r="O5" s="14">
        <v>100.79</v>
      </c>
      <c r="P5" s="14">
        <v>107.09</v>
      </c>
      <c r="Q5" s="14">
        <v>85.196</v>
      </c>
      <c r="R5" s="14">
        <v>7.96</v>
      </c>
      <c r="S5" s="14">
        <v>7.94</v>
      </c>
      <c r="T5" s="14">
        <v>8.03</v>
      </c>
      <c r="U5" s="14">
        <v>8.16</v>
      </c>
      <c r="V5" s="14">
        <v>8.12</v>
      </c>
      <c r="W5" s="14">
        <v>8.042</v>
      </c>
      <c r="X5" s="14">
        <v>14.7</v>
      </c>
      <c r="Y5" s="14">
        <v>15.1</v>
      </c>
      <c r="Z5" s="14">
        <v>16.2</v>
      </c>
      <c r="AA5" s="14">
        <v>16.3</v>
      </c>
      <c r="AB5" s="14">
        <v>16.6</v>
      </c>
      <c r="AC5" s="14">
        <v>15.780000000000001</v>
      </c>
      <c r="AD5" s="14">
        <v>308.0</v>
      </c>
      <c r="AE5" s="14">
        <v>313.0</v>
      </c>
      <c r="AF5" s="14">
        <v>363.0</v>
      </c>
      <c r="AG5" s="14">
        <v>353.0</v>
      </c>
      <c r="AH5" s="14">
        <v>352.0</v>
      </c>
      <c r="AI5" s="14">
        <v>337.8</v>
      </c>
      <c r="AJ5" s="14">
        <v>6.41</v>
      </c>
      <c r="AK5" s="14">
        <v>6.29</v>
      </c>
      <c r="AL5" s="14">
        <v>6.35</v>
      </c>
      <c r="AM5" s="14">
        <v>6.04</v>
      </c>
      <c r="AN5" s="14">
        <v>5.77</v>
      </c>
      <c r="AO5" s="14">
        <v>6.171999999999999</v>
      </c>
      <c r="AP5" s="14">
        <v>80.0</v>
      </c>
      <c r="AQ5" s="14">
        <v>109.0</v>
      </c>
      <c r="AR5" s="14">
        <v>143.0</v>
      </c>
      <c r="AS5" s="14">
        <v>5.04</v>
      </c>
      <c r="AT5" s="14">
        <v>0.15</v>
      </c>
      <c r="AU5" s="14">
        <v>2.172E7</v>
      </c>
      <c r="AV5" s="15">
        <v>3.5</v>
      </c>
      <c r="AW5" s="15">
        <v>23.1</v>
      </c>
      <c r="AX5" s="15">
        <v>1400000.0</v>
      </c>
      <c r="AY5" s="14">
        <v>0.594</v>
      </c>
      <c r="AZ5" s="14">
        <v>0.025</v>
      </c>
      <c r="BA5" s="14">
        <v>23.719</v>
      </c>
    </row>
    <row r="6" ht="14.25" customHeight="1">
      <c r="A6" s="10">
        <v>142970.0</v>
      </c>
      <c r="B6" s="11" t="s">
        <v>61</v>
      </c>
      <c r="C6" s="11"/>
      <c r="D6" s="12"/>
      <c r="E6" s="11">
        <v>42299.0</v>
      </c>
      <c r="F6" s="12">
        <v>1.0</v>
      </c>
      <c r="G6" s="12" t="s">
        <v>62</v>
      </c>
      <c r="H6" s="13">
        <v>0.3333333333333333</v>
      </c>
      <c r="I6" s="13">
        <v>0.4166666666666666</v>
      </c>
      <c r="J6" s="12">
        <v>11.9</v>
      </c>
      <c r="K6" s="12">
        <v>0.09</v>
      </c>
      <c r="L6" s="14">
        <v>632.0</v>
      </c>
      <c r="M6" s="14">
        <v>714.0</v>
      </c>
      <c r="N6" s="14">
        <v>692.0</v>
      </c>
      <c r="O6" s="14">
        <v>697.0</v>
      </c>
      <c r="P6" s="14">
        <v>667.0</v>
      </c>
      <c r="Q6" s="14">
        <v>680.4</v>
      </c>
      <c r="R6" s="14">
        <v>8.14</v>
      </c>
      <c r="S6" s="14">
        <v>8.06</v>
      </c>
      <c r="T6" s="14">
        <v>7.92</v>
      </c>
      <c r="U6" s="14">
        <v>7.99</v>
      </c>
      <c r="V6" s="14">
        <v>7.91</v>
      </c>
      <c r="W6" s="14">
        <v>8.004000000000001</v>
      </c>
      <c r="X6" s="14">
        <v>15.3</v>
      </c>
      <c r="Y6" s="14">
        <v>15.7</v>
      </c>
      <c r="Z6" s="14">
        <v>16.1</v>
      </c>
      <c r="AA6" s="14">
        <v>17.0</v>
      </c>
      <c r="AB6" s="14">
        <v>18.0</v>
      </c>
      <c r="AC6" s="14">
        <v>16.419999999999998</v>
      </c>
      <c r="AD6" s="14">
        <v>612.0</v>
      </c>
      <c r="AE6" s="14">
        <v>581.0</v>
      </c>
      <c r="AF6" s="14">
        <v>526.0</v>
      </c>
      <c r="AG6" s="14">
        <v>582.0</v>
      </c>
      <c r="AH6" s="14">
        <v>709.0</v>
      </c>
      <c r="AI6" s="14">
        <v>602.0</v>
      </c>
      <c r="AJ6" s="14">
        <v>1.4</v>
      </c>
      <c r="AK6" s="14">
        <v>1.31</v>
      </c>
      <c r="AL6" s="14">
        <v>1.57</v>
      </c>
      <c r="AM6" s="14">
        <v>2.0</v>
      </c>
      <c r="AN6" s="14">
        <v>1.16</v>
      </c>
      <c r="AO6" s="14">
        <v>1.488</v>
      </c>
      <c r="AP6" s="14">
        <v>226.0</v>
      </c>
      <c r="AQ6" s="14">
        <v>318.0</v>
      </c>
      <c r="AR6" s="14">
        <v>109.0</v>
      </c>
      <c r="AS6" s="14">
        <v>14.5</v>
      </c>
      <c r="AT6" s="14">
        <v>2.82</v>
      </c>
      <c r="AU6" s="14">
        <v>5.493E7</v>
      </c>
      <c r="AV6" s="15">
        <v>10.1</v>
      </c>
      <c r="AW6" s="15">
        <v>56.0</v>
      </c>
      <c r="AX6" s="15">
        <v>8400000.0</v>
      </c>
      <c r="AY6" s="14">
        <v>0.954</v>
      </c>
      <c r="AZ6" s="14">
        <v>0.022</v>
      </c>
      <c r="BA6" s="14">
        <v>56.976</v>
      </c>
    </row>
    <row r="7" ht="14.25" customHeight="1">
      <c r="A7" s="10">
        <v>142769.0</v>
      </c>
      <c r="B7" s="11" t="s">
        <v>63</v>
      </c>
      <c r="C7" s="11"/>
      <c r="D7" s="12"/>
      <c r="E7" s="11">
        <v>42298.0</v>
      </c>
      <c r="F7" s="12">
        <v>1.0</v>
      </c>
      <c r="G7" s="12" t="s">
        <v>64</v>
      </c>
      <c r="H7" s="13">
        <v>0.3333333333333333</v>
      </c>
      <c r="I7" s="13">
        <v>0.4166666666666666</v>
      </c>
      <c r="J7" s="12">
        <v>7.8</v>
      </c>
      <c r="K7" s="12">
        <v>0.21</v>
      </c>
      <c r="L7" s="14">
        <v>225.0</v>
      </c>
      <c r="M7" s="14">
        <v>308.0</v>
      </c>
      <c r="N7" s="14">
        <v>311.0</v>
      </c>
      <c r="O7" s="14">
        <v>313.0</v>
      </c>
      <c r="P7" s="14">
        <v>314.0</v>
      </c>
      <c r="Q7" s="14">
        <v>294.2</v>
      </c>
      <c r="R7" s="14">
        <v>8.29</v>
      </c>
      <c r="S7" s="14">
        <v>8.49</v>
      </c>
      <c r="T7" s="14">
        <v>8.42</v>
      </c>
      <c r="U7" s="14">
        <v>8.27</v>
      </c>
      <c r="V7" s="14">
        <v>8.17</v>
      </c>
      <c r="W7" s="14">
        <v>8.328</v>
      </c>
      <c r="X7" s="14">
        <v>18.6</v>
      </c>
      <c r="Y7" s="14">
        <v>19.5</v>
      </c>
      <c r="Z7" s="14">
        <v>20.2</v>
      </c>
      <c r="AA7" s="14">
        <v>20.8</v>
      </c>
      <c r="AB7" s="14">
        <v>22.4</v>
      </c>
      <c r="AC7" s="14">
        <v>20.3</v>
      </c>
      <c r="AD7" s="14">
        <v>601.0</v>
      </c>
      <c r="AE7" s="14">
        <v>577.0</v>
      </c>
      <c r="AF7" s="14">
        <v>559.0</v>
      </c>
      <c r="AG7" s="14">
        <v>541.0</v>
      </c>
      <c r="AH7" s="14">
        <v>558.0</v>
      </c>
      <c r="AI7" s="14">
        <v>567.2</v>
      </c>
      <c r="AJ7" s="14">
        <v>0.82</v>
      </c>
      <c r="AK7" s="14">
        <v>0.48</v>
      </c>
      <c r="AL7" s="14">
        <v>0.53</v>
      </c>
      <c r="AM7" s="14">
        <v>0.6</v>
      </c>
      <c r="AN7" s="14">
        <v>0.52</v>
      </c>
      <c r="AO7" s="14">
        <v>0.59</v>
      </c>
      <c r="AP7" s="14">
        <v>256.0</v>
      </c>
      <c r="AQ7" s="14">
        <v>400.0</v>
      </c>
      <c r="AR7" s="14">
        <v>125.0</v>
      </c>
      <c r="AS7" s="14">
        <v>54.3</v>
      </c>
      <c r="AT7" s="14">
        <v>2.16</v>
      </c>
      <c r="AU7" s="14">
        <v>9.139E7</v>
      </c>
      <c r="AV7" s="15">
        <v>5.25</v>
      </c>
      <c r="AW7" s="15">
        <v>58.8</v>
      </c>
      <c r="AX7" s="15">
        <v>630000.0</v>
      </c>
      <c r="AY7" s="14">
        <v>0.1</v>
      </c>
      <c r="AZ7" s="14">
        <v>0.02</v>
      </c>
      <c r="BA7" s="14">
        <v>58.92</v>
      </c>
    </row>
    <row r="8" ht="14.25" customHeight="1">
      <c r="A8" s="10">
        <v>155045.0</v>
      </c>
      <c r="B8" s="11" t="s">
        <v>65</v>
      </c>
      <c r="C8" s="11"/>
      <c r="D8" s="12"/>
      <c r="E8" s="11">
        <v>42325.0</v>
      </c>
      <c r="F8" s="12">
        <v>1.0</v>
      </c>
      <c r="G8" s="12" t="s">
        <v>66</v>
      </c>
      <c r="H8" s="13">
        <v>0.5243055555555556</v>
      </c>
      <c r="I8" s="13">
        <v>0.6076388888888886</v>
      </c>
      <c r="J8" s="12">
        <v>6.5</v>
      </c>
      <c r="K8" s="12">
        <v>0.15</v>
      </c>
      <c r="L8" s="14">
        <v>315.2</v>
      </c>
      <c r="M8" s="14">
        <v>309.9</v>
      </c>
      <c r="N8" s="14">
        <v>309.5</v>
      </c>
      <c r="O8" s="14">
        <v>337.2</v>
      </c>
      <c r="P8" s="14">
        <v>257.2</v>
      </c>
      <c r="Q8" s="14">
        <v>305.8</v>
      </c>
      <c r="R8" s="14">
        <v>7.74</v>
      </c>
      <c r="S8" s="14">
        <v>7.75</v>
      </c>
      <c r="T8" s="14">
        <v>7.85</v>
      </c>
      <c r="U8" s="14">
        <v>7.84</v>
      </c>
      <c r="V8" s="14">
        <v>7.81</v>
      </c>
      <c r="W8" s="14">
        <v>7.798</v>
      </c>
      <c r="X8" s="14">
        <v>20.6</v>
      </c>
      <c r="Y8" s="14">
        <v>20.6</v>
      </c>
      <c r="Z8" s="14">
        <v>19.8</v>
      </c>
      <c r="AA8" s="14">
        <v>19.4</v>
      </c>
      <c r="AB8" s="14">
        <v>18.9</v>
      </c>
      <c r="AC8" s="14">
        <v>19.860000000000003</v>
      </c>
      <c r="AD8" s="14">
        <v>423.0</v>
      </c>
      <c r="AE8" s="14">
        <v>417.0</v>
      </c>
      <c r="AF8" s="14">
        <v>433.0</v>
      </c>
      <c r="AG8" s="14">
        <v>446.0</v>
      </c>
      <c r="AH8" s="14">
        <v>430.0</v>
      </c>
      <c r="AI8" s="14">
        <v>429.8</v>
      </c>
      <c r="AJ8" s="14">
        <v>1.08</v>
      </c>
      <c r="AK8" s="14">
        <v>1.32</v>
      </c>
      <c r="AL8" s="14">
        <v>1.09</v>
      </c>
      <c r="AM8" s="14">
        <v>1.33</v>
      </c>
      <c r="AN8" s="14">
        <v>1.45</v>
      </c>
      <c r="AO8" s="14">
        <v>1.254</v>
      </c>
      <c r="AP8" s="14">
        <v>130.0</v>
      </c>
      <c r="AQ8" s="14">
        <v>212.0</v>
      </c>
      <c r="AR8" s="14">
        <v>40.0</v>
      </c>
      <c r="AS8" s="14">
        <v>23.5</v>
      </c>
      <c r="AT8" s="14">
        <v>3.47</v>
      </c>
      <c r="AU8" s="14">
        <v>1.45E7</v>
      </c>
      <c r="AV8" s="15">
        <v>2.86</v>
      </c>
      <c r="AW8" s="15">
        <v>49.8</v>
      </c>
      <c r="AX8" s="15">
        <v>6300000.0</v>
      </c>
      <c r="AY8" s="14">
        <v>0.896</v>
      </c>
      <c r="AZ8" s="14">
        <v>0.027</v>
      </c>
      <c r="BA8" s="14">
        <v>50.723</v>
      </c>
    </row>
    <row r="9" ht="14.25" customHeight="1">
      <c r="A9" s="10">
        <v>155046.0</v>
      </c>
      <c r="B9" s="11" t="s">
        <v>67</v>
      </c>
      <c r="C9" s="11"/>
      <c r="D9" s="12"/>
      <c r="E9" s="11">
        <v>42325.0</v>
      </c>
      <c r="F9" s="12">
        <v>1.0</v>
      </c>
      <c r="G9" s="12" t="s">
        <v>68</v>
      </c>
      <c r="H9" s="13">
        <v>0.2916666666666667</v>
      </c>
      <c r="I9" s="13">
        <v>0.37499999999999994</v>
      </c>
      <c r="J9" s="12">
        <v>2.1</v>
      </c>
      <c r="K9" s="12">
        <v>0.11</v>
      </c>
      <c r="L9" s="14">
        <v>45.3</v>
      </c>
      <c r="M9" s="14">
        <v>56.2</v>
      </c>
      <c r="N9" s="14">
        <v>70.0</v>
      </c>
      <c r="O9" s="14">
        <v>91.8</v>
      </c>
      <c r="P9" s="14">
        <v>102.7</v>
      </c>
      <c r="Q9" s="14">
        <v>73.2</v>
      </c>
      <c r="R9" s="14">
        <v>7.8</v>
      </c>
      <c r="S9" s="14">
        <v>8.04</v>
      </c>
      <c r="T9" s="14">
        <v>7.97</v>
      </c>
      <c r="U9" s="14">
        <v>7.94</v>
      </c>
      <c r="V9" s="14">
        <v>7.99</v>
      </c>
      <c r="W9" s="14">
        <v>7.948</v>
      </c>
      <c r="X9" s="14">
        <v>14.2</v>
      </c>
      <c r="Y9" s="14">
        <v>13.8</v>
      </c>
      <c r="Z9" s="14">
        <v>14.2</v>
      </c>
      <c r="AA9" s="14">
        <v>13.8</v>
      </c>
      <c r="AB9" s="14">
        <v>14.3</v>
      </c>
      <c r="AC9" s="14">
        <v>14.059999999999999</v>
      </c>
      <c r="AD9" s="14">
        <v>350.0</v>
      </c>
      <c r="AE9" s="14">
        <v>336.0</v>
      </c>
      <c r="AF9" s="14">
        <v>313.0</v>
      </c>
      <c r="AG9" s="14">
        <v>317.0</v>
      </c>
      <c r="AH9" s="14">
        <v>319.0</v>
      </c>
      <c r="AI9" s="14">
        <v>327.0</v>
      </c>
      <c r="AJ9" s="14">
        <v>6.47</v>
      </c>
      <c r="AK9" s="14">
        <v>6.73</v>
      </c>
      <c r="AL9" s="14">
        <v>6.84</v>
      </c>
      <c r="AM9" s="14">
        <v>6.83</v>
      </c>
      <c r="AN9" s="14">
        <v>6.89</v>
      </c>
      <c r="AO9" s="14">
        <v>6.752</v>
      </c>
      <c r="AP9" s="14">
        <v>22.0</v>
      </c>
      <c r="AQ9" s="14">
        <v>47.0</v>
      </c>
      <c r="AR9" s="14">
        <v>8.0</v>
      </c>
      <c r="AS9" s="14">
        <v>3.39</v>
      </c>
      <c r="AT9" s="14">
        <v>0.503</v>
      </c>
      <c r="AU9" s="14">
        <v>920800.0</v>
      </c>
      <c r="AV9" s="15">
        <v>1.08</v>
      </c>
      <c r="AW9" s="15">
        <v>22.7</v>
      </c>
      <c r="AX9" s="15">
        <v>240000.0</v>
      </c>
      <c r="AY9" s="14">
        <v>0.213</v>
      </c>
      <c r="AZ9" s="14">
        <v>0.049</v>
      </c>
      <c r="BA9" s="14">
        <v>22.962</v>
      </c>
    </row>
    <row r="10" ht="14.25" customHeight="1">
      <c r="A10" s="10">
        <v>155183.0</v>
      </c>
      <c r="B10" s="11" t="s">
        <v>57</v>
      </c>
      <c r="C10" s="11"/>
      <c r="D10" s="12"/>
      <c r="E10" s="11">
        <v>42326.0</v>
      </c>
      <c r="F10" s="12">
        <v>1.0</v>
      </c>
      <c r="G10" s="12" t="s">
        <v>69</v>
      </c>
      <c r="H10" s="13">
        <v>0.3159722222222222</v>
      </c>
      <c r="I10" s="13">
        <v>0.39930555555555547</v>
      </c>
      <c r="J10" s="12">
        <v>0.9</v>
      </c>
      <c r="K10" s="12">
        <v>0.11</v>
      </c>
      <c r="L10" s="14">
        <v>19.0</v>
      </c>
      <c r="M10" s="14">
        <v>15.0</v>
      </c>
      <c r="N10" s="14">
        <v>22.0</v>
      </c>
      <c r="O10" s="14">
        <v>13.0</v>
      </c>
      <c r="P10" s="14">
        <v>14.0</v>
      </c>
      <c r="Q10" s="14">
        <v>16.6</v>
      </c>
      <c r="R10" s="14">
        <v>7.89</v>
      </c>
      <c r="S10" s="14">
        <v>7.69</v>
      </c>
      <c r="T10" s="14">
        <v>7.79</v>
      </c>
      <c r="U10" s="14">
        <v>7.83</v>
      </c>
      <c r="V10" s="14">
        <v>7.91</v>
      </c>
      <c r="W10" s="14">
        <v>7.822</v>
      </c>
      <c r="X10" s="14">
        <v>13.1</v>
      </c>
      <c r="Y10" s="14">
        <v>13.1</v>
      </c>
      <c r="Z10" s="14">
        <v>14.3</v>
      </c>
      <c r="AA10" s="14">
        <v>14.8</v>
      </c>
      <c r="AB10" s="14">
        <v>15.5</v>
      </c>
      <c r="AC10" s="14">
        <v>14.16</v>
      </c>
      <c r="AD10" s="14">
        <v>338.0</v>
      </c>
      <c r="AE10" s="14">
        <v>350.0</v>
      </c>
      <c r="AF10" s="14">
        <v>344.0</v>
      </c>
      <c r="AG10" s="14">
        <v>365.0</v>
      </c>
      <c r="AH10" s="14">
        <v>394.0</v>
      </c>
      <c r="AI10" s="14">
        <v>358.2</v>
      </c>
      <c r="AJ10" s="14">
        <v>5.38</v>
      </c>
      <c r="AK10" s="14">
        <v>5.5</v>
      </c>
      <c r="AL10" s="14">
        <v>6.06</v>
      </c>
      <c r="AM10" s="14">
        <v>5.71</v>
      </c>
      <c r="AN10" s="14">
        <v>5.9</v>
      </c>
      <c r="AO10" s="14">
        <v>5.709999999999999</v>
      </c>
      <c r="AP10" s="14">
        <v>52.0</v>
      </c>
      <c r="AQ10" s="14">
        <v>86.0</v>
      </c>
      <c r="AR10" s="14">
        <v>25.0</v>
      </c>
      <c r="AS10" s="14">
        <v>0.722</v>
      </c>
      <c r="AT10" s="14">
        <v>0.223</v>
      </c>
      <c r="AU10" s="14">
        <v>579400.0</v>
      </c>
      <c r="AV10" s="15">
        <v>1.14</v>
      </c>
      <c r="AW10" s="15">
        <v>43.7</v>
      </c>
      <c r="AX10" s="15">
        <v>220000.0</v>
      </c>
      <c r="AY10" s="14">
        <v>0.648</v>
      </c>
      <c r="AZ10" s="14">
        <v>0.043</v>
      </c>
      <c r="BA10" s="14">
        <v>44.391000000000005</v>
      </c>
    </row>
    <row r="11" ht="14.25" customHeight="1">
      <c r="A11" s="10">
        <v>155042.0</v>
      </c>
      <c r="B11" s="11" t="s">
        <v>70</v>
      </c>
      <c r="C11" s="11"/>
      <c r="D11" s="12"/>
      <c r="E11" s="11">
        <v>42325.0</v>
      </c>
      <c r="F11" s="12">
        <v>1.0</v>
      </c>
      <c r="G11" s="12" t="s">
        <v>71</v>
      </c>
      <c r="H11" s="13">
        <v>0.5104166666666666</v>
      </c>
      <c r="I11" s="13">
        <v>0.5937499999999997</v>
      </c>
      <c r="J11" s="12">
        <v>5.9</v>
      </c>
      <c r="K11" s="12">
        <v>0.16</v>
      </c>
      <c r="L11" s="14">
        <v>199.1</v>
      </c>
      <c r="M11" s="14">
        <v>174.1</v>
      </c>
      <c r="N11" s="14">
        <v>189.0</v>
      </c>
      <c r="O11" s="14">
        <v>177.1</v>
      </c>
      <c r="P11" s="14">
        <v>189.5</v>
      </c>
      <c r="Q11" s="14">
        <v>185.76000000000002</v>
      </c>
      <c r="R11" s="14">
        <v>8.13</v>
      </c>
      <c r="S11" s="14">
        <v>8.2</v>
      </c>
      <c r="T11" s="14">
        <v>8.06</v>
      </c>
      <c r="U11" s="14">
        <v>8.07</v>
      </c>
      <c r="V11" s="14">
        <v>8.08</v>
      </c>
      <c r="W11" s="14">
        <v>8.108</v>
      </c>
      <c r="X11" s="14">
        <v>21.5</v>
      </c>
      <c r="Y11" s="14">
        <v>21.2</v>
      </c>
      <c r="Z11" s="14">
        <v>21.2</v>
      </c>
      <c r="AA11" s="14">
        <v>21.2</v>
      </c>
      <c r="AB11" s="14">
        <v>20.4</v>
      </c>
      <c r="AC11" s="14">
        <v>21.1</v>
      </c>
      <c r="AD11" s="14">
        <v>435.0</v>
      </c>
      <c r="AE11" s="14">
        <v>449.0</v>
      </c>
      <c r="AF11" s="14">
        <v>458.0</v>
      </c>
      <c r="AG11" s="14">
        <v>449.0</v>
      </c>
      <c r="AH11" s="14">
        <v>456.0</v>
      </c>
      <c r="AI11" s="14">
        <v>449.4</v>
      </c>
      <c r="AJ11" s="14">
        <v>0.66</v>
      </c>
      <c r="AK11" s="14">
        <v>0.78</v>
      </c>
      <c r="AL11" s="14">
        <v>0.71</v>
      </c>
      <c r="AM11" s="14">
        <v>0.64</v>
      </c>
      <c r="AN11" s="14">
        <v>0.8</v>
      </c>
      <c r="AO11" s="14">
        <v>0.718</v>
      </c>
      <c r="AP11" s="14">
        <v>173.0</v>
      </c>
      <c r="AQ11" s="14">
        <v>259.0</v>
      </c>
      <c r="AR11" s="14">
        <v>56.0</v>
      </c>
      <c r="AS11" s="14">
        <v>20.1</v>
      </c>
      <c r="AT11" s="14">
        <v>4.34</v>
      </c>
      <c r="AU11" s="14">
        <v>7.12E7</v>
      </c>
      <c r="AV11" s="15">
        <v>8.36</v>
      </c>
      <c r="AW11" s="15">
        <v>58.2</v>
      </c>
      <c r="AX11" s="15">
        <v>5400000.0</v>
      </c>
      <c r="AY11" s="14">
        <v>0.913</v>
      </c>
      <c r="AZ11" s="14">
        <v>0.018</v>
      </c>
      <c r="BA11" s="14">
        <v>59.131</v>
      </c>
    </row>
    <row r="12" ht="14.25" customHeight="1">
      <c r="A12" s="10">
        <v>155385.0</v>
      </c>
      <c r="B12" s="11" t="s">
        <v>53</v>
      </c>
      <c r="C12" s="11"/>
      <c r="D12" s="12"/>
      <c r="E12" s="11">
        <v>42326.0</v>
      </c>
      <c r="F12" s="12">
        <v>1.0</v>
      </c>
      <c r="G12" s="12" t="s">
        <v>72</v>
      </c>
      <c r="H12" s="13">
        <v>0.4583333333333333</v>
      </c>
      <c r="I12" s="13">
        <v>0.5416666666666665</v>
      </c>
      <c r="J12" s="12">
        <v>1.32</v>
      </c>
      <c r="K12" s="12">
        <v>0.37</v>
      </c>
      <c r="L12" s="14">
        <v>77.0</v>
      </c>
      <c r="M12" s="14">
        <v>87.0</v>
      </c>
      <c r="N12" s="14">
        <v>89.0</v>
      </c>
      <c r="O12" s="14">
        <v>94.0</v>
      </c>
      <c r="P12" s="14">
        <v>98.0</v>
      </c>
      <c r="Q12" s="14">
        <v>89.0</v>
      </c>
      <c r="R12" s="14">
        <v>7.95</v>
      </c>
      <c r="S12" s="14">
        <v>8.19</v>
      </c>
      <c r="T12" s="14">
        <v>8.13</v>
      </c>
      <c r="U12" s="14">
        <v>8.09</v>
      </c>
      <c r="V12" s="14">
        <v>8.14</v>
      </c>
      <c r="W12" s="14">
        <v>8.1</v>
      </c>
      <c r="X12" s="14">
        <v>16.2</v>
      </c>
      <c r="Y12" s="14">
        <v>16.5</v>
      </c>
      <c r="Z12" s="14">
        <v>16.4</v>
      </c>
      <c r="AA12" s="14">
        <v>16.7</v>
      </c>
      <c r="AB12" s="14">
        <v>17.2</v>
      </c>
      <c r="AC12" s="14">
        <v>16.6</v>
      </c>
      <c r="AD12" s="14">
        <v>553.0</v>
      </c>
      <c r="AE12" s="14">
        <v>540.0</v>
      </c>
      <c r="AF12" s="14">
        <v>552.0</v>
      </c>
      <c r="AG12" s="14">
        <v>547.0</v>
      </c>
      <c r="AH12" s="14">
        <v>559.0</v>
      </c>
      <c r="AI12" s="14">
        <v>550.2</v>
      </c>
      <c r="AJ12" s="14">
        <v>5.39</v>
      </c>
      <c r="AK12" s="14">
        <v>5.2</v>
      </c>
      <c r="AL12" s="14">
        <v>5.18</v>
      </c>
      <c r="AM12" s="14">
        <v>5.16</v>
      </c>
      <c r="AN12" s="14">
        <v>5.0</v>
      </c>
      <c r="AO12" s="14">
        <v>5.186</v>
      </c>
      <c r="AP12" s="14">
        <v>80.0</v>
      </c>
      <c r="AQ12" s="14">
        <v>159.0</v>
      </c>
      <c r="AR12" s="14">
        <v>42.0</v>
      </c>
      <c r="AS12" s="14">
        <v>2.85</v>
      </c>
      <c r="AT12" s="14">
        <v>0.686</v>
      </c>
      <c r="AU12" s="14">
        <v>1.0815E7</v>
      </c>
      <c r="AV12" s="15">
        <v>3.19</v>
      </c>
      <c r="AW12" s="15">
        <v>84.6</v>
      </c>
      <c r="AX12" s="15">
        <v>8150000.0</v>
      </c>
      <c r="AY12" s="14">
        <v>0.333</v>
      </c>
      <c r="AZ12" s="14">
        <v>0.036</v>
      </c>
      <c r="BA12" s="14">
        <v>84.969</v>
      </c>
    </row>
    <row r="13" ht="14.25" customHeight="1">
      <c r="A13" s="10">
        <v>155182.0</v>
      </c>
      <c r="B13" s="11" t="s">
        <v>59</v>
      </c>
      <c r="C13" s="11"/>
      <c r="D13" s="12"/>
      <c r="E13" s="11">
        <v>42326.0</v>
      </c>
      <c r="F13" s="12">
        <v>1.0</v>
      </c>
      <c r="G13" s="12" t="s">
        <v>73</v>
      </c>
      <c r="H13" s="13">
        <v>0.4791666666666667</v>
      </c>
      <c r="I13" s="13">
        <v>0.5624999999999998</v>
      </c>
      <c r="J13" s="12">
        <v>1.4</v>
      </c>
      <c r="K13" s="12">
        <v>0.2</v>
      </c>
      <c r="L13" s="14">
        <v>61.2</v>
      </c>
      <c r="M13" s="14">
        <v>74.8</v>
      </c>
      <c r="N13" s="14">
        <v>79.6</v>
      </c>
      <c r="O13" s="14">
        <v>84.0</v>
      </c>
      <c r="P13" s="14">
        <v>79.6</v>
      </c>
      <c r="Q13" s="14">
        <v>75.84</v>
      </c>
      <c r="R13" s="14">
        <v>8.21</v>
      </c>
      <c r="S13" s="14">
        <v>8.47</v>
      </c>
      <c r="T13" s="14">
        <v>8.41</v>
      </c>
      <c r="U13" s="14">
        <v>8.45</v>
      </c>
      <c r="V13" s="14">
        <v>8.49</v>
      </c>
      <c r="W13" s="14">
        <v>8.406</v>
      </c>
      <c r="X13" s="14">
        <v>16.9</v>
      </c>
      <c r="Y13" s="14">
        <v>16.3</v>
      </c>
      <c r="Z13" s="14">
        <v>17.1</v>
      </c>
      <c r="AA13" s="14">
        <v>17.0</v>
      </c>
      <c r="AB13" s="14">
        <v>17.5</v>
      </c>
      <c r="AC13" s="14">
        <v>16.96</v>
      </c>
      <c r="AD13" s="14">
        <v>456.0</v>
      </c>
      <c r="AE13" s="14">
        <v>484.0</v>
      </c>
      <c r="AF13" s="14">
        <v>528.0</v>
      </c>
      <c r="AG13" s="14">
        <v>552.0</v>
      </c>
      <c r="AH13" s="14">
        <v>579.0</v>
      </c>
      <c r="AI13" s="14">
        <v>519.8</v>
      </c>
      <c r="AJ13" s="14">
        <v>5.14</v>
      </c>
      <c r="AK13" s="14">
        <v>5.22</v>
      </c>
      <c r="AL13" s="14">
        <v>4.9</v>
      </c>
      <c r="AM13" s="14">
        <v>5.02</v>
      </c>
      <c r="AN13" s="14">
        <v>4.84</v>
      </c>
      <c r="AO13" s="14">
        <v>5.024</v>
      </c>
      <c r="AP13" s="14">
        <v>101.0</v>
      </c>
      <c r="AQ13" s="14">
        <v>165.0</v>
      </c>
      <c r="AR13" s="14">
        <v>32.0</v>
      </c>
      <c r="AS13" s="14">
        <v>7.27</v>
      </c>
      <c r="AT13" s="14">
        <v>5.57</v>
      </c>
      <c r="AU13" s="14">
        <v>1.146E8</v>
      </c>
      <c r="AV13" s="15">
        <v>1.4</v>
      </c>
      <c r="AW13" s="15">
        <v>57.1</v>
      </c>
      <c r="AX13" s="15">
        <v>5.4E7</v>
      </c>
      <c r="AY13" s="14">
        <v>0.536</v>
      </c>
      <c r="AZ13" s="14">
        <v>0.016</v>
      </c>
      <c r="BA13" s="14">
        <v>57.652</v>
      </c>
    </row>
    <row r="14" ht="14.25" customHeight="1">
      <c r="A14" s="10">
        <v>155755.0</v>
      </c>
      <c r="B14" s="11" t="s">
        <v>74</v>
      </c>
      <c r="C14" s="11"/>
      <c r="D14" s="12"/>
      <c r="E14" s="11">
        <v>42327.0</v>
      </c>
      <c r="F14" s="12">
        <v>1.0</v>
      </c>
      <c r="G14" s="12" t="s">
        <v>75</v>
      </c>
      <c r="H14" s="13">
        <v>0.2916666666666667</v>
      </c>
      <c r="I14" s="13">
        <v>0.37499999999999994</v>
      </c>
      <c r="J14" s="12">
        <v>0.8</v>
      </c>
      <c r="K14" s="12">
        <v>0.1</v>
      </c>
      <c r="L14" s="14">
        <v>9.8</v>
      </c>
      <c r="M14" s="14">
        <v>11.3</v>
      </c>
      <c r="N14" s="14">
        <v>14.8</v>
      </c>
      <c r="O14" s="14">
        <v>13.7</v>
      </c>
      <c r="P14" s="14">
        <v>8.7</v>
      </c>
      <c r="Q14" s="14">
        <v>11.660000000000002</v>
      </c>
      <c r="R14" s="14">
        <v>7.47</v>
      </c>
      <c r="S14" s="14">
        <v>7.56</v>
      </c>
      <c r="T14" s="14">
        <v>7.75</v>
      </c>
      <c r="U14" s="14">
        <v>7.69</v>
      </c>
      <c r="V14" s="14">
        <v>7.84</v>
      </c>
      <c r="W14" s="14">
        <v>7.662000000000001</v>
      </c>
      <c r="X14" s="14">
        <v>12.7</v>
      </c>
      <c r="Y14" s="14">
        <v>12.7</v>
      </c>
      <c r="Z14" s="14">
        <v>13.8</v>
      </c>
      <c r="AA14" s="14">
        <v>13.0</v>
      </c>
      <c r="AB14" s="14">
        <v>13.4</v>
      </c>
      <c r="AC14" s="14">
        <v>13.120000000000001</v>
      </c>
      <c r="AD14" s="14">
        <v>202.1</v>
      </c>
      <c r="AE14" s="14">
        <v>179.0</v>
      </c>
      <c r="AF14" s="14">
        <v>184.1</v>
      </c>
      <c r="AG14" s="14">
        <v>187.4</v>
      </c>
      <c r="AH14" s="14">
        <v>186.0</v>
      </c>
      <c r="AI14" s="14">
        <v>187.72</v>
      </c>
      <c r="AJ14" s="14">
        <v>7.0</v>
      </c>
      <c r="AK14" s="14">
        <v>6.9</v>
      </c>
      <c r="AL14" s="14">
        <v>6.47</v>
      </c>
      <c r="AM14" s="14">
        <v>6.29</v>
      </c>
      <c r="AN14" s="14">
        <v>6.65</v>
      </c>
      <c r="AO14" s="14">
        <v>6.662000000000001</v>
      </c>
      <c r="AP14" s="14">
        <v>31.0</v>
      </c>
      <c r="AQ14" s="14">
        <v>52.0</v>
      </c>
      <c r="AR14" s="14">
        <v>13.0</v>
      </c>
      <c r="AS14" s="14">
        <v>0.67</v>
      </c>
      <c r="AT14" s="14">
        <v>0.361</v>
      </c>
      <c r="AU14" s="14">
        <v>268200.0</v>
      </c>
      <c r="AV14" s="15">
        <v>0.12</v>
      </c>
      <c r="AW14" s="15">
        <v>0.59</v>
      </c>
      <c r="AX14" s="15">
        <v>120000.0</v>
      </c>
      <c r="AY14" s="14">
        <v>5.04</v>
      </c>
      <c r="AZ14" s="14">
        <v>0.475</v>
      </c>
      <c r="BA14" s="14">
        <v>6.105</v>
      </c>
    </row>
    <row r="15" ht="14.25" customHeight="1">
      <c r="A15" s="10">
        <v>155181.0</v>
      </c>
      <c r="B15" s="11" t="s">
        <v>55</v>
      </c>
      <c r="C15" s="11"/>
      <c r="D15" s="12"/>
      <c r="E15" s="11">
        <v>42326.0</v>
      </c>
      <c r="F15" s="12">
        <v>1.0</v>
      </c>
      <c r="G15" s="12" t="s">
        <v>76</v>
      </c>
      <c r="H15" s="13">
        <v>0.6041666666666666</v>
      </c>
      <c r="I15" s="13">
        <v>0.6874999999999997</v>
      </c>
      <c r="J15" s="12">
        <v>4.4</v>
      </c>
      <c r="K15" s="12">
        <v>0.8</v>
      </c>
      <c r="L15" s="14">
        <v>92.4</v>
      </c>
      <c r="M15" s="14">
        <v>89.7</v>
      </c>
      <c r="N15" s="14">
        <v>88.5</v>
      </c>
      <c r="O15" s="14">
        <v>100.7</v>
      </c>
      <c r="P15" s="14">
        <v>94.0</v>
      </c>
      <c r="Q15" s="14">
        <v>93.06</v>
      </c>
      <c r="R15" s="14">
        <v>8.17</v>
      </c>
      <c r="S15" s="14">
        <v>8.1</v>
      </c>
      <c r="T15" s="14">
        <v>8.23</v>
      </c>
      <c r="U15" s="14">
        <v>8.25</v>
      </c>
      <c r="V15" s="14">
        <v>8.24</v>
      </c>
      <c r="W15" s="14">
        <v>8.198</v>
      </c>
      <c r="X15" s="14">
        <v>19.3</v>
      </c>
      <c r="Y15" s="14">
        <v>19.5</v>
      </c>
      <c r="Z15" s="14">
        <v>18.4</v>
      </c>
      <c r="AA15" s="14">
        <v>16.7</v>
      </c>
      <c r="AB15" s="14">
        <v>16.5</v>
      </c>
      <c r="AC15" s="14">
        <v>18.08</v>
      </c>
      <c r="AD15" s="14">
        <v>659.0</v>
      </c>
      <c r="AE15" s="14">
        <v>678.0</v>
      </c>
      <c r="AF15" s="14">
        <v>673.0</v>
      </c>
      <c r="AG15" s="14">
        <v>661.0</v>
      </c>
      <c r="AH15" s="14">
        <v>662.0</v>
      </c>
      <c r="AI15" s="14">
        <v>666.6</v>
      </c>
      <c r="AJ15" s="14">
        <v>2.0</v>
      </c>
      <c r="AK15" s="14">
        <v>1.84</v>
      </c>
      <c r="AL15" s="14">
        <v>2.05</v>
      </c>
      <c r="AM15" s="14">
        <v>1.78</v>
      </c>
      <c r="AN15" s="14">
        <v>1.69</v>
      </c>
      <c r="AO15" s="14">
        <v>1.8719999999999999</v>
      </c>
      <c r="AP15" s="14">
        <v>153.0</v>
      </c>
      <c r="AQ15" s="14">
        <v>247.0</v>
      </c>
      <c r="AR15" s="14">
        <v>80.0</v>
      </c>
      <c r="AS15" s="14">
        <v>14.6</v>
      </c>
      <c r="AT15" s="14">
        <v>4.65</v>
      </c>
      <c r="AU15" s="14">
        <v>4.569E8</v>
      </c>
      <c r="AV15" s="15">
        <v>5.18</v>
      </c>
      <c r="AW15" s="15">
        <v>60.5</v>
      </c>
      <c r="AX15" s="15">
        <v>2.4E8</v>
      </c>
      <c r="AY15" s="14">
        <v>1.11</v>
      </c>
      <c r="AZ15" s="14">
        <v>0.017</v>
      </c>
      <c r="BA15" s="14">
        <v>61.627</v>
      </c>
    </row>
    <row r="16" ht="14.25" customHeight="1">
      <c r="A16" s="10">
        <v>155047.0</v>
      </c>
      <c r="B16" s="11" t="s">
        <v>77</v>
      </c>
      <c r="C16" s="11"/>
      <c r="D16" s="12"/>
      <c r="E16" s="11">
        <v>42325.0</v>
      </c>
      <c r="F16" s="12">
        <v>1.0</v>
      </c>
      <c r="G16" s="12" t="s">
        <v>78</v>
      </c>
      <c r="H16" s="13">
        <v>0.40625</v>
      </c>
      <c r="I16" s="13">
        <v>0.48958333333333326</v>
      </c>
      <c r="J16" s="12">
        <v>3.0</v>
      </c>
      <c r="K16" s="12">
        <v>0.12</v>
      </c>
      <c r="L16" s="14">
        <v>312.3</v>
      </c>
      <c r="M16" s="14">
        <v>210.1</v>
      </c>
      <c r="N16" s="14">
        <v>220.8</v>
      </c>
      <c r="O16" s="14">
        <v>257.1</v>
      </c>
      <c r="P16" s="14">
        <v>266.1</v>
      </c>
      <c r="Q16" s="14">
        <v>253.28000000000003</v>
      </c>
      <c r="R16" s="14">
        <v>7.58</v>
      </c>
      <c r="S16" s="14">
        <v>7.58</v>
      </c>
      <c r="T16" s="14">
        <v>7.54</v>
      </c>
      <c r="U16" s="14">
        <v>7.63</v>
      </c>
      <c r="V16" s="14">
        <v>7.58</v>
      </c>
      <c r="W16" s="14">
        <v>7.581999999999999</v>
      </c>
      <c r="X16" s="14">
        <v>16.9</v>
      </c>
      <c r="Y16" s="14">
        <v>17.6</v>
      </c>
      <c r="Z16" s="14">
        <v>17.7</v>
      </c>
      <c r="AA16" s="14">
        <v>18.0</v>
      </c>
      <c r="AB16" s="14">
        <v>18.0</v>
      </c>
      <c r="AC16" s="14">
        <v>17.64</v>
      </c>
      <c r="AD16" s="14">
        <v>331.0</v>
      </c>
      <c r="AE16" s="14">
        <v>340.0</v>
      </c>
      <c r="AF16" s="14">
        <v>348.0</v>
      </c>
      <c r="AG16" s="14">
        <v>362.0</v>
      </c>
      <c r="AH16" s="14">
        <v>379.0</v>
      </c>
      <c r="AI16" s="14">
        <v>352.0</v>
      </c>
      <c r="AJ16" s="14">
        <v>2.65</v>
      </c>
      <c r="AK16" s="14">
        <v>1.99</v>
      </c>
      <c r="AL16" s="14">
        <v>2.26</v>
      </c>
      <c r="AM16" s="14">
        <v>2.27</v>
      </c>
      <c r="AN16" s="14">
        <v>1.91</v>
      </c>
      <c r="AO16" s="14">
        <v>2.216</v>
      </c>
      <c r="AP16" s="14">
        <v>212.0</v>
      </c>
      <c r="AQ16" s="14">
        <v>342.0</v>
      </c>
      <c r="AR16" s="14">
        <v>35.0</v>
      </c>
      <c r="AS16" s="14">
        <v>16.0</v>
      </c>
      <c r="AT16" s="14">
        <v>4.02</v>
      </c>
      <c r="AU16" s="14">
        <v>1.751E7</v>
      </c>
      <c r="AV16" s="15">
        <v>2.38</v>
      </c>
      <c r="AW16" s="15">
        <v>28.8</v>
      </c>
      <c r="AX16" s="15">
        <v>5850000.0</v>
      </c>
      <c r="AY16" s="14">
        <v>0.451</v>
      </c>
      <c r="AZ16" s="14">
        <v>0.038</v>
      </c>
      <c r="BA16" s="14">
        <v>29.289</v>
      </c>
    </row>
    <row r="17" ht="14.25" customHeight="1">
      <c r="A17" s="10">
        <v>142967.0</v>
      </c>
      <c r="B17" s="16" t="s">
        <v>79</v>
      </c>
      <c r="C17" s="11"/>
      <c r="D17" s="12"/>
      <c r="E17" s="17">
        <v>42299.0</v>
      </c>
      <c r="F17" s="18">
        <v>1.0</v>
      </c>
      <c r="G17" s="18" t="s">
        <v>80</v>
      </c>
      <c r="H17" s="13">
        <v>0.5</v>
      </c>
      <c r="I17" s="13">
        <v>0.583333333333333</v>
      </c>
      <c r="J17" s="18">
        <v>0.4</v>
      </c>
      <c r="K17" s="18">
        <v>0.25</v>
      </c>
      <c r="L17" s="15">
        <v>2.58</v>
      </c>
      <c r="M17" s="15">
        <v>1.79</v>
      </c>
      <c r="N17" s="15">
        <v>1.52</v>
      </c>
      <c r="O17" s="15">
        <v>2.44</v>
      </c>
      <c r="P17" s="15">
        <v>1.77</v>
      </c>
      <c r="Q17" s="15">
        <v>2.02</v>
      </c>
      <c r="R17" s="15">
        <v>7.04</v>
      </c>
      <c r="S17" s="15">
        <v>7.12</v>
      </c>
      <c r="T17" s="15">
        <v>7.1</v>
      </c>
      <c r="U17" s="15">
        <v>7.16</v>
      </c>
      <c r="V17" s="15">
        <v>7.05</v>
      </c>
      <c r="W17" s="15">
        <v>7.093999999999999</v>
      </c>
      <c r="X17" s="15">
        <v>17.0</v>
      </c>
      <c r="Y17" s="15">
        <v>16.5</v>
      </c>
      <c r="Z17" s="15">
        <v>15.1</v>
      </c>
      <c r="AA17" s="15">
        <v>15.0</v>
      </c>
      <c r="AB17" s="15">
        <v>15.0</v>
      </c>
      <c r="AC17" s="15">
        <v>15.719999999999999</v>
      </c>
      <c r="AD17" s="15">
        <v>96.2</v>
      </c>
      <c r="AE17" s="15">
        <v>97.7</v>
      </c>
      <c r="AF17" s="15">
        <v>95.7</v>
      </c>
      <c r="AG17" s="15">
        <v>95.0</v>
      </c>
      <c r="AH17" s="15">
        <v>94.6</v>
      </c>
      <c r="AI17" s="15">
        <v>95.84</v>
      </c>
      <c r="AJ17" s="15">
        <v>4.54</v>
      </c>
      <c r="AK17" s="15">
        <v>4.75</v>
      </c>
      <c r="AL17" s="15">
        <v>4.88</v>
      </c>
      <c r="AM17" s="15">
        <v>4.82</v>
      </c>
      <c r="AN17" s="15">
        <v>5.01</v>
      </c>
      <c r="AO17" s="15">
        <v>4.8</v>
      </c>
      <c r="AP17" s="15">
        <v>28.0</v>
      </c>
      <c r="AQ17" s="15">
        <v>43.0</v>
      </c>
      <c r="AR17" s="15">
        <v>68.0</v>
      </c>
      <c r="AS17" s="15">
        <v>1.47</v>
      </c>
      <c r="AT17" s="15">
        <v>0.15</v>
      </c>
      <c r="AU17" s="15">
        <v>1146.0</v>
      </c>
      <c r="AV17" s="15">
        <v>0.563</v>
      </c>
      <c r="AW17" s="15">
        <v>5.16</v>
      </c>
      <c r="AX17" s="15">
        <v>94.0</v>
      </c>
      <c r="AY17" s="15">
        <v>1.7</v>
      </c>
      <c r="AZ17" s="15">
        <v>0.019</v>
      </c>
      <c r="BA17" s="15">
        <v>6.8790000000000004</v>
      </c>
    </row>
    <row r="18" ht="14.25" customHeight="1">
      <c r="A18" s="10">
        <v>143485.0</v>
      </c>
      <c r="B18" s="11" t="s">
        <v>81</v>
      </c>
      <c r="C18" s="11"/>
      <c r="D18" s="12"/>
      <c r="E18" s="11">
        <v>42300.0</v>
      </c>
      <c r="F18" s="12">
        <v>1.0</v>
      </c>
      <c r="G18" s="12" t="s">
        <v>82</v>
      </c>
      <c r="H18" s="13">
        <v>0.3819444444444444</v>
      </c>
      <c r="I18" s="13">
        <v>0.4652777777777777</v>
      </c>
      <c r="J18" s="12">
        <v>2.4</v>
      </c>
      <c r="K18" s="12">
        <v>0.08</v>
      </c>
      <c r="L18" s="14">
        <v>97.0</v>
      </c>
      <c r="M18" s="14">
        <v>83.0</v>
      </c>
      <c r="N18" s="14">
        <v>65.0</v>
      </c>
      <c r="O18" s="14">
        <v>68.0</v>
      </c>
      <c r="P18" s="14">
        <v>67.0</v>
      </c>
      <c r="Q18" s="14">
        <v>76.0</v>
      </c>
      <c r="R18" s="14">
        <v>8.31</v>
      </c>
      <c r="S18" s="14">
        <v>8.36</v>
      </c>
      <c r="T18" s="14">
        <v>8.43</v>
      </c>
      <c r="U18" s="14">
        <v>8.48</v>
      </c>
      <c r="V18" s="14">
        <v>8.39</v>
      </c>
      <c r="W18" s="14">
        <v>8.394</v>
      </c>
      <c r="X18" s="14">
        <v>18.7</v>
      </c>
      <c r="Y18" s="14">
        <v>19.1</v>
      </c>
      <c r="Z18" s="14">
        <v>20.4</v>
      </c>
      <c r="AA18" s="14">
        <v>22.4</v>
      </c>
      <c r="AB18" s="14">
        <v>20.6</v>
      </c>
      <c r="AC18" s="14">
        <v>20.24</v>
      </c>
      <c r="AD18" s="14">
        <v>419.0</v>
      </c>
      <c r="AE18" s="14">
        <v>416.0</v>
      </c>
      <c r="AF18" s="14">
        <v>414.0</v>
      </c>
      <c r="AG18" s="14">
        <v>418.0</v>
      </c>
      <c r="AH18" s="14">
        <v>406.0</v>
      </c>
      <c r="AI18" s="14">
        <v>414.6</v>
      </c>
      <c r="AJ18" s="14">
        <v>4.05</v>
      </c>
      <c r="AK18" s="14">
        <v>3.82</v>
      </c>
      <c r="AL18" s="14">
        <v>4.57</v>
      </c>
      <c r="AM18" s="14">
        <v>4.88</v>
      </c>
      <c r="AN18" s="14">
        <v>3.6</v>
      </c>
      <c r="AO18" s="14">
        <v>4.184</v>
      </c>
      <c r="AP18" s="14">
        <v>68.0</v>
      </c>
      <c r="AQ18" s="14">
        <v>114.0</v>
      </c>
      <c r="AR18" s="14">
        <v>60.0</v>
      </c>
      <c r="AS18" s="14">
        <v>7.34</v>
      </c>
      <c r="AT18" s="14">
        <v>2.09</v>
      </c>
      <c r="AU18" s="14">
        <v>1.236E7</v>
      </c>
      <c r="AV18" s="15">
        <v>2.39</v>
      </c>
      <c r="AW18" s="15">
        <v>15.43</v>
      </c>
      <c r="AX18" s="15">
        <v>2800000.0</v>
      </c>
      <c r="AY18" s="14">
        <v>0.577</v>
      </c>
      <c r="AZ18" s="14">
        <v>0.215</v>
      </c>
      <c r="BA18" s="14">
        <v>16.222</v>
      </c>
    </row>
    <row r="19" ht="14.25" customHeight="1">
      <c r="A19" s="10">
        <v>142966.0</v>
      </c>
      <c r="B19" s="11" t="s">
        <v>83</v>
      </c>
      <c r="C19" s="11"/>
      <c r="D19" s="12"/>
      <c r="E19" s="11">
        <v>42299.0</v>
      </c>
      <c r="F19" s="12">
        <v>1.0</v>
      </c>
      <c r="G19" s="12" t="s">
        <v>84</v>
      </c>
      <c r="H19" s="13">
        <v>0.375</v>
      </c>
      <c r="I19" s="13">
        <v>0.45833333333333326</v>
      </c>
      <c r="J19" s="12">
        <v>4.6</v>
      </c>
      <c r="K19" s="12">
        <v>0.25</v>
      </c>
      <c r="L19" s="14">
        <v>312.12</v>
      </c>
      <c r="M19" s="14">
        <v>321.21</v>
      </c>
      <c r="N19" s="14">
        <v>350.17</v>
      </c>
      <c r="O19" s="14">
        <v>358.58</v>
      </c>
      <c r="P19" s="14">
        <v>336.56</v>
      </c>
      <c r="Q19" s="14">
        <v>335.72799999999995</v>
      </c>
      <c r="R19" s="14">
        <v>7.89</v>
      </c>
      <c r="S19" s="14">
        <v>8.04</v>
      </c>
      <c r="T19" s="14">
        <v>8.0</v>
      </c>
      <c r="U19" s="14">
        <v>7.9</v>
      </c>
      <c r="V19" s="14">
        <v>7.93</v>
      </c>
      <c r="W19" s="14">
        <v>7.952</v>
      </c>
      <c r="X19" s="14">
        <v>15.2</v>
      </c>
      <c r="Y19" s="14">
        <v>15.0</v>
      </c>
      <c r="Z19" s="14">
        <v>17.4</v>
      </c>
      <c r="AA19" s="14">
        <v>17.3</v>
      </c>
      <c r="AB19" s="14">
        <v>18.1</v>
      </c>
      <c r="AC19" s="14">
        <v>16.6</v>
      </c>
      <c r="AD19" s="14">
        <v>850.0</v>
      </c>
      <c r="AE19" s="14">
        <v>817.0</v>
      </c>
      <c r="AF19" s="14">
        <v>781.0</v>
      </c>
      <c r="AG19" s="14">
        <v>769.0</v>
      </c>
      <c r="AH19" s="14">
        <v>758.0</v>
      </c>
      <c r="AI19" s="14">
        <v>795.0</v>
      </c>
      <c r="AJ19" s="14">
        <v>0.86</v>
      </c>
      <c r="AK19" s="14">
        <v>0.89</v>
      </c>
      <c r="AL19" s="14">
        <v>0.73</v>
      </c>
      <c r="AM19" s="14">
        <v>0.42</v>
      </c>
      <c r="AN19" s="14">
        <v>0.79</v>
      </c>
      <c r="AO19" s="14">
        <v>0.738</v>
      </c>
      <c r="AP19" s="14">
        <v>310.0</v>
      </c>
      <c r="AQ19" s="14">
        <v>468.0</v>
      </c>
      <c r="AR19" s="14">
        <v>190.0</v>
      </c>
      <c r="AS19" s="14">
        <v>34.6</v>
      </c>
      <c r="AT19" s="14">
        <v>3.5</v>
      </c>
      <c r="AU19" s="14">
        <v>816400.0</v>
      </c>
      <c r="AV19" s="15">
        <v>12.2</v>
      </c>
      <c r="AW19" s="15">
        <v>60.0</v>
      </c>
      <c r="AX19" s="15">
        <v>350000.0</v>
      </c>
      <c r="AY19" s="14">
        <v>0.733</v>
      </c>
      <c r="AZ19" s="14">
        <v>0.012</v>
      </c>
      <c r="BA19" s="14">
        <v>60.745</v>
      </c>
    </row>
    <row r="20" ht="14.25" customHeight="1">
      <c r="A20" s="10">
        <v>142765.0</v>
      </c>
      <c r="B20" s="11" t="s">
        <v>85</v>
      </c>
      <c r="C20" s="11"/>
      <c r="D20" s="12"/>
      <c r="E20" s="11">
        <v>42298.0</v>
      </c>
      <c r="F20" s="12">
        <v>1.0</v>
      </c>
      <c r="G20" s="12" t="s">
        <v>86</v>
      </c>
      <c r="H20" s="13">
        <v>0.3958333333333333</v>
      </c>
      <c r="I20" s="13">
        <v>0.4791666666666666</v>
      </c>
      <c r="J20" s="12">
        <v>5.7</v>
      </c>
      <c r="K20" s="12">
        <v>0.2</v>
      </c>
      <c r="L20" s="14">
        <v>228.5</v>
      </c>
      <c r="M20" s="14">
        <v>266.9</v>
      </c>
      <c r="N20" s="14">
        <v>298.0</v>
      </c>
      <c r="O20" s="14">
        <v>305.7</v>
      </c>
      <c r="P20" s="14">
        <v>298.2</v>
      </c>
      <c r="Q20" s="14">
        <v>279.46</v>
      </c>
      <c r="R20" s="14">
        <v>8.3</v>
      </c>
      <c r="S20" s="14">
        <v>8.42</v>
      </c>
      <c r="T20" s="14">
        <v>8.39</v>
      </c>
      <c r="U20" s="14">
        <v>8.44</v>
      </c>
      <c r="V20" s="14">
        <v>8.57</v>
      </c>
      <c r="W20" s="14">
        <v>8.424</v>
      </c>
      <c r="X20" s="14">
        <v>20.4</v>
      </c>
      <c r="Y20" s="14">
        <v>19.6</v>
      </c>
      <c r="Z20" s="14">
        <v>20.0</v>
      </c>
      <c r="AA20" s="14">
        <v>19.9</v>
      </c>
      <c r="AB20" s="14">
        <v>20.2</v>
      </c>
      <c r="AC20" s="14">
        <v>20.020000000000003</v>
      </c>
      <c r="AD20" s="14">
        <v>950.0</v>
      </c>
      <c r="AE20" s="14">
        <v>589.0</v>
      </c>
      <c r="AF20" s="14">
        <v>600.0</v>
      </c>
      <c r="AG20" s="14">
        <v>641.0</v>
      </c>
      <c r="AH20" s="14">
        <v>678.0</v>
      </c>
      <c r="AI20" s="14">
        <v>691.6</v>
      </c>
      <c r="AJ20" s="14">
        <v>0.66</v>
      </c>
      <c r="AK20" s="14">
        <v>0.75</v>
      </c>
      <c r="AL20" s="14">
        <v>0.89</v>
      </c>
      <c r="AM20" s="14">
        <v>0.79</v>
      </c>
      <c r="AN20" s="14">
        <v>0.91</v>
      </c>
      <c r="AO20" s="14">
        <v>0.8</v>
      </c>
      <c r="AP20" s="14">
        <v>318.0</v>
      </c>
      <c r="AQ20" s="14">
        <v>524.0</v>
      </c>
      <c r="AR20" s="14">
        <v>152.0</v>
      </c>
      <c r="AS20" s="14">
        <v>48.1</v>
      </c>
      <c r="AT20" s="14">
        <v>2.92</v>
      </c>
      <c r="AU20" s="14">
        <v>2981000.0</v>
      </c>
      <c r="AV20" s="15">
        <v>5.96</v>
      </c>
      <c r="AW20" s="15">
        <v>60.67</v>
      </c>
      <c r="AX20" s="15">
        <v>1100000.0</v>
      </c>
      <c r="AY20" s="14">
        <v>1.86</v>
      </c>
      <c r="AZ20" s="14">
        <v>0.033</v>
      </c>
      <c r="BA20" s="14">
        <v>62.563</v>
      </c>
    </row>
    <row r="21" ht="14.25" customHeight="1">
      <c r="A21" s="10">
        <v>143489.0</v>
      </c>
      <c r="B21" s="11" t="s">
        <v>87</v>
      </c>
      <c r="C21" s="11"/>
      <c r="D21" s="12"/>
      <c r="E21" s="11">
        <v>42300.0</v>
      </c>
      <c r="F21" s="12">
        <v>1.0</v>
      </c>
      <c r="G21" s="12" t="s">
        <v>88</v>
      </c>
      <c r="H21" s="13">
        <v>0.34027777777777773</v>
      </c>
      <c r="I21" s="13">
        <v>0.423611111111111</v>
      </c>
      <c r="J21" s="12">
        <v>7.3</v>
      </c>
      <c r="K21" s="12">
        <v>0.32</v>
      </c>
      <c r="L21" s="14">
        <v>456.0</v>
      </c>
      <c r="M21" s="14">
        <v>541.0</v>
      </c>
      <c r="N21" s="14">
        <v>582.0</v>
      </c>
      <c r="O21" s="14">
        <v>621.0</v>
      </c>
      <c r="P21" s="14">
        <v>575.0</v>
      </c>
      <c r="Q21" s="14">
        <v>555.0</v>
      </c>
      <c r="R21" s="14">
        <v>7.4</v>
      </c>
      <c r="S21" s="14">
        <v>7.49</v>
      </c>
      <c r="T21" s="14">
        <v>7.49</v>
      </c>
      <c r="U21" s="14">
        <v>7.52</v>
      </c>
      <c r="V21" s="14">
        <v>7.49</v>
      </c>
      <c r="W21" s="14">
        <v>7.478</v>
      </c>
      <c r="X21" s="14">
        <v>16.6</v>
      </c>
      <c r="Y21" s="14">
        <v>16.9</v>
      </c>
      <c r="Z21" s="14">
        <v>16.6</v>
      </c>
      <c r="AA21" s="14">
        <v>16.5</v>
      </c>
      <c r="AB21" s="14">
        <v>16.7</v>
      </c>
      <c r="AC21" s="14">
        <v>16.66</v>
      </c>
      <c r="AD21" s="14">
        <v>540.0</v>
      </c>
      <c r="AE21" s="14">
        <v>536.0</v>
      </c>
      <c r="AF21" s="14">
        <v>539.0</v>
      </c>
      <c r="AG21" s="14">
        <v>540.0</v>
      </c>
      <c r="AH21" s="14">
        <v>541.0</v>
      </c>
      <c r="AI21" s="14">
        <v>539.2</v>
      </c>
      <c r="AJ21" s="14">
        <v>0.49</v>
      </c>
      <c r="AK21" s="14">
        <v>0.87</v>
      </c>
      <c r="AL21" s="14">
        <v>0.88</v>
      </c>
      <c r="AM21" s="14">
        <v>1.05</v>
      </c>
      <c r="AN21" s="14">
        <v>0.69</v>
      </c>
      <c r="AO21" s="14">
        <v>0.796</v>
      </c>
      <c r="AP21" s="14">
        <v>87.0</v>
      </c>
      <c r="AQ21" s="14">
        <v>145.0</v>
      </c>
      <c r="AR21" s="14">
        <v>28.0</v>
      </c>
      <c r="AS21" s="14">
        <v>9.8</v>
      </c>
      <c r="AT21" s="14">
        <v>3.63</v>
      </c>
      <c r="AU21" s="14">
        <v>3.762E7</v>
      </c>
      <c r="AV21" s="15">
        <v>6.23</v>
      </c>
      <c r="AW21" s="15">
        <v>26.86</v>
      </c>
      <c r="AX21" s="15">
        <v>1.1E7</v>
      </c>
      <c r="AY21" s="14">
        <v>3.03</v>
      </c>
      <c r="AZ21" s="14">
        <v>0.053</v>
      </c>
      <c r="BA21" s="14">
        <v>29.943</v>
      </c>
    </row>
    <row r="22" ht="14.25" customHeight="1">
      <c r="A22" s="10">
        <v>143488.0</v>
      </c>
      <c r="B22" s="11" t="s">
        <v>89</v>
      </c>
      <c r="C22" s="11"/>
      <c r="D22" s="12"/>
      <c r="E22" s="11">
        <v>42300.0</v>
      </c>
      <c r="F22" s="12">
        <v>1.0</v>
      </c>
      <c r="G22" s="12" t="s">
        <v>90</v>
      </c>
      <c r="H22" s="13">
        <v>0.5</v>
      </c>
      <c r="I22" s="13">
        <v>0.583333333333333</v>
      </c>
      <c r="J22" s="12">
        <v>2.6</v>
      </c>
      <c r="K22" s="12">
        <v>0.1</v>
      </c>
      <c r="L22" s="14">
        <v>75.0</v>
      </c>
      <c r="M22" s="14">
        <v>68.0</v>
      </c>
      <c r="N22" s="14">
        <v>63.0</v>
      </c>
      <c r="O22" s="14">
        <v>69.0</v>
      </c>
      <c r="P22" s="14">
        <v>67.0</v>
      </c>
      <c r="Q22" s="14">
        <v>68.4</v>
      </c>
      <c r="R22" s="14">
        <v>5.75</v>
      </c>
      <c r="S22" s="14">
        <v>5.75</v>
      </c>
      <c r="T22" s="14">
        <v>5.63</v>
      </c>
      <c r="U22" s="14">
        <v>5.1</v>
      </c>
      <c r="V22" s="14">
        <v>5.72</v>
      </c>
      <c r="W22" s="14">
        <v>5.589999999999999</v>
      </c>
      <c r="X22" s="14">
        <v>20.5</v>
      </c>
      <c r="Y22" s="14">
        <v>21.2</v>
      </c>
      <c r="Z22" s="14">
        <v>21.3</v>
      </c>
      <c r="AA22" s="14">
        <v>21.0</v>
      </c>
      <c r="AB22" s="14">
        <v>22.5</v>
      </c>
      <c r="AC22" s="14">
        <v>21.3</v>
      </c>
      <c r="AD22" s="14">
        <v>374.0</v>
      </c>
      <c r="AE22" s="14">
        <v>360.0</v>
      </c>
      <c r="AF22" s="14">
        <v>361.0</v>
      </c>
      <c r="AG22" s="14">
        <v>364.0</v>
      </c>
      <c r="AH22" s="14">
        <v>344.0</v>
      </c>
      <c r="AI22" s="14">
        <v>360.6</v>
      </c>
      <c r="AJ22" s="14">
        <v>5.75</v>
      </c>
      <c r="AK22" s="14">
        <v>5.75</v>
      </c>
      <c r="AL22" s="14">
        <v>5.63</v>
      </c>
      <c r="AM22" s="14">
        <v>5.1</v>
      </c>
      <c r="AN22" s="14">
        <v>5.72</v>
      </c>
      <c r="AO22" s="14">
        <v>5.589999999999999</v>
      </c>
      <c r="AP22" s="14">
        <v>55.0</v>
      </c>
      <c r="AQ22" s="14">
        <v>92.0</v>
      </c>
      <c r="AR22" s="14">
        <v>12.0</v>
      </c>
      <c r="AS22" s="14">
        <v>6.05</v>
      </c>
      <c r="AT22" s="14">
        <v>1.88</v>
      </c>
      <c r="AU22" s="14">
        <v>1.25E7</v>
      </c>
      <c r="AV22" s="15">
        <v>0.994</v>
      </c>
      <c r="AW22" s="15">
        <v>10.86</v>
      </c>
      <c r="AX22" s="15">
        <v>3500000.0</v>
      </c>
      <c r="AY22" s="14">
        <v>0.32</v>
      </c>
      <c r="AZ22" s="14">
        <v>0.052</v>
      </c>
      <c r="BA22" s="14">
        <v>11.232</v>
      </c>
    </row>
    <row r="23" ht="14.25" customHeight="1">
      <c r="A23" s="10">
        <v>142760.0</v>
      </c>
      <c r="B23" s="11" t="s">
        <v>91</v>
      </c>
      <c r="C23" s="11"/>
      <c r="D23" s="12"/>
      <c r="E23" s="11">
        <v>42298.0</v>
      </c>
      <c r="F23" s="12">
        <v>1.0</v>
      </c>
      <c r="G23" s="12" t="s">
        <v>92</v>
      </c>
      <c r="H23" s="13">
        <v>0.5</v>
      </c>
      <c r="I23" s="13">
        <v>0.583333333333333</v>
      </c>
      <c r="J23" s="12">
        <v>2.63</v>
      </c>
      <c r="K23" s="12">
        <v>0.49</v>
      </c>
      <c r="L23" s="14">
        <v>169.01</v>
      </c>
      <c r="M23" s="14">
        <v>291.54</v>
      </c>
      <c r="N23" s="14">
        <v>302.07</v>
      </c>
      <c r="O23" s="14">
        <v>312.32</v>
      </c>
      <c r="P23" s="14">
        <v>300.22</v>
      </c>
      <c r="Q23" s="14">
        <v>275.03200000000004</v>
      </c>
      <c r="R23" s="14">
        <v>7.22</v>
      </c>
      <c r="S23" s="14">
        <v>7.52</v>
      </c>
      <c r="T23" s="14">
        <v>7.52</v>
      </c>
      <c r="U23" s="14">
        <v>7.47</v>
      </c>
      <c r="V23" s="14">
        <v>7.58</v>
      </c>
      <c r="W23" s="14">
        <v>7.461999999999999</v>
      </c>
      <c r="X23" s="14">
        <v>18.6</v>
      </c>
      <c r="Y23" s="14">
        <v>18.1</v>
      </c>
      <c r="Z23" s="14">
        <v>18.4</v>
      </c>
      <c r="AA23" s="14">
        <v>17.8</v>
      </c>
      <c r="AB23" s="14">
        <v>17.8</v>
      </c>
      <c r="AC23" s="14">
        <v>18.14</v>
      </c>
      <c r="AD23" s="14">
        <v>522.0</v>
      </c>
      <c r="AE23" s="14">
        <v>491.0</v>
      </c>
      <c r="AF23" s="14">
        <v>496.0</v>
      </c>
      <c r="AG23" s="14">
        <v>501.0</v>
      </c>
      <c r="AH23" s="14">
        <v>515.0</v>
      </c>
      <c r="AI23" s="14">
        <v>505.0</v>
      </c>
      <c r="AJ23" s="14">
        <v>0.82</v>
      </c>
      <c r="AK23" s="14">
        <v>0.76</v>
      </c>
      <c r="AL23" s="14">
        <v>0.68</v>
      </c>
      <c r="AM23" s="14">
        <v>0.64</v>
      </c>
      <c r="AN23" s="14">
        <v>0.65</v>
      </c>
      <c r="AO23" s="14">
        <v>0.7100000000000001</v>
      </c>
      <c r="AP23" s="14">
        <v>126.0</v>
      </c>
      <c r="AQ23" s="14">
        <v>187.0</v>
      </c>
      <c r="AR23" s="14">
        <v>32.0</v>
      </c>
      <c r="AS23" s="14">
        <v>7.83</v>
      </c>
      <c r="AT23" s="14">
        <v>4.53</v>
      </c>
      <c r="AU23" s="14">
        <v>2.933E7</v>
      </c>
      <c r="AV23" s="15">
        <v>18.4</v>
      </c>
      <c r="AW23" s="15">
        <v>28.0</v>
      </c>
      <c r="AX23" s="15">
        <v>1700000.0</v>
      </c>
      <c r="AY23" s="14">
        <v>1.05</v>
      </c>
      <c r="AZ23" s="14">
        <v>0.06</v>
      </c>
      <c r="BA23" s="14">
        <v>29.11</v>
      </c>
    </row>
    <row r="24" ht="14.25" customHeight="1">
      <c r="A24" s="10">
        <v>142971.0</v>
      </c>
      <c r="B24" s="16" t="s">
        <v>93</v>
      </c>
      <c r="C24" s="11"/>
      <c r="D24" s="12"/>
      <c r="E24" s="11">
        <v>42299.0</v>
      </c>
      <c r="F24" s="12">
        <v>1.0</v>
      </c>
      <c r="G24" s="12" t="s">
        <v>94</v>
      </c>
      <c r="H24" s="13">
        <v>0.46875</v>
      </c>
      <c r="I24" s="13">
        <v>0.5520833333333331</v>
      </c>
      <c r="J24" s="12">
        <v>3.4</v>
      </c>
      <c r="K24" s="12">
        <v>0.11</v>
      </c>
      <c r="L24" s="14">
        <v>56.0</v>
      </c>
      <c r="M24" s="14">
        <v>141.0</v>
      </c>
      <c r="N24" s="14">
        <v>143.0</v>
      </c>
      <c r="O24" s="14">
        <v>137.0</v>
      </c>
      <c r="P24" s="14">
        <v>143.0</v>
      </c>
      <c r="Q24" s="14">
        <v>124.0</v>
      </c>
      <c r="R24" s="14">
        <v>7.79</v>
      </c>
      <c r="S24" s="14">
        <v>7.81</v>
      </c>
      <c r="T24" s="14">
        <v>7.79</v>
      </c>
      <c r="U24" s="14">
        <v>7.7</v>
      </c>
      <c r="V24" s="14">
        <v>7.75</v>
      </c>
      <c r="W24" s="14">
        <v>7.768000000000001</v>
      </c>
      <c r="X24" s="14">
        <v>17.9</v>
      </c>
      <c r="Y24" s="14">
        <v>19.1</v>
      </c>
      <c r="Z24" s="14">
        <v>18.1</v>
      </c>
      <c r="AA24" s="14">
        <v>17.5</v>
      </c>
      <c r="AB24" s="14">
        <v>17.5</v>
      </c>
      <c r="AC24" s="14">
        <v>18.02</v>
      </c>
      <c r="AD24" s="14">
        <v>889.0</v>
      </c>
      <c r="AE24" s="14">
        <v>867.0</v>
      </c>
      <c r="AF24" s="14">
        <v>860.0</v>
      </c>
      <c r="AG24" s="14">
        <v>835.0</v>
      </c>
      <c r="AH24" s="14">
        <v>818.0</v>
      </c>
      <c r="AI24" s="14">
        <v>853.8</v>
      </c>
      <c r="AJ24" s="14">
        <v>2.72</v>
      </c>
      <c r="AK24" s="14">
        <v>2.77</v>
      </c>
      <c r="AL24" s="14">
        <v>3.28</v>
      </c>
      <c r="AM24" s="14">
        <v>2.96</v>
      </c>
      <c r="AN24" s="14">
        <v>3.03</v>
      </c>
      <c r="AO24" s="14">
        <v>2.952</v>
      </c>
      <c r="AP24" s="14">
        <v>377.0</v>
      </c>
      <c r="AQ24" s="14">
        <v>628.0</v>
      </c>
      <c r="AR24" s="14">
        <v>200.0</v>
      </c>
      <c r="AS24" s="14">
        <v>61.8</v>
      </c>
      <c r="AT24" s="14">
        <v>6.6</v>
      </c>
      <c r="AU24" s="14">
        <v>6.294E7</v>
      </c>
      <c r="AV24" s="15">
        <v>10.8</v>
      </c>
      <c r="AW24" s="15">
        <v>77.14</v>
      </c>
      <c r="AX24" s="15">
        <v>9200000.0</v>
      </c>
      <c r="AY24" s="14">
        <v>3.94</v>
      </c>
      <c r="AZ24" s="14">
        <v>0.012</v>
      </c>
      <c r="BA24" s="14">
        <v>81.092</v>
      </c>
    </row>
    <row r="25" ht="14.25" customHeight="1">
      <c r="A25" s="10">
        <v>142764.0</v>
      </c>
      <c r="B25" s="11" t="s">
        <v>95</v>
      </c>
      <c r="C25" s="11"/>
      <c r="D25" s="12"/>
      <c r="E25" s="11">
        <v>42298.0</v>
      </c>
      <c r="F25" s="12">
        <v>1.0</v>
      </c>
      <c r="G25" s="12" t="s">
        <v>96</v>
      </c>
      <c r="H25" s="13">
        <v>0.5208333333333334</v>
      </c>
      <c r="I25" s="13">
        <v>0.6041666666666664</v>
      </c>
      <c r="J25" s="12">
        <v>0.46</v>
      </c>
      <c r="K25" s="12">
        <v>0.03</v>
      </c>
      <c r="L25" s="14">
        <v>2.9</v>
      </c>
      <c r="M25" s="14">
        <v>2.7</v>
      </c>
      <c r="N25" s="14">
        <v>1.9</v>
      </c>
      <c r="O25" s="14">
        <v>1.8</v>
      </c>
      <c r="P25" s="14">
        <v>2.3</v>
      </c>
      <c r="Q25" s="14">
        <v>2.3200000000000003</v>
      </c>
      <c r="R25" s="14">
        <v>7.7</v>
      </c>
      <c r="S25" s="14">
        <v>7.96</v>
      </c>
      <c r="T25" s="14">
        <v>7.96</v>
      </c>
      <c r="U25" s="14">
        <v>7.95</v>
      </c>
      <c r="V25" s="14">
        <v>8.02</v>
      </c>
      <c r="W25" s="14">
        <v>7.918000000000001</v>
      </c>
      <c r="X25" s="14">
        <v>18.3</v>
      </c>
      <c r="Y25" s="14">
        <v>17.2</v>
      </c>
      <c r="Z25" s="14">
        <v>17.6</v>
      </c>
      <c r="AA25" s="14">
        <v>17.3</v>
      </c>
      <c r="AB25" s="14">
        <v>18.0</v>
      </c>
      <c r="AC25" s="14">
        <v>17.68</v>
      </c>
      <c r="AD25" s="14">
        <v>459.0</v>
      </c>
      <c r="AE25" s="14">
        <v>379.0</v>
      </c>
      <c r="AF25" s="14">
        <v>371.0</v>
      </c>
      <c r="AG25" s="14">
        <v>357.0</v>
      </c>
      <c r="AH25" s="14">
        <v>392.0</v>
      </c>
      <c r="AI25" s="14">
        <v>391.6</v>
      </c>
      <c r="AJ25" s="14">
        <v>6.01</v>
      </c>
      <c r="AK25" s="14">
        <v>6.18</v>
      </c>
      <c r="AL25" s="14">
        <v>6.14</v>
      </c>
      <c r="AM25" s="14">
        <v>6.27</v>
      </c>
      <c r="AN25" s="14">
        <v>6.82</v>
      </c>
      <c r="AO25" s="14">
        <v>6.284</v>
      </c>
      <c r="AP25" s="14">
        <v>158.0</v>
      </c>
      <c r="AQ25" s="14">
        <v>259.0</v>
      </c>
      <c r="AR25" s="14">
        <v>67.0</v>
      </c>
      <c r="AS25" s="14">
        <v>19.9</v>
      </c>
      <c r="AT25" s="14">
        <v>7.07</v>
      </c>
      <c r="AU25" s="14">
        <v>1542000.0</v>
      </c>
      <c r="AV25" s="15">
        <v>2.05</v>
      </c>
      <c r="AW25" s="15">
        <v>12.88</v>
      </c>
      <c r="AX25" s="15">
        <v>840000.0</v>
      </c>
      <c r="AY25" s="14">
        <v>2.12</v>
      </c>
      <c r="AZ25" s="14">
        <v>0.029</v>
      </c>
      <c r="BA25" s="14">
        <v>15.029</v>
      </c>
    </row>
    <row r="26" ht="14.25" customHeight="1">
      <c r="A26" s="10">
        <v>142768.0</v>
      </c>
      <c r="B26" s="11" t="s">
        <v>97</v>
      </c>
      <c r="C26" s="11"/>
      <c r="D26" s="12"/>
      <c r="E26" s="11">
        <v>42298.0</v>
      </c>
      <c r="F26" s="12">
        <v>1.0</v>
      </c>
      <c r="G26" s="12" t="s">
        <v>98</v>
      </c>
      <c r="H26" s="13">
        <v>0.47222222222222227</v>
      </c>
      <c r="I26" s="13">
        <v>0.5555555555555554</v>
      </c>
      <c r="J26" s="12">
        <v>2.94</v>
      </c>
      <c r="K26" s="12">
        <v>0.05</v>
      </c>
      <c r="L26" s="14">
        <v>10.0</v>
      </c>
      <c r="M26" s="14">
        <v>6.0</v>
      </c>
      <c r="N26" s="14">
        <v>8.0</v>
      </c>
      <c r="O26" s="14">
        <v>7.0</v>
      </c>
      <c r="P26" s="14">
        <v>7.0</v>
      </c>
      <c r="Q26" s="14">
        <v>7.6</v>
      </c>
      <c r="R26" s="14">
        <v>8.05</v>
      </c>
      <c r="S26" s="14">
        <v>8.22</v>
      </c>
      <c r="T26" s="14">
        <v>8.26</v>
      </c>
      <c r="U26" s="14">
        <v>8.29</v>
      </c>
      <c r="V26" s="14">
        <v>8.25</v>
      </c>
      <c r="W26" s="14">
        <v>8.214</v>
      </c>
      <c r="X26" s="14">
        <v>21.2</v>
      </c>
      <c r="Y26" s="14">
        <v>22.3</v>
      </c>
      <c r="Z26" s="14">
        <v>23.2</v>
      </c>
      <c r="AA26" s="14">
        <v>22.5</v>
      </c>
      <c r="AB26" s="14">
        <v>21.0</v>
      </c>
      <c r="AC26" s="14">
        <v>22.04</v>
      </c>
      <c r="AD26" s="14">
        <v>370.0</v>
      </c>
      <c r="AE26" s="14">
        <v>376.0</v>
      </c>
      <c r="AF26" s="14">
        <v>366.0</v>
      </c>
      <c r="AG26" s="14">
        <v>366.0</v>
      </c>
      <c r="AH26" s="14">
        <v>351.0</v>
      </c>
      <c r="AI26" s="14">
        <v>365.8</v>
      </c>
      <c r="AJ26" s="14">
        <v>7.58</v>
      </c>
      <c r="AK26" s="14">
        <v>8.05</v>
      </c>
      <c r="AL26" s="14">
        <v>7.37</v>
      </c>
      <c r="AM26" s="14">
        <v>7.02</v>
      </c>
      <c r="AN26" s="14">
        <v>7.17</v>
      </c>
      <c r="AO26" s="14">
        <v>7.438</v>
      </c>
      <c r="AP26" s="14">
        <v>98.0</v>
      </c>
      <c r="AQ26" s="14">
        <v>163.0</v>
      </c>
      <c r="AR26" s="14">
        <v>22.0</v>
      </c>
      <c r="AS26" s="14">
        <v>12.2</v>
      </c>
      <c r="AT26" s="14">
        <v>4.17</v>
      </c>
      <c r="AU26" s="14">
        <v>13240.0</v>
      </c>
      <c r="AV26" s="15">
        <v>1.83</v>
      </c>
      <c r="AW26" s="15">
        <v>18.2</v>
      </c>
      <c r="AX26" s="15">
        <v>920.0</v>
      </c>
      <c r="AY26" s="14">
        <v>1.08</v>
      </c>
      <c r="AZ26" s="14">
        <v>0.026</v>
      </c>
      <c r="BA26" s="14">
        <v>19.305999999999997</v>
      </c>
    </row>
    <row r="27" ht="14.25" customHeight="1">
      <c r="A27" s="10">
        <v>149984.0</v>
      </c>
      <c r="B27" s="11" t="s">
        <v>74</v>
      </c>
      <c r="C27" s="11"/>
      <c r="D27" s="12"/>
      <c r="E27" s="11">
        <v>42311.0</v>
      </c>
      <c r="F27" s="12">
        <v>1.0</v>
      </c>
      <c r="G27" s="12" t="s">
        <v>99</v>
      </c>
      <c r="H27" s="13">
        <v>0.5833333333333334</v>
      </c>
      <c r="I27" s="13">
        <v>0.6666666666666664</v>
      </c>
      <c r="J27" s="12">
        <v>0.7</v>
      </c>
      <c r="K27" s="12">
        <v>0.08</v>
      </c>
      <c r="L27" s="14">
        <v>9.61</v>
      </c>
      <c r="M27" s="14">
        <v>12.47</v>
      </c>
      <c r="N27" s="14">
        <v>14.37</v>
      </c>
      <c r="O27" s="14">
        <v>12.0</v>
      </c>
      <c r="P27" s="14">
        <v>14.67</v>
      </c>
      <c r="Q27" s="14">
        <v>12.623999999999999</v>
      </c>
      <c r="R27" s="14">
        <v>7.6</v>
      </c>
      <c r="S27" s="14">
        <v>7.61</v>
      </c>
      <c r="T27" s="14">
        <v>7.7</v>
      </c>
      <c r="U27" s="14">
        <v>7.65</v>
      </c>
      <c r="V27" s="14">
        <v>7.67</v>
      </c>
      <c r="W27" s="14">
        <v>7.646000000000001</v>
      </c>
      <c r="X27" s="14">
        <v>15.2</v>
      </c>
      <c r="Y27" s="14">
        <v>14.4</v>
      </c>
      <c r="Z27" s="14">
        <v>14.1</v>
      </c>
      <c r="AA27" s="14">
        <v>14.1</v>
      </c>
      <c r="AB27" s="14">
        <v>13.4</v>
      </c>
      <c r="AC27" s="14">
        <v>14.24</v>
      </c>
      <c r="AD27" s="14">
        <v>284.0</v>
      </c>
      <c r="AE27" s="14">
        <v>273.0</v>
      </c>
      <c r="AF27" s="14">
        <v>272.0</v>
      </c>
      <c r="AG27" s="14">
        <v>264.0</v>
      </c>
      <c r="AH27" s="14">
        <v>265.0</v>
      </c>
      <c r="AI27" s="14">
        <v>271.6</v>
      </c>
      <c r="AJ27" s="14">
        <v>6.1</v>
      </c>
      <c r="AK27" s="14">
        <v>6.26</v>
      </c>
      <c r="AL27" s="14">
        <v>6.61</v>
      </c>
      <c r="AM27" s="14">
        <v>6.58</v>
      </c>
      <c r="AN27" s="14">
        <v>6.83</v>
      </c>
      <c r="AO27" s="14">
        <v>6.475999999999999</v>
      </c>
      <c r="AP27" s="14">
        <v>5.0</v>
      </c>
      <c r="AQ27" s="14">
        <v>20.0</v>
      </c>
      <c r="AR27" s="14">
        <v>8.0</v>
      </c>
      <c r="AS27" s="14">
        <v>1.32</v>
      </c>
      <c r="AT27" s="14">
        <v>0.15</v>
      </c>
      <c r="AU27" s="14">
        <v>770100.0</v>
      </c>
      <c r="AV27" s="15">
        <v>0.304</v>
      </c>
      <c r="AW27" s="15">
        <v>5.16</v>
      </c>
      <c r="AX27" s="15">
        <v>220000.0</v>
      </c>
      <c r="AY27" s="14">
        <v>5.77</v>
      </c>
      <c r="AZ27" s="14">
        <v>0.375</v>
      </c>
      <c r="BA27" s="14">
        <v>11.305</v>
      </c>
    </row>
    <row r="28" ht="14.25" customHeight="1">
      <c r="A28" s="10">
        <v>149985.0</v>
      </c>
      <c r="B28" s="11" t="s">
        <v>100</v>
      </c>
      <c r="C28" s="11"/>
      <c r="D28" s="12"/>
      <c r="E28" s="11">
        <v>42311.0</v>
      </c>
      <c r="F28" s="12">
        <v>1.0</v>
      </c>
      <c r="G28" s="12" t="s">
        <v>101</v>
      </c>
      <c r="H28" s="13">
        <v>0.3333333333333333</v>
      </c>
      <c r="I28" s="13">
        <v>0.4166666666666666</v>
      </c>
      <c r="J28" s="12">
        <v>0.91</v>
      </c>
      <c r="K28" s="12">
        <v>0.26</v>
      </c>
      <c r="L28" s="14">
        <v>10.39</v>
      </c>
      <c r="M28" s="14">
        <v>11.96</v>
      </c>
      <c r="N28" s="14">
        <v>34.31</v>
      </c>
      <c r="O28" s="14">
        <v>34.79</v>
      </c>
      <c r="P28" s="14">
        <v>35.33</v>
      </c>
      <c r="Q28" s="14">
        <v>25.356</v>
      </c>
      <c r="R28" s="14">
        <v>7.78</v>
      </c>
      <c r="S28" s="14">
        <v>8.07</v>
      </c>
      <c r="T28" s="14">
        <v>8.01</v>
      </c>
      <c r="U28" s="14">
        <v>7.95</v>
      </c>
      <c r="V28" s="14">
        <v>8.01</v>
      </c>
      <c r="W28" s="14">
        <v>7.964</v>
      </c>
      <c r="X28" s="14">
        <v>15.7</v>
      </c>
      <c r="Y28" s="14">
        <v>16.0</v>
      </c>
      <c r="Z28" s="14">
        <v>16.1</v>
      </c>
      <c r="AA28" s="14">
        <v>16.0</v>
      </c>
      <c r="AB28" s="14">
        <v>16.5</v>
      </c>
      <c r="AC28" s="14">
        <v>16.06</v>
      </c>
      <c r="AD28" s="14">
        <v>309.0</v>
      </c>
      <c r="AE28" s="14">
        <v>425.0</v>
      </c>
      <c r="AF28" s="14">
        <v>230.0</v>
      </c>
      <c r="AG28" s="14">
        <v>272.0</v>
      </c>
      <c r="AH28" s="14">
        <v>282.0</v>
      </c>
      <c r="AI28" s="14">
        <v>303.6</v>
      </c>
      <c r="AJ28" s="14">
        <v>5.59</v>
      </c>
      <c r="AK28" s="14">
        <v>5.3</v>
      </c>
      <c r="AL28" s="14">
        <v>5.47</v>
      </c>
      <c r="AM28" s="14">
        <v>5.63</v>
      </c>
      <c r="AN28" s="14">
        <v>5.87</v>
      </c>
      <c r="AO28" s="14">
        <v>5.572</v>
      </c>
      <c r="AP28" s="14">
        <v>40.0</v>
      </c>
      <c r="AQ28" s="14">
        <v>67.0</v>
      </c>
      <c r="AR28" s="14">
        <v>490.0</v>
      </c>
      <c r="AS28" s="14">
        <v>1.58</v>
      </c>
      <c r="AT28" s="14">
        <v>0.232</v>
      </c>
      <c r="AU28" s="14">
        <v>1146000.0</v>
      </c>
      <c r="AV28" s="15">
        <v>1.81</v>
      </c>
      <c r="AW28" s="15">
        <v>9.14</v>
      </c>
      <c r="AX28" s="15">
        <v>540000.0</v>
      </c>
      <c r="AY28" s="14">
        <v>0.73</v>
      </c>
      <c r="AZ28" s="14">
        <v>0.025</v>
      </c>
      <c r="BA28" s="14">
        <v>9.895000000000001</v>
      </c>
    </row>
    <row r="29" ht="14.25" customHeight="1">
      <c r="A29" s="10">
        <v>149986.0</v>
      </c>
      <c r="B29" s="11" t="s">
        <v>102</v>
      </c>
      <c r="C29" s="11"/>
      <c r="D29" s="12"/>
      <c r="E29" s="11">
        <v>42311.0</v>
      </c>
      <c r="F29" s="12">
        <v>1.0</v>
      </c>
      <c r="G29" s="12" t="s">
        <v>103</v>
      </c>
      <c r="H29" s="13">
        <v>0.4375</v>
      </c>
      <c r="I29" s="13">
        <v>0.5208333333333333</v>
      </c>
      <c r="J29" s="12">
        <v>1.95</v>
      </c>
      <c r="K29" s="12">
        <v>0.09</v>
      </c>
      <c r="L29" s="14">
        <v>28.14</v>
      </c>
      <c r="M29" s="14">
        <v>29.96</v>
      </c>
      <c r="N29" s="14">
        <v>32.35</v>
      </c>
      <c r="O29" s="14">
        <v>35.53</v>
      </c>
      <c r="P29" s="14">
        <v>39.52</v>
      </c>
      <c r="Q29" s="14">
        <v>33.1</v>
      </c>
      <c r="R29" s="14">
        <v>7.89</v>
      </c>
      <c r="S29" s="14">
        <v>8.14</v>
      </c>
      <c r="T29" s="14">
        <v>8.05</v>
      </c>
      <c r="U29" s="14">
        <v>7.99</v>
      </c>
      <c r="V29" s="14">
        <v>8.1</v>
      </c>
      <c r="W29" s="14">
        <v>8.034</v>
      </c>
      <c r="X29" s="14">
        <v>17.1</v>
      </c>
      <c r="Y29" s="14">
        <v>17.5</v>
      </c>
      <c r="Z29" s="14">
        <v>17.1</v>
      </c>
      <c r="AA29" s="14">
        <v>16.9</v>
      </c>
      <c r="AB29" s="14">
        <v>17.4</v>
      </c>
      <c r="AC29" s="14">
        <v>17.2</v>
      </c>
      <c r="AD29" s="14">
        <v>449.0</v>
      </c>
      <c r="AE29" s="14">
        <v>385.0</v>
      </c>
      <c r="AF29" s="14">
        <v>411.0</v>
      </c>
      <c r="AG29" s="14">
        <v>401.0</v>
      </c>
      <c r="AH29" s="14">
        <v>382.0</v>
      </c>
      <c r="AI29" s="14">
        <v>405.6</v>
      </c>
      <c r="AJ29" s="14">
        <v>6.18</v>
      </c>
      <c r="AK29" s="14">
        <v>5.57</v>
      </c>
      <c r="AL29" s="14">
        <v>6.13</v>
      </c>
      <c r="AM29" s="14">
        <v>6.3</v>
      </c>
      <c r="AN29" s="14">
        <v>5.95</v>
      </c>
      <c r="AO29" s="14">
        <v>6.026</v>
      </c>
      <c r="AP29" s="14">
        <v>5.0</v>
      </c>
      <c r="AQ29" s="14">
        <v>20.0</v>
      </c>
      <c r="AR29" s="14">
        <v>19.0</v>
      </c>
      <c r="AS29" s="14">
        <v>4.85</v>
      </c>
      <c r="AT29" s="14">
        <v>1.43</v>
      </c>
      <c r="AU29" s="14">
        <v>1112000.0</v>
      </c>
      <c r="AV29" s="15">
        <v>1.88</v>
      </c>
      <c r="AW29" s="15">
        <v>18.29</v>
      </c>
      <c r="AX29" s="15">
        <v>350000.0</v>
      </c>
      <c r="AY29" s="14">
        <v>0.47</v>
      </c>
      <c r="AZ29" s="14">
        <v>0.013</v>
      </c>
      <c r="BA29" s="14">
        <v>18.773</v>
      </c>
    </row>
    <row r="30" ht="14.25" customHeight="1">
      <c r="A30" s="10">
        <v>149989.0</v>
      </c>
      <c r="B30" s="11" t="s">
        <v>104</v>
      </c>
      <c r="C30" s="11"/>
      <c r="D30" s="12"/>
      <c r="E30" s="11">
        <v>42311.0</v>
      </c>
      <c r="F30" s="12">
        <v>1.0</v>
      </c>
      <c r="G30" s="12" t="s">
        <v>105</v>
      </c>
      <c r="H30" s="13">
        <v>0.5</v>
      </c>
      <c r="I30" s="13">
        <v>0.583333333333333</v>
      </c>
      <c r="J30" s="12">
        <v>0.54</v>
      </c>
      <c r="K30" s="12">
        <v>0.16</v>
      </c>
      <c r="L30" s="14">
        <v>11.02</v>
      </c>
      <c r="M30" s="14">
        <v>10.89</v>
      </c>
      <c r="N30" s="14">
        <v>9.66</v>
      </c>
      <c r="O30" s="14">
        <v>9.52</v>
      </c>
      <c r="P30" s="14">
        <v>10.46</v>
      </c>
      <c r="Q30" s="14">
        <v>10.31</v>
      </c>
      <c r="R30" s="14">
        <v>11.18</v>
      </c>
      <c r="S30" s="14">
        <v>10.18</v>
      </c>
      <c r="T30" s="14">
        <v>10.99</v>
      </c>
      <c r="U30" s="14">
        <v>9.68</v>
      </c>
      <c r="V30" s="14">
        <v>9.84</v>
      </c>
      <c r="W30" s="14">
        <v>10.374</v>
      </c>
      <c r="X30" s="14">
        <v>17.3</v>
      </c>
      <c r="Y30" s="14">
        <v>17.3</v>
      </c>
      <c r="Z30" s="14">
        <v>17.0</v>
      </c>
      <c r="AA30" s="14">
        <v>17.4</v>
      </c>
      <c r="AB30" s="14">
        <v>17.4</v>
      </c>
      <c r="AC30" s="14">
        <v>17.28</v>
      </c>
      <c r="AD30" s="14">
        <v>488.0</v>
      </c>
      <c r="AE30" s="14">
        <v>467.0</v>
      </c>
      <c r="AF30" s="14">
        <v>480.0</v>
      </c>
      <c r="AG30" s="14">
        <v>472.0</v>
      </c>
      <c r="AH30" s="14">
        <v>487.0</v>
      </c>
      <c r="AI30" s="14">
        <v>478.8</v>
      </c>
      <c r="AJ30" s="14">
        <v>5.31</v>
      </c>
      <c r="AK30" s="14">
        <v>4.37</v>
      </c>
      <c r="AL30" s="14">
        <v>4.38</v>
      </c>
      <c r="AM30" s="14">
        <v>4.09</v>
      </c>
      <c r="AN30" s="14">
        <v>4.56</v>
      </c>
      <c r="AO30" s="14">
        <v>4.542</v>
      </c>
      <c r="AP30" s="14">
        <v>98.0</v>
      </c>
      <c r="AQ30" s="14">
        <v>161.0</v>
      </c>
      <c r="AR30" s="14">
        <v>510.0</v>
      </c>
      <c r="AS30" s="14">
        <v>2.84</v>
      </c>
      <c r="AT30" s="14">
        <v>0.517</v>
      </c>
      <c r="AU30" s="14">
        <v>579400.0</v>
      </c>
      <c r="AV30" s="15">
        <v>2.91</v>
      </c>
      <c r="AW30" s="15">
        <v>17.14</v>
      </c>
      <c r="AX30" s="15">
        <v>110000.0</v>
      </c>
      <c r="AY30" s="14">
        <v>1.53</v>
      </c>
      <c r="AZ30" s="14">
        <v>0.013</v>
      </c>
      <c r="BA30" s="14">
        <v>18.683000000000003</v>
      </c>
    </row>
    <row r="31" ht="14.25" customHeight="1">
      <c r="A31" s="10">
        <v>149990.0</v>
      </c>
      <c r="B31" s="11" t="s">
        <v>106</v>
      </c>
      <c r="C31" s="11"/>
      <c r="D31" s="12"/>
      <c r="E31" s="11">
        <v>42311.0</v>
      </c>
      <c r="F31" s="12">
        <v>1.0</v>
      </c>
      <c r="G31" s="12" t="s">
        <v>107</v>
      </c>
      <c r="H31" s="13">
        <v>0.3541666666666667</v>
      </c>
      <c r="I31" s="13">
        <v>0.43749999999999994</v>
      </c>
      <c r="J31" s="12">
        <v>1.0</v>
      </c>
      <c r="K31" s="12">
        <v>0.22</v>
      </c>
      <c r="L31" s="14">
        <v>27.89</v>
      </c>
      <c r="M31" s="14">
        <v>23.31</v>
      </c>
      <c r="N31" s="14">
        <v>27.87</v>
      </c>
      <c r="O31" s="14">
        <v>33.61</v>
      </c>
      <c r="P31" s="14">
        <v>36.8</v>
      </c>
      <c r="Q31" s="14">
        <v>29.896000000000004</v>
      </c>
      <c r="R31" s="14">
        <v>8.67</v>
      </c>
      <c r="S31" s="14">
        <v>8.59</v>
      </c>
      <c r="T31" s="14">
        <v>9.52</v>
      </c>
      <c r="U31" s="14">
        <v>10.1</v>
      </c>
      <c r="V31" s="14">
        <v>10.2</v>
      </c>
      <c r="W31" s="14">
        <v>9.416</v>
      </c>
      <c r="X31" s="14">
        <v>16.2</v>
      </c>
      <c r="Y31" s="14">
        <v>16.4</v>
      </c>
      <c r="Z31" s="14">
        <v>16.6</v>
      </c>
      <c r="AA31" s="14">
        <v>17.4</v>
      </c>
      <c r="AB31" s="14">
        <v>17.7</v>
      </c>
      <c r="AC31" s="14">
        <v>16.86</v>
      </c>
      <c r="AD31" s="14">
        <v>735.0</v>
      </c>
      <c r="AE31" s="14">
        <v>712.0</v>
      </c>
      <c r="AF31" s="14">
        <v>651.0</v>
      </c>
      <c r="AG31" s="14">
        <v>607.0</v>
      </c>
      <c r="AH31" s="14">
        <v>635.0</v>
      </c>
      <c r="AI31" s="14">
        <v>668.0</v>
      </c>
      <c r="AJ31" s="14">
        <v>3.55</v>
      </c>
      <c r="AK31" s="14">
        <v>3.86</v>
      </c>
      <c r="AL31" s="14">
        <v>4.13</v>
      </c>
      <c r="AM31" s="14">
        <v>4.59</v>
      </c>
      <c r="AN31" s="14">
        <v>4.86</v>
      </c>
      <c r="AO31" s="14">
        <v>4.1979999999999995</v>
      </c>
      <c r="AP31" s="14">
        <v>84.0</v>
      </c>
      <c r="AQ31" s="14">
        <v>138.0</v>
      </c>
      <c r="AR31" s="14">
        <v>840.0</v>
      </c>
      <c r="AS31" s="14">
        <v>43.1</v>
      </c>
      <c r="AT31" s="14">
        <v>2.99</v>
      </c>
      <c r="AU31" s="14">
        <v>1.17E8</v>
      </c>
      <c r="AV31" s="15">
        <v>5.28</v>
      </c>
      <c r="AW31" s="15">
        <v>60.0</v>
      </c>
      <c r="AX31" s="15">
        <v>3.1E7</v>
      </c>
      <c r="AY31" s="14">
        <v>1.71</v>
      </c>
      <c r="AZ31" s="14">
        <v>0.012</v>
      </c>
      <c r="BA31" s="14">
        <v>61.722</v>
      </c>
    </row>
    <row r="32" ht="14.25" customHeight="1">
      <c r="A32" s="10">
        <v>150216.0</v>
      </c>
      <c r="B32" s="11" t="s">
        <v>83</v>
      </c>
      <c r="C32" s="11"/>
      <c r="D32" s="12"/>
      <c r="E32" s="11">
        <v>42312.0</v>
      </c>
      <c r="F32" s="12">
        <v>1.0</v>
      </c>
      <c r="G32" s="12" t="s">
        <v>108</v>
      </c>
      <c r="H32" s="13">
        <v>0.5</v>
      </c>
      <c r="I32" s="13">
        <v>0.583333333333333</v>
      </c>
      <c r="J32" s="12">
        <v>6.1</v>
      </c>
      <c r="K32" s="12">
        <v>0.22</v>
      </c>
      <c r="L32" s="14">
        <v>685.86</v>
      </c>
      <c r="M32" s="14">
        <v>631.65</v>
      </c>
      <c r="N32" s="14">
        <v>657.9</v>
      </c>
      <c r="O32" s="14">
        <v>745.32</v>
      </c>
      <c r="P32" s="14">
        <v>575.01</v>
      </c>
      <c r="Q32" s="14">
        <v>659.1479999999999</v>
      </c>
      <c r="R32" s="14">
        <v>7.88</v>
      </c>
      <c r="S32" s="14">
        <v>7.83</v>
      </c>
      <c r="T32" s="14">
        <v>7.8</v>
      </c>
      <c r="U32" s="14">
        <v>7.78</v>
      </c>
      <c r="V32" s="14">
        <v>7.79</v>
      </c>
      <c r="W32" s="14">
        <v>7.816000000000001</v>
      </c>
      <c r="X32" s="14">
        <v>17.4</v>
      </c>
      <c r="Y32" s="14">
        <v>17.1</v>
      </c>
      <c r="Z32" s="14">
        <v>17.0</v>
      </c>
      <c r="AA32" s="14">
        <v>17.2</v>
      </c>
      <c r="AB32" s="14">
        <v>16.6</v>
      </c>
      <c r="AC32" s="14">
        <v>17.060000000000002</v>
      </c>
      <c r="AD32" s="14">
        <v>781.0</v>
      </c>
      <c r="AE32" s="14">
        <v>782.0</v>
      </c>
      <c r="AF32" s="14">
        <v>771.0</v>
      </c>
      <c r="AG32" s="14">
        <v>749.0</v>
      </c>
      <c r="AH32" s="14">
        <v>734.0</v>
      </c>
      <c r="AI32" s="14">
        <v>763.4</v>
      </c>
      <c r="AJ32" s="14">
        <v>1.37</v>
      </c>
      <c r="AK32" s="14">
        <v>1.03</v>
      </c>
      <c r="AL32" s="14">
        <v>0.86</v>
      </c>
      <c r="AM32" s="14">
        <v>1.13</v>
      </c>
      <c r="AN32" s="14">
        <v>0.99</v>
      </c>
      <c r="AO32" s="14">
        <v>1.076</v>
      </c>
      <c r="AP32" s="14">
        <v>294.0</v>
      </c>
      <c r="AQ32" s="14">
        <v>482.0</v>
      </c>
      <c r="AR32" s="14">
        <v>180.0</v>
      </c>
      <c r="AS32" s="14">
        <v>35.5</v>
      </c>
      <c r="AT32" s="14">
        <v>4.85</v>
      </c>
      <c r="AU32" s="14">
        <v>1.542E8</v>
      </c>
      <c r="AV32" s="15">
        <v>5.23</v>
      </c>
      <c r="AW32" s="15">
        <v>62.86</v>
      </c>
      <c r="AX32" s="15">
        <v>4.3E7</v>
      </c>
      <c r="AY32" s="14">
        <v>0.791</v>
      </c>
      <c r="AZ32" s="14">
        <v>0.012</v>
      </c>
      <c r="BA32" s="14">
        <v>63.663</v>
      </c>
    </row>
    <row r="33" ht="14.25" customHeight="1">
      <c r="A33" s="10">
        <v>150219.0</v>
      </c>
      <c r="B33" s="16" t="s">
        <v>79</v>
      </c>
      <c r="C33" s="11"/>
      <c r="D33" s="12"/>
      <c r="E33" s="17">
        <v>42312.0</v>
      </c>
      <c r="F33" s="18">
        <v>1.0</v>
      </c>
      <c r="G33" s="18" t="s">
        <v>109</v>
      </c>
      <c r="H33" s="13">
        <v>0.2916666666666667</v>
      </c>
      <c r="I33" s="13">
        <v>0.37499999999999994</v>
      </c>
      <c r="J33" s="18">
        <v>0.5</v>
      </c>
      <c r="K33" s="18">
        <v>0.15</v>
      </c>
      <c r="L33" s="15">
        <v>9.22</v>
      </c>
      <c r="M33" s="15">
        <v>8.38</v>
      </c>
      <c r="N33" s="15">
        <v>6.65</v>
      </c>
      <c r="O33" s="15">
        <v>6.92</v>
      </c>
      <c r="P33" s="15">
        <v>6.07</v>
      </c>
      <c r="Q33" s="15">
        <v>7.448</v>
      </c>
      <c r="R33" s="15">
        <v>7.71</v>
      </c>
      <c r="S33" s="15">
        <v>7.69</v>
      </c>
      <c r="T33" s="15">
        <v>7.51</v>
      </c>
      <c r="U33" s="15">
        <v>7.43</v>
      </c>
      <c r="V33" s="15">
        <v>7.36</v>
      </c>
      <c r="W33" s="15">
        <v>7.540000000000001</v>
      </c>
      <c r="X33" s="15">
        <v>12.4</v>
      </c>
      <c r="Y33" s="15">
        <v>12.4</v>
      </c>
      <c r="Z33" s="15">
        <v>12.4</v>
      </c>
      <c r="AA33" s="15">
        <v>12.4</v>
      </c>
      <c r="AB33" s="15">
        <v>12.6</v>
      </c>
      <c r="AC33" s="15">
        <v>12.440000000000001</v>
      </c>
      <c r="AD33" s="15">
        <v>223.0</v>
      </c>
      <c r="AE33" s="15">
        <v>147.5</v>
      </c>
      <c r="AF33" s="15">
        <v>139.0</v>
      </c>
      <c r="AG33" s="15">
        <v>134.2</v>
      </c>
      <c r="AH33" s="15">
        <v>128.6</v>
      </c>
      <c r="AI33" s="15">
        <v>154.46</v>
      </c>
      <c r="AJ33" s="15">
        <v>6.53</v>
      </c>
      <c r="AK33" s="15">
        <v>6.53</v>
      </c>
      <c r="AL33" s="15">
        <v>6.65</v>
      </c>
      <c r="AM33" s="15">
        <v>6.58</v>
      </c>
      <c r="AN33" s="15">
        <v>6.49</v>
      </c>
      <c r="AO33" s="15">
        <v>6.556</v>
      </c>
      <c r="AP33" s="15">
        <v>5.0</v>
      </c>
      <c r="AQ33" s="15">
        <v>20.0</v>
      </c>
      <c r="AR33" s="15">
        <v>37.0</v>
      </c>
      <c r="AS33" s="15">
        <v>0.67</v>
      </c>
      <c r="AT33" s="15">
        <v>0.15</v>
      </c>
      <c r="AU33" s="15">
        <v>456900.0</v>
      </c>
      <c r="AV33" s="15">
        <v>0.501</v>
      </c>
      <c r="AW33" s="15">
        <v>5.16</v>
      </c>
      <c r="AX33" s="15">
        <v>150000.0</v>
      </c>
      <c r="AY33" s="15">
        <v>0.677</v>
      </c>
      <c r="AZ33" s="15">
        <v>0.012</v>
      </c>
      <c r="BA33" s="15">
        <v>5.849</v>
      </c>
    </row>
    <row r="34" ht="14.25" customHeight="1">
      <c r="A34" s="10">
        <v>150221.0</v>
      </c>
      <c r="B34" s="16" t="s">
        <v>93</v>
      </c>
      <c r="C34" s="11"/>
      <c r="D34" s="12"/>
      <c r="E34" s="11">
        <v>42312.0</v>
      </c>
      <c r="F34" s="12">
        <v>1.0</v>
      </c>
      <c r="G34" s="12" t="s">
        <v>110</v>
      </c>
      <c r="H34" s="13">
        <v>0.3333333333333333</v>
      </c>
      <c r="I34" s="13">
        <v>0.4166666666666666</v>
      </c>
      <c r="J34" s="12">
        <v>3.3</v>
      </c>
      <c r="K34" s="12">
        <v>0.11</v>
      </c>
      <c r="L34" s="14">
        <v>65.53</v>
      </c>
      <c r="M34" s="14">
        <v>65.88</v>
      </c>
      <c r="N34" s="14">
        <v>62.73</v>
      </c>
      <c r="O34" s="14">
        <v>64.59</v>
      </c>
      <c r="P34" s="14">
        <v>69.32</v>
      </c>
      <c r="Q34" s="14">
        <v>65.61</v>
      </c>
      <c r="R34" s="14">
        <v>8.61</v>
      </c>
      <c r="S34" s="14">
        <v>8.65</v>
      </c>
      <c r="T34" s="14">
        <v>8.43</v>
      </c>
      <c r="U34" s="14">
        <v>8.36</v>
      </c>
      <c r="V34" s="14">
        <v>8.37</v>
      </c>
      <c r="W34" s="14">
        <v>8.483999999999998</v>
      </c>
      <c r="X34" s="14">
        <v>15.4</v>
      </c>
      <c r="Y34" s="14">
        <v>15.4</v>
      </c>
      <c r="Z34" s="14">
        <v>15.7</v>
      </c>
      <c r="AA34" s="14">
        <v>15.3</v>
      </c>
      <c r="AB34" s="14">
        <v>15.4</v>
      </c>
      <c r="AC34" s="14">
        <v>15.440000000000001</v>
      </c>
      <c r="AD34" s="14">
        <v>1028.0</v>
      </c>
      <c r="AE34" s="14">
        <v>1011.0</v>
      </c>
      <c r="AF34" s="14">
        <v>1044.0</v>
      </c>
      <c r="AG34" s="14">
        <v>1061.0</v>
      </c>
      <c r="AH34" s="14">
        <v>1053.0</v>
      </c>
      <c r="AI34" s="14">
        <v>1039.4</v>
      </c>
      <c r="AJ34" s="14">
        <v>2.67</v>
      </c>
      <c r="AK34" s="14">
        <v>3.73</v>
      </c>
      <c r="AL34" s="14">
        <v>3.66</v>
      </c>
      <c r="AM34" s="14">
        <v>3.89</v>
      </c>
      <c r="AN34" s="14">
        <v>3.83</v>
      </c>
      <c r="AO34" s="14">
        <v>3.556</v>
      </c>
      <c r="AP34" s="14">
        <v>436.0</v>
      </c>
      <c r="AQ34" s="14">
        <v>670.0</v>
      </c>
      <c r="AR34" s="14">
        <v>224.0</v>
      </c>
      <c r="AS34" s="14">
        <v>55.9</v>
      </c>
      <c r="AT34" s="14">
        <v>3.57</v>
      </c>
      <c r="AU34" s="14">
        <v>4.786E8</v>
      </c>
      <c r="AV34" s="15">
        <v>9.23</v>
      </c>
      <c r="AW34" s="15">
        <v>97.14</v>
      </c>
      <c r="AX34" s="15">
        <v>1.2E8</v>
      </c>
      <c r="AY34" s="14">
        <v>2.18</v>
      </c>
      <c r="AZ34" s="14">
        <v>0.016</v>
      </c>
      <c r="BA34" s="14">
        <v>99.33600000000001</v>
      </c>
    </row>
    <row r="35" ht="14.25" customHeight="1">
      <c r="A35" s="10">
        <v>150225.0</v>
      </c>
      <c r="B35" s="11" t="s">
        <v>61</v>
      </c>
      <c r="C35" s="11"/>
      <c r="D35" s="12"/>
      <c r="E35" s="11">
        <v>42312.0</v>
      </c>
      <c r="F35" s="12">
        <v>1.0</v>
      </c>
      <c r="G35" s="12" t="s">
        <v>111</v>
      </c>
      <c r="H35" s="13">
        <v>0.5347222222222222</v>
      </c>
      <c r="I35" s="13">
        <v>0.6180555555555552</v>
      </c>
      <c r="J35" s="12">
        <v>12.0</v>
      </c>
      <c r="K35" s="12">
        <v>0.09</v>
      </c>
      <c r="L35" s="14">
        <v>346.03</v>
      </c>
      <c r="M35" s="14">
        <v>325.99</v>
      </c>
      <c r="N35" s="14">
        <v>345.46</v>
      </c>
      <c r="O35" s="14">
        <v>375.04</v>
      </c>
      <c r="P35" s="14">
        <v>328.21</v>
      </c>
      <c r="Q35" s="14">
        <v>344.146</v>
      </c>
      <c r="R35" s="14">
        <v>7.41</v>
      </c>
      <c r="S35" s="14">
        <v>7.87</v>
      </c>
      <c r="T35" s="14">
        <v>7.8</v>
      </c>
      <c r="U35" s="14">
        <v>7.88</v>
      </c>
      <c r="V35" s="14">
        <v>7.89</v>
      </c>
      <c r="W35" s="14">
        <v>7.7700000000000005</v>
      </c>
      <c r="X35" s="14">
        <v>19.0</v>
      </c>
      <c r="Y35" s="14">
        <v>19.5</v>
      </c>
      <c r="Z35" s="14">
        <v>19.3</v>
      </c>
      <c r="AA35" s="14">
        <v>18.4</v>
      </c>
      <c r="AB35" s="14">
        <v>19.2</v>
      </c>
      <c r="AC35" s="14">
        <v>19.08</v>
      </c>
      <c r="AD35" s="14">
        <v>744.0</v>
      </c>
      <c r="AE35" s="14">
        <v>748.0</v>
      </c>
      <c r="AF35" s="14">
        <v>762.0</v>
      </c>
      <c r="AG35" s="14">
        <v>746.0</v>
      </c>
      <c r="AH35" s="14">
        <v>750.0</v>
      </c>
      <c r="AI35" s="14">
        <v>750.0</v>
      </c>
      <c r="AJ35" s="14">
        <v>1.75</v>
      </c>
      <c r="AK35" s="14">
        <v>1.12</v>
      </c>
      <c r="AL35" s="14">
        <v>0.37</v>
      </c>
      <c r="AM35" s="14">
        <v>0.65</v>
      </c>
      <c r="AN35" s="14">
        <v>1.03</v>
      </c>
      <c r="AO35" s="14">
        <v>0.984</v>
      </c>
      <c r="AP35" s="14">
        <v>140.0</v>
      </c>
      <c r="AQ35" s="14">
        <v>328.0</v>
      </c>
      <c r="AR35" s="14">
        <v>120.0</v>
      </c>
      <c r="AS35" s="14">
        <v>15.7</v>
      </c>
      <c r="AT35" s="14">
        <v>3.96</v>
      </c>
      <c r="AU35" s="14">
        <v>1.417E8</v>
      </c>
      <c r="AV35" s="15">
        <v>0.473</v>
      </c>
      <c r="AW35" s="15">
        <v>62.86</v>
      </c>
      <c r="AX35" s="15">
        <v>2.2E7</v>
      </c>
      <c r="AY35" s="14">
        <v>1.67</v>
      </c>
      <c r="AZ35" s="14">
        <v>0.029</v>
      </c>
      <c r="BA35" s="14">
        <v>64.559</v>
      </c>
    </row>
    <row r="36" ht="14.25" customHeight="1">
      <c r="A36" s="10">
        <v>152269.0</v>
      </c>
      <c r="B36" s="11" t="s">
        <v>85</v>
      </c>
      <c r="C36" s="11"/>
      <c r="D36" s="12"/>
      <c r="E36" s="11">
        <v>42313.0</v>
      </c>
      <c r="F36" s="12">
        <v>1.0</v>
      </c>
      <c r="G36" s="12" t="s">
        <v>112</v>
      </c>
      <c r="H36" s="13">
        <v>0.4305555555555556</v>
      </c>
      <c r="I36" s="13">
        <v>0.5138888888888888</v>
      </c>
      <c r="J36" s="12">
        <v>5.9</v>
      </c>
      <c r="K36" s="12">
        <v>0.25</v>
      </c>
      <c r="L36" s="14">
        <v>607.05</v>
      </c>
      <c r="M36" s="14">
        <v>633.09</v>
      </c>
      <c r="N36" s="14">
        <v>735.75</v>
      </c>
      <c r="O36" s="14">
        <v>777.35</v>
      </c>
      <c r="P36" s="14">
        <v>607.74</v>
      </c>
      <c r="Q36" s="14">
        <v>672.1959999999999</v>
      </c>
      <c r="R36" s="14">
        <v>8.38</v>
      </c>
      <c r="S36" s="14">
        <v>8.41</v>
      </c>
      <c r="T36" s="14">
        <v>8.45</v>
      </c>
      <c r="U36" s="14">
        <v>8.37</v>
      </c>
      <c r="V36" s="14">
        <v>8.42</v>
      </c>
      <c r="W36" s="14">
        <v>8.406</v>
      </c>
      <c r="X36" s="14">
        <v>18.8</v>
      </c>
      <c r="Y36" s="14">
        <v>19.1</v>
      </c>
      <c r="Z36" s="14">
        <v>19.1</v>
      </c>
      <c r="AA36" s="14">
        <v>18.8</v>
      </c>
      <c r="AB36" s="14">
        <v>19.2</v>
      </c>
      <c r="AC36" s="14">
        <v>19.000000000000004</v>
      </c>
      <c r="AD36" s="14">
        <v>561.0</v>
      </c>
      <c r="AE36" s="14">
        <v>607.0</v>
      </c>
      <c r="AF36" s="14">
        <v>635.0</v>
      </c>
      <c r="AG36" s="14">
        <v>481.0</v>
      </c>
      <c r="AH36" s="14">
        <v>492.0</v>
      </c>
      <c r="AI36" s="14">
        <v>555.2</v>
      </c>
      <c r="AJ36" s="14">
        <v>0.97</v>
      </c>
      <c r="AK36" s="14">
        <v>1.31</v>
      </c>
      <c r="AL36" s="14">
        <v>1.1</v>
      </c>
      <c r="AM36" s="14">
        <v>0.94</v>
      </c>
      <c r="AN36" s="14">
        <v>2.02</v>
      </c>
      <c r="AO36" s="14">
        <v>1.268</v>
      </c>
      <c r="AP36" s="14">
        <v>230.0</v>
      </c>
      <c r="AQ36" s="14">
        <v>475.0</v>
      </c>
      <c r="AR36" s="14">
        <v>240.0</v>
      </c>
      <c r="AS36" s="14">
        <v>46.5</v>
      </c>
      <c r="AT36" s="14">
        <v>5.88</v>
      </c>
      <c r="AU36" s="14">
        <v>1.24E7</v>
      </c>
      <c r="AV36" s="15">
        <v>9.2</v>
      </c>
      <c r="AW36" s="15">
        <v>44.5</v>
      </c>
      <c r="AX36" s="15">
        <v>7000000.0</v>
      </c>
      <c r="AY36" s="14">
        <v>1.3</v>
      </c>
      <c r="AZ36" s="14">
        <v>0.016</v>
      </c>
      <c r="BA36" s="14">
        <v>45.815999999999995</v>
      </c>
    </row>
    <row r="37" ht="14.25" customHeight="1">
      <c r="A37" s="10">
        <v>157247.0</v>
      </c>
      <c r="B37" s="11" t="s">
        <v>89</v>
      </c>
      <c r="C37" s="11"/>
      <c r="D37" s="12"/>
      <c r="E37" s="11">
        <v>42331.0</v>
      </c>
      <c r="F37" s="12">
        <v>1.0</v>
      </c>
      <c r="G37" s="12" t="s">
        <v>113</v>
      </c>
      <c r="H37" s="13">
        <v>0.5625</v>
      </c>
      <c r="I37" s="13">
        <v>0.645833333333333</v>
      </c>
      <c r="J37" s="12">
        <v>3.3</v>
      </c>
      <c r="K37" s="12">
        <v>0.0</v>
      </c>
      <c r="L37" s="14">
        <v>41.1</v>
      </c>
      <c r="M37" s="14">
        <v>49.5</v>
      </c>
      <c r="N37" s="14">
        <v>50.5</v>
      </c>
      <c r="O37" s="14">
        <v>41.0</v>
      </c>
      <c r="P37" s="14">
        <v>42.2</v>
      </c>
      <c r="Q37" s="14">
        <v>44.86</v>
      </c>
      <c r="R37" s="14">
        <v>8.59</v>
      </c>
      <c r="S37" s="14">
        <v>8.9</v>
      </c>
      <c r="T37" s="14">
        <v>8.92</v>
      </c>
      <c r="U37" s="14">
        <v>8.83</v>
      </c>
      <c r="V37" s="14">
        <v>8.88</v>
      </c>
      <c r="W37" s="14">
        <v>8.824000000000002</v>
      </c>
      <c r="X37" s="14">
        <v>23.4</v>
      </c>
      <c r="Y37" s="14">
        <v>22.8</v>
      </c>
      <c r="Z37" s="14">
        <v>22.7</v>
      </c>
      <c r="AA37" s="14">
        <v>21.9</v>
      </c>
      <c r="AB37" s="14">
        <v>22.3</v>
      </c>
      <c r="AC37" s="14">
        <v>22.62</v>
      </c>
      <c r="AD37" s="14">
        <v>380.0</v>
      </c>
      <c r="AE37" s="14">
        <v>390.0</v>
      </c>
      <c r="AF37" s="14">
        <v>380.0</v>
      </c>
      <c r="AG37" s="14">
        <v>375.0</v>
      </c>
      <c r="AH37" s="14">
        <v>361.0</v>
      </c>
      <c r="AI37" s="14">
        <v>377.2</v>
      </c>
      <c r="AJ37" s="14">
        <v>6.85</v>
      </c>
      <c r="AK37" s="14">
        <v>6.86</v>
      </c>
      <c r="AL37" s="14">
        <v>7.02</v>
      </c>
      <c r="AM37" s="14">
        <v>6.89</v>
      </c>
      <c r="AN37" s="14">
        <v>7.23</v>
      </c>
      <c r="AO37" s="14">
        <v>6.970000000000001</v>
      </c>
      <c r="AP37" s="14">
        <v>46.0</v>
      </c>
      <c r="AQ37" s="14">
        <v>82.0</v>
      </c>
      <c r="AR37" s="14">
        <v>10.0</v>
      </c>
      <c r="AS37" s="14">
        <v>5.48</v>
      </c>
      <c r="AT37" s="14">
        <v>0.412</v>
      </c>
      <c r="AU37" s="14">
        <v>3.725E7</v>
      </c>
      <c r="AV37" s="15">
        <v>0.885</v>
      </c>
      <c r="AW37" s="15">
        <v>16.0</v>
      </c>
      <c r="AX37" s="15">
        <v>3900000.0</v>
      </c>
      <c r="AY37" s="14">
        <v>1.52</v>
      </c>
      <c r="AZ37" s="14">
        <v>0.02</v>
      </c>
      <c r="BA37" s="14">
        <v>17.54</v>
      </c>
    </row>
    <row r="38" ht="14.25" customHeight="1">
      <c r="A38" s="10">
        <v>157248.0</v>
      </c>
      <c r="B38" s="11" t="s">
        <v>114</v>
      </c>
      <c r="C38" s="11"/>
      <c r="D38" s="12"/>
      <c r="E38" s="11">
        <v>42331.0</v>
      </c>
      <c r="F38" s="12">
        <v>1.0</v>
      </c>
      <c r="G38" s="12" t="s">
        <v>115</v>
      </c>
      <c r="H38" s="13">
        <v>0.34722222222222227</v>
      </c>
      <c r="I38" s="13">
        <v>0.4305555555555555</v>
      </c>
      <c r="J38" s="12">
        <v>6.8</v>
      </c>
      <c r="K38" s="12">
        <v>2.5</v>
      </c>
      <c r="L38" s="14">
        <v>9.0</v>
      </c>
      <c r="M38" s="14">
        <v>8.5</v>
      </c>
      <c r="N38" s="14">
        <v>8.2</v>
      </c>
      <c r="O38" s="14">
        <v>9.5</v>
      </c>
      <c r="P38" s="14">
        <v>8.2</v>
      </c>
      <c r="Q38" s="14">
        <v>8.680000000000001</v>
      </c>
      <c r="R38" s="14">
        <v>7.15</v>
      </c>
      <c r="S38" s="14">
        <v>7.63</v>
      </c>
      <c r="T38" s="14">
        <v>7.62</v>
      </c>
      <c r="U38" s="14">
        <v>7.71</v>
      </c>
      <c r="V38" s="14">
        <v>7.65</v>
      </c>
      <c r="W38" s="14">
        <v>7.552000000000001</v>
      </c>
      <c r="X38" s="14">
        <v>20.8</v>
      </c>
      <c r="Y38" s="14">
        <v>20.6</v>
      </c>
      <c r="Z38" s="14">
        <v>21.3</v>
      </c>
      <c r="AA38" s="14">
        <v>21.4</v>
      </c>
      <c r="AB38" s="14">
        <v>21.5</v>
      </c>
      <c r="AC38" s="14">
        <v>21.119999999999997</v>
      </c>
      <c r="AD38" s="14">
        <v>419.0</v>
      </c>
      <c r="AE38" s="14">
        <v>408.0</v>
      </c>
      <c r="AF38" s="14">
        <v>432.0</v>
      </c>
      <c r="AG38" s="14">
        <v>399.0</v>
      </c>
      <c r="AH38" s="14">
        <v>323.0</v>
      </c>
      <c r="AI38" s="14">
        <v>396.2</v>
      </c>
      <c r="AJ38" s="14">
        <v>2.16</v>
      </c>
      <c r="AK38" s="14">
        <v>2.07</v>
      </c>
      <c r="AL38" s="14">
        <v>3.42</v>
      </c>
      <c r="AM38" s="14">
        <v>1.8</v>
      </c>
      <c r="AN38" s="14">
        <v>2.61</v>
      </c>
      <c r="AO38" s="14">
        <v>2.412</v>
      </c>
      <c r="AP38" s="14">
        <v>58.0</v>
      </c>
      <c r="AQ38" s="14">
        <v>99.0</v>
      </c>
      <c r="AR38" s="14">
        <v>10.0</v>
      </c>
      <c r="AS38" s="14">
        <v>5.61</v>
      </c>
      <c r="AT38" s="14">
        <v>1.82</v>
      </c>
      <c r="AU38" s="14">
        <v>2.141E7</v>
      </c>
      <c r="AV38" s="15">
        <v>1.68</v>
      </c>
      <c r="AW38" s="15">
        <v>25.8</v>
      </c>
      <c r="AX38" s="15">
        <v>3450000.0</v>
      </c>
      <c r="AY38" s="14">
        <v>1.05</v>
      </c>
      <c r="AZ38" s="14">
        <v>0.015</v>
      </c>
      <c r="BA38" s="14">
        <v>26.865000000000002</v>
      </c>
    </row>
    <row r="39" ht="14.25" customHeight="1">
      <c r="A39" s="10">
        <v>157249.0</v>
      </c>
      <c r="B39" s="11" t="s">
        <v>116</v>
      </c>
      <c r="C39" s="11"/>
      <c r="D39" s="12"/>
      <c r="E39" s="11">
        <v>42331.0</v>
      </c>
      <c r="F39" s="12">
        <v>1.0</v>
      </c>
      <c r="G39" s="12" t="s">
        <v>117</v>
      </c>
      <c r="H39" s="13">
        <v>0.5555555555555556</v>
      </c>
      <c r="I39" s="13">
        <v>0.6388888888888886</v>
      </c>
      <c r="J39" s="12">
        <v>8.0</v>
      </c>
      <c r="K39" s="12">
        <v>3.0</v>
      </c>
      <c r="L39" s="14">
        <v>55.3</v>
      </c>
      <c r="M39" s="14">
        <v>48.0</v>
      </c>
      <c r="N39" s="14">
        <v>51.0</v>
      </c>
      <c r="O39" s="14">
        <v>49.1</v>
      </c>
      <c r="P39" s="14">
        <v>60.7</v>
      </c>
      <c r="Q39" s="14">
        <v>52.82000000000001</v>
      </c>
      <c r="R39" s="14">
        <v>8.3</v>
      </c>
      <c r="S39" s="14">
        <v>8.42</v>
      </c>
      <c r="T39" s="14">
        <v>8.32</v>
      </c>
      <c r="U39" s="14">
        <v>8.24</v>
      </c>
      <c r="V39" s="14">
        <v>8.17</v>
      </c>
      <c r="W39" s="14">
        <v>8.290000000000001</v>
      </c>
      <c r="X39" s="14">
        <v>24.8</v>
      </c>
      <c r="Y39" s="14">
        <v>24.0</v>
      </c>
      <c r="Z39" s="14">
        <v>23.3</v>
      </c>
      <c r="AA39" s="14">
        <v>23.4</v>
      </c>
      <c r="AB39" s="14">
        <v>22.2</v>
      </c>
      <c r="AC39" s="14">
        <v>23.54</v>
      </c>
      <c r="AD39" s="14">
        <v>475.0</v>
      </c>
      <c r="AE39" s="14">
        <v>466.0</v>
      </c>
      <c r="AF39" s="14">
        <v>485.0</v>
      </c>
      <c r="AG39" s="14">
        <v>487.0</v>
      </c>
      <c r="AH39" s="14">
        <v>521.0</v>
      </c>
      <c r="AI39" s="14">
        <v>486.8</v>
      </c>
      <c r="AJ39" s="14">
        <v>1.45</v>
      </c>
      <c r="AK39" s="14">
        <v>1.88</v>
      </c>
      <c r="AL39" s="14">
        <v>1.92</v>
      </c>
      <c r="AM39" s="14">
        <v>1.74</v>
      </c>
      <c r="AN39" s="14">
        <v>1.5</v>
      </c>
      <c r="AO39" s="14">
        <v>1.698</v>
      </c>
      <c r="AP39" s="14">
        <v>85.0</v>
      </c>
      <c r="AQ39" s="14">
        <v>179.0</v>
      </c>
      <c r="AR39" s="14">
        <v>19.0</v>
      </c>
      <c r="AS39" s="14">
        <v>18.8</v>
      </c>
      <c r="AT39" s="14">
        <v>2.31</v>
      </c>
      <c r="AU39" s="14">
        <v>5.493E7</v>
      </c>
      <c r="AV39" s="15">
        <v>1.35</v>
      </c>
      <c r="AW39" s="15">
        <v>38.4</v>
      </c>
      <c r="AX39" s="15">
        <v>9200000.0</v>
      </c>
      <c r="AY39" s="14">
        <v>0.138</v>
      </c>
      <c r="AZ39" s="14">
        <v>0.012</v>
      </c>
      <c r="BA39" s="14">
        <v>38.55</v>
      </c>
    </row>
    <row r="40" ht="14.25" customHeight="1">
      <c r="A40" s="10">
        <v>157251.0</v>
      </c>
      <c r="B40" s="11" t="s">
        <v>118</v>
      </c>
      <c r="C40" s="11"/>
      <c r="D40" s="12"/>
      <c r="E40" s="11">
        <v>42331.0</v>
      </c>
      <c r="F40" s="12">
        <v>1.0</v>
      </c>
      <c r="G40" s="12" t="s">
        <v>119</v>
      </c>
      <c r="H40" s="13">
        <v>0.3020833333333333</v>
      </c>
      <c r="I40" s="13">
        <v>0.3854166666666666</v>
      </c>
      <c r="J40" s="12">
        <v>1.8</v>
      </c>
      <c r="K40" s="12">
        <v>0.03</v>
      </c>
      <c r="L40" s="14">
        <v>14.0</v>
      </c>
      <c r="M40" s="14">
        <v>14.0</v>
      </c>
      <c r="N40" s="14">
        <v>13.0</v>
      </c>
      <c r="O40" s="14">
        <v>13.0</v>
      </c>
      <c r="P40" s="14">
        <v>8.0</v>
      </c>
      <c r="Q40" s="14">
        <v>12.4</v>
      </c>
      <c r="R40" s="14">
        <v>8.5</v>
      </c>
      <c r="S40" s="14">
        <v>8.63</v>
      </c>
      <c r="T40" s="14">
        <v>8.58</v>
      </c>
      <c r="U40" s="14">
        <v>8.67</v>
      </c>
      <c r="V40" s="14">
        <v>8.69</v>
      </c>
      <c r="W40" s="14">
        <v>8.614</v>
      </c>
      <c r="X40" s="14">
        <v>17.4</v>
      </c>
      <c r="Y40" s="14">
        <v>17.5</v>
      </c>
      <c r="Z40" s="14">
        <v>18.0</v>
      </c>
      <c r="AA40" s="14">
        <v>18.8</v>
      </c>
      <c r="AB40" s="14">
        <v>18.5</v>
      </c>
      <c r="AC40" s="14">
        <v>18.04</v>
      </c>
      <c r="AD40" s="14">
        <v>386.0</v>
      </c>
      <c r="AE40" s="14">
        <v>433.0</v>
      </c>
      <c r="AF40" s="14">
        <v>378.0</v>
      </c>
      <c r="AG40" s="14">
        <v>421.0</v>
      </c>
      <c r="AH40" s="14">
        <v>370.0</v>
      </c>
      <c r="AI40" s="14">
        <v>397.6</v>
      </c>
      <c r="AJ40" s="14">
        <v>5.46</v>
      </c>
      <c r="AK40" s="14">
        <v>4.96</v>
      </c>
      <c r="AL40" s="14">
        <v>3.68</v>
      </c>
      <c r="AM40" s="14">
        <v>3.88</v>
      </c>
      <c r="AN40" s="14">
        <v>4.58</v>
      </c>
      <c r="AO40" s="14">
        <v>4.5120000000000005</v>
      </c>
      <c r="AP40" s="14">
        <v>79.0</v>
      </c>
      <c r="AQ40" s="14">
        <v>125.0</v>
      </c>
      <c r="AR40" s="14">
        <v>30.0</v>
      </c>
      <c r="AS40" s="14">
        <v>5.07</v>
      </c>
      <c r="AT40" s="14">
        <v>0.341</v>
      </c>
      <c r="AU40" s="14">
        <v>4.16E7</v>
      </c>
      <c r="AV40" s="15">
        <v>1.17</v>
      </c>
      <c r="AW40" s="15">
        <v>34.4</v>
      </c>
      <c r="AX40" s="15">
        <v>3500000.0</v>
      </c>
      <c r="AY40" s="14">
        <v>0.387</v>
      </c>
      <c r="AZ40" s="14">
        <v>0.02</v>
      </c>
      <c r="BA40" s="14">
        <v>34.807</v>
      </c>
    </row>
    <row r="41" ht="14.25" customHeight="1">
      <c r="A41" s="10">
        <v>157252.0</v>
      </c>
      <c r="B41" s="11" t="s">
        <v>120</v>
      </c>
      <c r="C41" s="11"/>
      <c r="D41" s="12"/>
      <c r="E41" s="11">
        <v>42331.0</v>
      </c>
      <c r="F41" s="12">
        <v>1.0</v>
      </c>
      <c r="G41" s="12" t="s">
        <v>121</v>
      </c>
      <c r="H41" s="13">
        <v>0.40277777777777773</v>
      </c>
      <c r="I41" s="13">
        <v>0.486111111111111</v>
      </c>
      <c r="J41" s="12">
        <v>8.2</v>
      </c>
      <c r="K41" s="12">
        <v>0.09</v>
      </c>
      <c r="L41" s="14">
        <v>25.0</v>
      </c>
      <c r="M41" s="14">
        <v>30.0</v>
      </c>
      <c r="N41" s="14">
        <v>27.0</v>
      </c>
      <c r="O41" s="14">
        <v>21.0</v>
      </c>
      <c r="P41" s="14">
        <v>38.0</v>
      </c>
      <c r="Q41" s="14">
        <v>28.2</v>
      </c>
      <c r="R41" s="14">
        <v>8.5</v>
      </c>
      <c r="S41" s="14">
        <v>8.58</v>
      </c>
      <c r="T41" s="14">
        <v>8.57</v>
      </c>
      <c r="U41" s="14">
        <v>8.58</v>
      </c>
      <c r="V41" s="14">
        <v>8.45</v>
      </c>
      <c r="W41" s="14">
        <v>8.535999999999998</v>
      </c>
      <c r="X41" s="14">
        <v>20.5</v>
      </c>
      <c r="Y41" s="14">
        <v>21.2</v>
      </c>
      <c r="Z41" s="14">
        <v>21.4</v>
      </c>
      <c r="AA41" s="14">
        <v>21.3</v>
      </c>
      <c r="AB41" s="14">
        <v>24.0</v>
      </c>
      <c r="AC41" s="14">
        <v>21.68</v>
      </c>
      <c r="AD41" s="14">
        <v>563.0</v>
      </c>
      <c r="AE41" s="14">
        <v>548.0</v>
      </c>
      <c r="AF41" s="14">
        <v>530.0</v>
      </c>
      <c r="AG41" s="14">
        <v>511.0</v>
      </c>
      <c r="AH41" s="14">
        <v>504.0</v>
      </c>
      <c r="AI41" s="14">
        <v>531.2</v>
      </c>
      <c r="AJ41" s="14">
        <v>1.5</v>
      </c>
      <c r="AK41" s="14">
        <v>1.77</v>
      </c>
      <c r="AL41" s="14">
        <v>1.84</v>
      </c>
      <c r="AM41" s="14">
        <v>1.92</v>
      </c>
      <c r="AN41" s="14">
        <v>1.74</v>
      </c>
      <c r="AO41" s="14">
        <v>1.754</v>
      </c>
      <c r="AP41" s="14">
        <v>156.0</v>
      </c>
      <c r="AQ41" s="14">
        <v>264.0</v>
      </c>
      <c r="AR41" s="14">
        <v>49.0</v>
      </c>
      <c r="AS41" s="14">
        <v>27.1</v>
      </c>
      <c r="AT41" s="14">
        <v>3.48</v>
      </c>
      <c r="AU41" s="14">
        <v>6.488E7</v>
      </c>
      <c r="AV41" s="15">
        <v>1.6</v>
      </c>
      <c r="AW41" s="15">
        <v>55.2</v>
      </c>
      <c r="AX41" s="15">
        <v>8400000.0</v>
      </c>
      <c r="AY41" s="14">
        <v>0.1</v>
      </c>
      <c r="AZ41" s="14">
        <v>0.012</v>
      </c>
      <c r="BA41" s="14">
        <v>55.312000000000005</v>
      </c>
    </row>
    <row r="42" ht="14.25" customHeight="1">
      <c r="A42" s="10">
        <v>157906.0</v>
      </c>
      <c r="B42" s="11" t="s">
        <v>81</v>
      </c>
      <c r="C42" s="11"/>
      <c r="D42" s="12"/>
      <c r="E42" s="11">
        <v>42332.0</v>
      </c>
      <c r="F42" s="12">
        <v>1.0</v>
      </c>
      <c r="G42" s="12" t="s">
        <v>122</v>
      </c>
      <c r="H42" s="13">
        <v>0.3020833333333333</v>
      </c>
      <c r="I42" s="13">
        <v>0.3854166666666666</v>
      </c>
      <c r="J42" s="12">
        <v>2.55</v>
      </c>
      <c r="K42" s="12">
        <v>0.0</v>
      </c>
      <c r="L42" s="14">
        <v>49.0</v>
      </c>
      <c r="M42" s="14">
        <v>62.0</v>
      </c>
      <c r="N42" s="14">
        <v>55.0</v>
      </c>
      <c r="O42" s="14">
        <v>59.0</v>
      </c>
      <c r="P42" s="14">
        <v>79.0</v>
      </c>
      <c r="Q42" s="14">
        <v>60.8</v>
      </c>
      <c r="R42" s="14">
        <v>8.03</v>
      </c>
      <c r="S42" s="14">
        <v>7.95</v>
      </c>
      <c r="T42" s="14">
        <v>7.98</v>
      </c>
      <c r="U42" s="14">
        <v>8.07</v>
      </c>
      <c r="V42" s="14">
        <v>7.95</v>
      </c>
      <c r="W42" s="14">
        <v>7.996</v>
      </c>
      <c r="X42" s="14">
        <v>16.5</v>
      </c>
      <c r="Y42" s="14">
        <v>16.9</v>
      </c>
      <c r="Z42" s="14">
        <v>18.5</v>
      </c>
      <c r="AA42" s="14">
        <v>18.2</v>
      </c>
      <c r="AB42" s="14">
        <v>20.6</v>
      </c>
      <c r="AC42" s="14">
        <v>18.139999999999997</v>
      </c>
      <c r="AD42" s="14">
        <v>390.0</v>
      </c>
      <c r="AE42" s="14">
        <v>388.0</v>
      </c>
      <c r="AF42" s="14">
        <v>391.0</v>
      </c>
      <c r="AG42" s="14">
        <v>399.0</v>
      </c>
      <c r="AH42" s="14">
        <v>389.0</v>
      </c>
      <c r="AI42" s="14">
        <v>391.4</v>
      </c>
      <c r="AJ42" s="14">
        <v>2.36</v>
      </c>
      <c r="AK42" s="14">
        <v>2.98</v>
      </c>
      <c r="AL42" s="14">
        <v>3.08</v>
      </c>
      <c r="AM42" s="14">
        <v>3.72</v>
      </c>
      <c r="AN42" s="14">
        <v>4.57</v>
      </c>
      <c r="AO42" s="14">
        <v>3.342</v>
      </c>
      <c r="AP42" s="14">
        <v>42.0</v>
      </c>
      <c r="AQ42" s="14">
        <v>78.0</v>
      </c>
      <c r="AR42" s="14">
        <v>14.0</v>
      </c>
      <c r="AS42" s="14">
        <v>2.39</v>
      </c>
      <c r="AT42" s="14">
        <v>0.25</v>
      </c>
      <c r="AU42" s="14">
        <v>1.033E7</v>
      </c>
      <c r="AV42" s="15">
        <v>0.966</v>
      </c>
      <c r="AW42" s="15">
        <v>23.0</v>
      </c>
      <c r="AX42" s="15">
        <v>2300000.0</v>
      </c>
      <c r="AY42" s="14">
        <v>0.374</v>
      </c>
      <c r="AZ42" s="14">
        <v>0.012</v>
      </c>
      <c r="BA42" s="14">
        <v>23.386</v>
      </c>
    </row>
    <row r="43" ht="14.25" customHeight="1">
      <c r="A43" s="10">
        <v>157907.0</v>
      </c>
      <c r="B43" s="11" t="s">
        <v>87</v>
      </c>
      <c r="C43" s="11"/>
      <c r="D43" s="12"/>
      <c r="E43" s="11">
        <v>42332.0</v>
      </c>
      <c r="F43" s="12">
        <v>1.0</v>
      </c>
      <c r="G43" s="12" t="s">
        <v>123</v>
      </c>
      <c r="H43" s="13">
        <v>0.4479166666666667</v>
      </c>
      <c r="I43" s="13">
        <v>0.5312499999999999</v>
      </c>
      <c r="J43" s="12">
        <v>6.0</v>
      </c>
      <c r="K43" s="12">
        <v>0.44</v>
      </c>
      <c r="L43" s="14">
        <v>290.0</v>
      </c>
      <c r="M43" s="14">
        <v>375.0</v>
      </c>
      <c r="N43" s="14">
        <v>395.0</v>
      </c>
      <c r="O43" s="14">
        <v>365.0</v>
      </c>
      <c r="P43" s="14">
        <v>422.0</v>
      </c>
      <c r="Q43" s="14">
        <v>369.4</v>
      </c>
      <c r="R43" s="14">
        <v>7.09</v>
      </c>
      <c r="S43" s="14">
        <v>7.41</v>
      </c>
      <c r="T43" s="14">
        <v>7.59</v>
      </c>
      <c r="U43" s="14">
        <v>7.56</v>
      </c>
      <c r="V43" s="14">
        <v>7.64</v>
      </c>
      <c r="W43" s="14">
        <v>7.458</v>
      </c>
      <c r="X43" s="14">
        <v>20.2</v>
      </c>
      <c r="Y43" s="14">
        <v>18.0</v>
      </c>
      <c r="Z43" s="14">
        <v>17.7</v>
      </c>
      <c r="AA43" s="14">
        <v>17.9</v>
      </c>
      <c r="AB43" s="14">
        <v>18.8</v>
      </c>
      <c r="AC43" s="14">
        <v>18.520000000000003</v>
      </c>
      <c r="AD43" s="14">
        <v>448.0</v>
      </c>
      <c r="AE43" s="14">
        <v>455.0</v>
      </c>
      <c r="AF43" s="14">
        <v>451.0</v>
      </c>
      <c r="AG43" s="14">
        <v>439.0</v>
      </c>
      <c r="AH43" s="14">
        <v>438.0</v>
      </c>
      <c r="AI43" s="14">
        <v>446.2</v>
      </c>
      <c r="AJ43" s="14">
        <v>0.69</v>
      </c>
      <c r="AK43" s="14">
        <v>0.98</v>
      </c>
      <c r="AL43" s="14">
        <v>0.72</v>
      </c>
      <c r="AM43" s="14">
        <v>1.15</v>
      </c>
      <c r="AN43" s="14">
        <v>1.09</v>
      </c>
      <c r="AO43" s="14">
        <v>0.9259999999999999</v>
      </c>
      <c r="AP43" s="14">
        <v>69.0</v>
      </c>
      <c r="AQ43" s="14">
        <v>122.0</v>
      </c>
      <c r="AR43" s="14">
        <v>46.0</v>
      </c>
      <c r="AS43" s="14">
        <v>18.8</v>
      </c>
      <c r="AT43" s="14">
        <v>2.39</v>
      </c>
      <c r="AU43" s="14">
        <v>8.164E8</v>
      </c>
      <c r="AV43" s="15">
        <v>1.17</v>
      </c>
      <c r="AW43" s="15">
        <v>38.1</v>
      </c>
      <c r="AX43" s="15">
        <v>1.2E8</v>
      </c>
      <c r="AY43" s="14">
        <v>0.656</v>
      </c>
      <c r="AZ43" s="14">
        <v>0.012</v>
      </c>
      <c r="BA43" s="14">
        <v>38.768</v>
      </c>
    </row>
    <row r="44" ht="14.25" customHeight="1">
      <c r="A44" s="10">
        <v>157909.0</v>
      </c>
      <c r="B44" s="11" t="s">
        <v>91</v>
      </c>
      <c r="C44" s="11"/>
      <c r="D44" s="12"/>
      <c r="E44" s="11">
        <v>42332.0</v>
      </c>
      <c r="F44" s="12">
        <v>1.0</v>
      </c>
      <c r="G44" s="12" t="s">
        <v>124</v>
      </c>
      <c r="H44" s="13">
        <v>0.5416666666666666</v>
      </c>
      <c r="I44" s="13">
        <v>0.6249999999999997</v>
      </c>
      <c r="J44" s="12">
        <v>3.0</v>
      </c>
      <c r="K44" s="12">
        <v>0.0</v>
      </c>
      <c r="L44" s="14">
        <v>315.0</v>
      </c>
      <c r="M44" s="14">
        <v>316.0</v>
      </c>
      <c r="N44" s="14">
        <v>308.0</v>
      </c>
      <c r="O44" s="14">
        <v>319.0</v>
      </c>
      <c r="P44" s="14">
        <v>586.0</v>
      </c>
      <c r="Q44" s="14">
        <v>368.8</v>
      </c>
      <c r="R44" s="14">
        <v>7.39</v>
      </c>
      <c r="S44" s="14">
        <v>7.33</v>
      </c>
      <c r="T44" s="14">
        <v>7.36</v>
      </c>
      <c r="U44" s="14">
        <v>7.47</v>
      </c>
      <c r="V44" s="14">
        <v>7.45</v>
      </c>
      <c r="W44" s="14">
        <v>7.4</v>
      </c>
      <c r="X44" s="14">
        <v>18.1</v>
      </c>
      <c r="Y44" s="14">
        <v>17.9</v>
      </c>
      <c r="Z44" s="14">
        <v>17.8</v>
      </c>
      <c r="AA44" s="14">
        <v>17.8</v>
      </c>
      <c r="AB44" s="14">
        <v>18.0</v>
      </c>
      <c r="AC44" s="14">
        <v>17.919999999999998</v>
      </c>
      <c r="AD44" s="14">
        <v>552.0</v>
      </c>
      <c r="AE44" s="14">
        <v>505.0</v>
      </c>
      <c r="AF44" s="14">
        <v>515.0</v>
      </c>
      <c r="AG44" s="14">
        <v>499.0</v>
      </c>
      <c r="AH44" s="14">
        <v>495.0</v>
      </c>
      <c r="AI44" s="14">
        <v>513.2</v>
      </c>
      <c r="AJ44" s="14">
        <v>0.73</v>
      </c>
      <c r="AK44" s="14">
        <v>0.96</v>
      </c>
      <c r="AL44" s="14">
        <v>0.68</v>
      </c>
      <c r="AM44" s="14">
        <v>0.9</v>
      </c>
      <c r="AN44" s="14">
        <v>1.06</v>
      </c>
      <c r="AO44" s="14">
        <v>0.866</v>
      </c>
      <c r="AP44" s="14">
        <v>72.0</v>
      </c>
      <c r="AQ44" s="14">
        <v>111.0</v>
      </c>
      <c r="AR44" s="14">
        <v>32.0</v>
      </c>
      <c r="AS44" s="14">
        <v>10.2</v>
      </c>
      <c r="AT44" s="14">
        <v>2.93</v>
      </c>
      <c r="AU44" s="14">
        <v>1.333E8</v>
      </c>
      <c r="AV44" s="15">
        <v>2.77</v>
      </c>
      <c r="AW44" s="15">
        <v>35.5</v>
      </c>
      <c r="AX44" s="15">
        <v>2.4E7</v>
      </c>
      <c r="AY44" s="14">
        <v>0.977</v>
      </c>
      <c r="AZ44" s="14">
        <v>0.012</v>
      </c>
      <c r="BA44" s="14">
        <v>36.489</v>
      </c>
    </row>
    <row r="45" ht="14.25" customHeight="1">
      <c r="A45" s="10">
        <v>158299.0</v>
      </c>
      <c r="B45" s="11" t="s">
        <v>106</v>
      </c>
      <c r="C45" s="11"/>
      <c r="D45" s="12"/>
      <c r="E45" s="11">
        <v>42333.0</v>
      </c>
      <c r="F45" s="12">
        <v>1.0</v>
      </c>
      <c r="G45" s="12" t="s">
        <v>125</v>
      </c>
      <c r="H45" s="13">
        <v>0.5</v>
      </c>
      <c r="I45" s="13">
        <v>0.583333333333333</v>
      </c>
      <c r="J45" s="12">
        <v>1.15</v>
      </c>
      <c r="K45" s="12">
        <v>0.35</v>
      </c>
      <c r="L45" s="14">
        <v>48.0</v>
      </c>
      <c r="M45" s="14">
        <v>29.0</v>
      </c>
      <c r="N45" s="14">
        <v>35.0</v>
      </c>
      <c r="O45" s="14">
        <v>40.0</v>
      </c>
      <c r="P45" s="14">
        <v>32.0</v>
      </c>
      <c r="Q45" s="14">
        <v>36.8</v>
      </c>
      <c r="R45" s="14">
        <v>10.22</v>
      </c>
      <c r="S45" s="14">
        <v>9.9</v>
      </c>
      <c r="T45" s="14">
        <v>10.27</v>
      </c>
      <c r="U45" s="14">
        <v>10.68</v>
      </c>
      <c r="V45" s="14">
        <v>10.32</v>
      </c>
      <c r="W45" s="14">
        <v>10.278</v>
      </c>
      <c r="X45" s="14">
        <v>19.9</v>
      </c>
      <c r="Y45" s="14">
        <v>19.6</v>
      </c>
      <c r="Z45" s="14">
        <v>19.9</v>
      </c>
      <c r="AA45" s="14">
        <v>19.3</v>
      </c>
      <c r="AB45" s="14">
        <v>19.2</v>
      </c>
      <c r="AC45" s="14">
        <v>19.580000000000002</v>
      </c>
      <c r="AD45" s="14">
        <v>565.0</v>
      </c>
      <c r="AE45" s="14">
        <v>600.0</v>
      </c>
      <c r="AF45" s="14">
        <v>591.0</v>
      </c>
      <c r="AG45" s="14">
        <v>616.0</v>
      </c>
      <c r="AH45" s="14">
        <v>606.0</v>
      </c>
      <c r="AI45" s="14">
        <v>595.6</v>
      </c>
      <c r="AJ45" s="14">
        <v>5.07</v>
      </c>
      <c r="AK45" s="14">
        <v>4.82</v>
      </c>
      <c r="AL45" s="14">
        <v>4.87</v>
      </c>
      <c r="AM45" s="14">
        <v>4.69</v>
      </c>
      <c r="AN45" s="14">
        <v>4.82</v>
      </c>
      <c r="AO45" s="14">
        <v>4.854000000000001</v>
      </c>
      <c r="AP45" s="14">
        <v>440.0</v>
      </c>
      <c r="AQ45" s="14">
        <v>734.0</v>
      </c>
      <c r="AR45" s="14">
        <v>2370.0</v>
      </c>
      <c r="AS45" s="14">
        <v>147.0</v>
      </c>
      <c r="AT45" s="14">
        <v>3.64</v>
      </c>
      <c r="AU45" s="14">
        <v>380100.0</v>
      </c>
      <c r="AV45" s="15">
        <v>0.996</v>
      </c>
      <c r="AW45" s="15">
        <v>39.2</v>
      </c>
      <c r="AX45" s="15">
        <v>34000.0</v>
      </c>
      <c r="AY45" s="14">
        <v>1.46</v>
      </c>
      <c r="AZ45" s="14">
        <v>0.012</v>
      </c>
      <c r="BA45" s="14">
        <v>40.672000000000004</v>
      </c>
    </row>
    <row r="46" ht="14.25" customHeight="1">
      <c r="A46" s="10">
        <v>158304.0</v>
      </c>
      <c r="B46" s="11" t="s">
        <v>126</v>
      </c>
      <c r="C46" s="11"/>
      <c r="D46" s="12"/>
      <c r="E46" s="11">
        <v>42333.0</v>
      </c>
      <c r="F46" s="12">
        <v>1.0</v>
      </c>
      <c r="G46" s="12" t="s">
        <v>127</v>
      </c>
      <c r="H46" s="13">
        <v>0.3090277777777778</v>
      </c>
      <c r="I46" s="13">
        <v>0.39236111111111105</v>
      </c>
      <c r="J46" s="12">
        <v>0.75</v>
      </c>
      <c r="K46" s="12">
        <v>0.11</v>
      </c>
      <c r="L46" s="14">
        <v>4.0</v>
      </c>
      <c r="M46" s="14">
        <v>5.0</v>
      </c>
      <c r="N46" s="14">
        <v>9.0</v>
      </c>
      <c r="O46" s="14">
        <v>10.0</v>
      </c>
      <c r="P46" s="14">
        <v>8.0</v>
      </c>
      <c r="Q46" s="14">
        <v>7.2</v>
      </c>
      <c r="R46" s="14">
        <v>7.96</v>
      </c>
      <c r="S46" s="14">
        <v>7.92</v>
      </c>
      <c r="T46" s="14">
        <v>7.93</v>
      </c>
      <c r="U46" s="14">
        <v>7.93</v>
      </c>
      <c r="V46" s="14">
        <v>7.95</v>
      </c>
      <c r="W46" s="14">
        <v>7.938</v>
      </c>
      <c r="X46" s="14">
        <v>13.1</v>
      </c>
      <c r="Y46" s="14">
        <v>13.5</v>
      </c>
      <c r="Z46" s="14">
        <v>13.7</v>
      </c>
      <c r="AA46" s="14">
        <v>14.6</v>
      </c>
      <c r="AB46" s="14">
        <v>15.3</v>
      </c>
      <c r="AC46" s="14">
        <v>14.040000000000001</v>
      </c>
      <c r="AD46" s="14">
        <v>612.0</v>
      </c>
      <c r="AE46" s="14">
        <v>607.0</v>
      </c>
      <c r="AF46" s="14">
        <v>588.0</v>
      </c>
      <c r="AG46" s="14">
        <v>666.0</v>
      </c>
      <c r="AH46" s="14">
        <v>689.0</v>
      </c>
      <c r="AI46" s="14">
        <v>632.4</v>
      </c>
      <c r="AJ46" s="14">
        <v>4.9</v>
      </c>
      <c r="AK46" s="14">
        <v>4.68</v>
      </c>
      <c r="AL46" s="14">
        <v>5.05</v>
      </c>
      <c r="AM46" s="14">
        <v>4.72</v>
      </c>
      <c r="AN46" s="14">
        <v>4.55</v>
      </c>
      <c r="AO46" s="14">
        <v>4.779999999999999</v>
      </c>
      <c r="AP46" s="14">
        <v>56.0</v>
      </c>
      <c r="AQ46" s="14">
        <v>91.0</v>
      </c>
      <c r="AR46" s="14">
        <v>44.0</v>
      </c>
      <c r="AS46" s="14">
        <v>1.45</v>
      </c>
      <c r="AT46" s="14">
        <v>0.403</v>
      </c>
      <c r="AU46" s="14">
        <v>1773000.0</v>
      </c>
      <c r="AV46" s="15">
        <v>1.43</v>
      </c>
      <c r="AW46" s="15">
        <v>35.0</v>
      </c>
      <c r="AX46" s="15">
        <v>280000.0</v>
      </c>
      <c r="AY46" s="14">
        <v>0.563</v>
      </c>
      <c r="AZ46" s="14">
        <v>0.089</v>
      </c>
      <c r="BA46" s="14">
        <v>35.652</v>
      </c>
    </row>
    <row r="47" ht="14.25" customHeight="1">
      <c r="A47" s="10">
        <v>158305.0</v>
      </c>
      <c r="B47" s="11" t="s">
        <v>104</v>
      </c>
      <c r="C47" s="11"/>
      <c r="D47" s="12"/>
      <c r="E47" s="11">
        <v>42333.0</v>
      </c>
      <c r="F47" s="12">
        <v>1.0</v>
      </c>
      <c r="G47" s="12" t="s">
        <v>128</v>
      </c>
      <c r="H47" s="13">
        <v>0.4270833333333333</v>
      </c>
      <c r="I47" s="13">
        <v>0.5104166666666665</v>
      </c>
      <c r="J47" s="12">
        <v>0.5</v>
      </c>
      <c r="K47" s="12">
        <v>0.11</v>
      </c>
      <c r="L47" s="14">
        <v>18.0</v>
      </c>
      <c r="M47" s="14">
        <v>9.0</v>
      </c>
      <c r="N47" s="14">
        <v>13.0</v>
      </c>
      <c r="O47" s="14">
        <v>14.0</v>
      </c>
      <c r="P47" s="14">
        <v>9.0</v>
      </c>
      <c r="Q47" s="14">
        <v>12.6</v>
      </c>
      <c r="R47" s="14">
        <v>12.18</v>
      </c>
      <c r="S47" s="14">
        <v>12.01</v>
      </c>
      <c r="T47" s="14">
        <v>10.33</v>
      </c>
      <c r="U47" s="14">
        <v>11.69</v>
      </c>
      <c r="V47" s="14">
        <v>11.85</v>
      </c>
      <c r="W47" s="14">
        <v>11.611999999999998</v>
      </c>
      <c r="X47" s="14">
        <v>17.5</v>
      </c>
      <c r="Y47" s="14">
        <v>18.2</v>
      </c>
      <c r="Z47" s="14">
        <v>17.5</v>
      </c>
      <c r="AA47" s="14">
        <v>20.2</v>
      </c>
      <c r="AB47" s="14">
        <v>18.9</v>
      </c>
      <c r="AC47" s="14">
        <v>18.46</v>
      </c>
      <c r="AD47" s="14">
        <v>2560.0</v>
      </c>
      <c r="AE47" s="14">
        <v>1838.0</v>
      </c>
      <c r="AF47" s="14">
        <v>642.0</v>
      </c>
      <c r="AG47" s="14">
        <v>930.0</v>
      </c>
      <c r="AH47" s="14">
        <v>1926.0</v>
      </c>
      <c r="AI47" s="14">
        <v>1579.2</v>
      </c>
      <c r="AJ47" s="14">
        <v>5.6</v>
      </c>
      <c r="AK47" s="14">
        <v>5.08</v>
      </c>
      <c r="AL47" s="14">
        <v>4.62</v>
      </c>
      <c r="AM47" s="14">
        <v>4.71</v>
      </c>
      <c r="AN47" s="14">
        <v>4.66</v>
      </c>
      <c r="AO47" s="14">
        <v>4.934</v>
      </c>
      <c r="AP47" s="14">
        <v>1400.0</v>
      </c>
      <c r="AQ47" s="14">
        <v>2560.0</v>
      </c>
      <c r="AR47" s="14">
        <v>9380.0</v>
      </c>
      <c r="AS47" s="14">
        <v>2.75</v>
      </c>
      <c r="AT47" s="14">
        <v>1.14</v>
      </c>
      <c r="AU47" s="14">
        <v>461100.0</v>
      </c>
      <c r="AV47" s="15">
        <v>1.41</v>
      </c>
      <c r="AW47" s="15">
        <v>64.4</v>
      </c>
      <c r="AX47" s="15">
        <v>11000.0</v>
      </c>
      <c r="AY47" s="14">
        <v>2.04</v>
      </c>
      <c r="AZ47" s="14">
        <v>0.86</v>
      </c>
      <c r="BA47" s="14">
        <v>67.30000000000001</v>
      </c>
    </row>
    <row r="48" ht="14.25" customHeight="1">
      <c r="A48" s="10">
        <v>157908.0</v>
      </c>
      <c r="B48" s="11" t="s">
        <v>129</v>
      </c>
      <c r="C48" s="11"/>
      <c r="D48" s="12"/>
      <c r="E48" s="11">
        <v>42332.0</v>
      </c>
      <c r="F48" s="12">
        <v>1.0</v>
      </c>
      <c r="G48" s="12" t="s">
        <v>130</v>
      </c>
      <c r="H48" s="13">
        <v>0.3958333333333333</v>
      </c>
      <c r="I48" s="13">
        <v>0.5</v>
      </c>
      <c r="J48" s="12">
        <v>3.7</v>
      </c>
      <c r="K48" s="12">
        <v>0.0</v>
      </c>
      <c r="L48" s="14">
        <v>56.0</v>
      </c>
      <c r="M48" s="14">
        <v>115.0</v>
      </c>
      <c r="N48" s="14">
        <v>124.0</v>
      </c>
      <c r="O48" s="14">
        <v>131.0</v>
      </c>
      <c r="P48" s="14">
        <v>121.0</v>
      </c>
      <c r="Q48" s="14">
        <v>109.4</v>
      </c>
      <c r="R48" s="14">
        <v>8.12</v>
      </c>
      <c r="S48" s="14">
        <v>8.29</v>
      </c>
      <c r="T48" s="14">
        <v>8.19</v>
      </c>
      <c r="U48" s="14">
        <v>8.31</v>
      </c>
      <c r="V48" s="14">
        <v>8.13</v>
      </c>
      <c r="W48" s="14">
        <v>8.208</v>
      </c>
      <c r="X48" s="14">
        <v>20.2</v>
      </c>
      <c r="Y48" s="14">
        <v>21.0</v>
      </c>
      <c r="Z48" s="14">
        <v>22.2</v>
      </c>
      <c r="AA48" s="14">
        <v>21.9</v>
      </c>
      <c r="AB48" s="14">
        <v>21.1</v>
      </c>
      <c r="AC48" s="14">
        <v>21.28</v>
      </c>
      <c r="AD48" s="14">
        <v>660.0</v>
      </c>
      <c r="AE48" s="14">
        <v>642.0</v>
      </c>
      <c r="AF48" s="14">
        <v>661.0</v>
      </c>
      <c r="AG48" s="14">
        <v>618.0</v>
      </c>
      <c r="AH48" s="14">
        <v>610.0</v>
      </c>
      <c r="AI48" s="14">
        <v>638.2</v>
      </c>
      <c r="AJ48" s="14">
        <v>0.82</v>
      </c>
      <c r="AK48" s="14">
        <v>0.8</v>
      </c>
      <c r="AL48" s="14">
        <v>0.88</v>
      </c>
      <c r="AM48" s="14">
        <v>0.92</v>
      </c>
      <c r="AN48" s="14">
        <v>0.85</v>
      </c>
      <c r="AO48" s="14">
        <v>0.8539999999999999</v>
      </c>
      <c r="AP48" s="14">
        <v>99.0</v>
      </c>
      <c r="AQ48" s="14">
        <v>186.0</v>
      </c>
      <c r="AR48" s="14">
        <v>46.0</v>
      </c>
      <c r="AS48" s="14">
        <v>27.0</v>
      </c>
      <c r="AT48" s="14">
        <v>3.02</v>
      </c>
      <c r="AU48" s="14">
        <v>1.23E8</v>
      </c>
      <c r="AV48" s="15">
        <v>4.88</v>
      </c>
      <c r="AW48" s="15">
        <v>61.6</v>
      </c>
      <c r="AX48" s="15">
        <v>2.1E7</v>
      </c>
      <c r="AY48" s="14">
        <v>1.35</v>
      </c>
      <c r="AZ48" s="14">
        <v>0.012</v>
      </c>
      <c r="BA48" s="14">
        <v>62.962</v>
      </c>
    </row>
    <row r="49" ht="14.25" customHeight="1">
      <c r="A49" s="10">
        <v>152991.0</v>
      </c>
      <c r="B49" s="11" t="s">
        <v>131</v>
      </c>
      <c r="C49" s="11"/>
      <c r="D49" s="12"/>
      <c r="E49" s="11">
        <v>42317.0</v>
      </c>
      <c r="F49" s="12">
        <v>1.0</v>
      </c>
      <c r="G49" s="12" t="s">
        <v>132</v>
      </c>
      <c r="H49" s="13">
        <v>0.4166666666666667</v>
      </c>
      <c r="I49" s="13">
        <v>0.49999999999999994</v>
      </c>
      <c r="J49" s="12">
        <v>3.15</v>
      </c>
      <c r="K49" s="12">
        <v>0.97</v>
      </c>
      <c r="L49" s="14">
        <v>430.0</v>
      </c>
      <c r="M49" s="14">
        <v>405.0</v>
      </c>
      <c r="N49" s="14">
        <v>489.0</v>
      </c>
      <c r="O49" s="14">
        <v>390.0</v>
      </c>
      <c r="P49" s="14">
        <v>418.0</v>
      </c>
      <c r="Q49" s="14">
        <v>426.4</v>
      </c>
      <c r="R49" s="14">
        <v>7.43</v>
      </c>
      <c r="S49" s="14">
        <v>7.53</v>
      </c>
      <c r="T49" s="14">
        <v>7.59</v>
      </c>
      <c r="U49" s="14">
        <v>7.47</v>
      </c>
      <c r="V49" s="14">
        <v>7.49</v>
      </c>
      <c r="W49" s="14">
        <v>7.502</v>
      </c>
      <c r="X49" s="14">
        <v>13.8</v>
      </c>
      <c r="Y49" s="14">
        <v>13.5</v>
      </c>
      <c r="Z49" s="14">
        <v>13.3</v>
      </c>
      <c r="AA49" s="14">
        <v>13.3</v>
      </c>
      <c r="AB49" s="14">
        <v>13.1</v>
      </c>
      <c r="AC49" s="14">
        <v>13.4</v>
      </c>
      <c r="AD49" s="14">
        <v>95.9</v>
      </c>
      <c r="AE49" s="14">
        <v>83.9</v>
      </c>
      <c r="AF49" s="14">
        <v>87.7</v>
      </c>
      <c r="AG49" s="14">
        <v>88.8</v>
      </c>
      <c r="AH49" s="14">
        <v>90.8</v>
      </c>
      <c r="AI49" s="14">
        <v>89.42</v>
      </c>
      <c r="AJ49" s="14">
        <v>7.17</v>
      </c>
      <c r="AK49" s="14">
        <v>7.22</v>
      </c>
      <c r="AL49" s="14">
        <v>7.25</v>
      </c>
      <c r="AM49" s="14">
        <v>7.0</v>
      </c>
      <c r="AN49" s="14">
        <v>7.25</v>
      </c>
      <c r="AO49" s="14">
        <v>7.178</v>
      </c>
      <c r="AP49" s="14">
        <v>40.0</v>
      </c>
      <c r="AQ49" s="14">
        <v>65.0</v>
      </c>
      <c r="AR49" s="14">
        <v>17.0</v>
      </c>
      <c r="AS49" s="14">
        <v>2.07</v>
      </c>
      <c r="AT49" s="14">
        <v>0.257</v>
      </c>
      <c r="AU49" s="14">
        <v>6867000.0</v>
      </c>
      <c r="AV49" s="15">
        <v>0.163</v>
      </c>
      <c r="AW49" s="15">
        <v>3.9</v>
      </c>
      <c r="AX49" s="15">
        <v>840000.0</v>
      </c>
      <c r="AY49" s="14">
        <v>0.246</v>
      </c>
      <c r="AZ49" s="14">
        <v>0.046</v>
      </c>
      <c r="BA49" s="14">
        <v>4.192</v>
      </c>
    </row>
    <row r="50" ht="14.25" customHeight="1">
      <c r="A50" s="10">
        <v>152998.0</v>
      </c>
      <c r="B50" s="11" t="s">
        <v>133</v>
      </c>
      <c r="C50" s="11"/>
      <c r="D50" s="12"/>
      <c r="E50" s="11">
        <v>42317.0</v>
      </c>
      <c r="F50" s="12">
        <v>1.0</v>
      </c>
      <c r="G50" s="12" t="s">
        <v>134</v>
      </c>
      <c r="H50" s="13">
        <v>0.2986111111111111</v>
      </c>
      <c r="I50" s="13">
        <v>0.38194444444444436</v>
      </c>
      <c r="J50" s="12">
        <v>3.0</v>
      </c>
      <c r="K50" s="12">
        <v>0.31</v>
      </c>
      <c r="L50" s="14">
        <v>442.0</v>
      </c>
      <c r="M50" s="14">
        <v>467.0</v>
      </c>
      <c r="N50" s="14">
        <v>705.0</v>
      </c>
      <c r="O50" s="14">
        <v>490.0</v>
      </c>
      <c r="P50" s="14">
        <v>396.0</v>
      </c>
      <c r="Q50" s="14">
        <v>500.0</v>
      </c>
      <c r="R50" s="14">
        <v>7.45</v>
      </c>
      <c r="S50" s="14">
        <v>7.22</v>
      </c>
      <c r="T50" s="14">
        <v>7.19</v>
      </c>
      <c r="U50" s="14">
        <v>7.34</v>
      </c>
      <c r="V50" s="14">
        <v>7.41</v>
      </c>
      <c r="W50" s="14">
        <v>7.322</v>
      </c>
      <c r="X50" s="14">
        <v>11.2</v>
      </c>
      <c r="Y50" s="14">
        <v>11.6</v>
      </c>
      <c r="Z50" s="14">
        <v>11.9</v>
      </c>
      <c r="AA50" s="14">
        <v>11.6</v>
      </c>
      <c r="AB50" s="14">
        <v>11.9</v>
      </c>
      <c r="AC50" s="14">
        <v>11.639999999999999</v>
      </c>
      <c r="AD50" s="14">
        <v>71.7</v>
      </c>
      <c r="AE50" s="14">
        <v>36.0</v>
      </c>
      <c r="AF50" s="14">
        <v>38.2</v>
      </c>
      <c r="AG50" s="14">
        <v>38.4</v>
      </c>
      <c r="AH50" s="14">
        <v>38.0</v>
      </c>
      <c r="AI50" s="14">
        <v>44.46</v>
      </c>
      <c r="AJ50" s="14">
        <v>7.5</v>
      </c>
      <c r="AK50" s="14">
        <v>7.68</v>
      </c>
      <c r="AL50" s="14">
        <v>7.74</v>
      </c>
      <c r="AM50" s="14">
        <v>7.73</v>
      </c>
      <c r="AN50" s="14">
        <v>7.67</v>
      </c>
      <c r="AO50" s="14">
        <v>7.664</v>
      </c>
      <c r="AP50" s="14">
        <v>16.0</v>
      </c>
      <c r="AQ50" s="14">
        <v>27.0</v>
      </c>
      <c r="AR50" s="14">
        <v>8.0</v>
      </c>
      <c r="AS50" s="14">
        <v>3.78</v>
      </c>
      <c r="AT50" s="14">
        <v>0.15</v>
      </c>
      <c r="AU50" s="14">
        <v>37250.0</v>
      </c>
      <c r="AV50" s="15">
        <v>0.259</v>
      </c>
      <c r="AW50" s="15">
        <v>1.69</v>
      </c>
      <c r="AX50" s="15">
        <v>5400.0</v>
      </c>
      <c r="AY50" s="14">
        <v>0.652</v>
      </c>
      <c r="AZ50" s="14">
        <v>0.012</v>
      </c>
      <c r="BA50" s="14">
        <v>2.354</v>
      </c>
    </row>
    <row r="51" ht="14.25" customHeight="1">
      <c r="A51" s="10">
        <v>152993.0</v>
      </c>
      <c r="B51" s="11" t="s">
        <v>135</v>
      </c>
      <c r="C51" s="11"/>
      <c r="D51" s="12"/>
      <c r="E51" s="11">
        <v>42317.0</v>
      </c>
      <c r="F51" s="12">
        <v>1.0</v>
      </c>
      <c r="G51" s="12" t="s">
        <v>136</v>
      </c>
      <c r="H51" s="13">
        <v>0.5</v>
      </c>
      <c r="I51" s="13">
        <v>0.583333333333333</v>
      </c>
      <c r="J51" s="12">
        <v>2.7</v>
      </c>
      <c r="K51" s="12">
        <v>0.57</v>
      </c>
      <c r="L51" s="14">
        <v>568.0</v>
      </c>
      <c r="M51" s="14">
        <v>473.0</v>
      </c>
      <c r="N51" s="14">
        <v>480.0</v>
      </c>
      <c r="O51" s="14">
        <v>563.0</v>
      </c>
      <c r="P51" s="14">
        <v>604.0</v>
      </c>
      <c r="Q51" s="14">
        <v>537.6</v>
      </c>
      <c r="R51" s="14">
        <v>7.8</v>
      </c>
      <c r="S51" s="14">
        <v>7.77</v>
      </c>
      <c r="T51" s="14">
        <v>7.68</v>
      </c>
      <c r="U51" s="14">
        <v>7.69</v>
      </c>
      <c r="V51" s="14">
        <v>7.68</v>
      </c>
      <c r="W51" s="14">
        <v>7.724000000000001</v>
      </c>
      <c r="X51" s="14">
        <v>14.5</v>
      </c>
      <c r="Y51" s="14">
        <v>14.6</v>
      </c>
      <c r="Z51" s="14">
        <v>14.7</v>
      </c>
      <c r="AA51" s="14">
        <v>15.0</v>
      </c>
      <c r="AB51" s="14">
        <v>15.1</v>
      </c>
      <c r="AC51" s="14">
        <v>14.779999999999998</v>
      </c>
      <c r="AD51" s="14">
        <v>206.3</v>
      </c>
      <c r="AE51" s="14">
        <v>207.2</v>
      </c>
      <c r="AF51" s="14">
        <v>205.7</v>
      </c>
      <c r="AG51" s="14">
        <v>206.7</v>
      </c>
      <c r="AH51" s="14">
        <v>200.2</v>
      </c>
      <c r="AI51" s="14">
        <v>205.22000000000003</v>
      </c>
      <c r="AJ51" s="14">
        <v>6.3</v>
      </c>
      <c r="AK51" s="14">
        <v>6.26</v>
      </c>
      <c r="AL51" s="14">
        <v>6.43</v>
      </c>
      <c r="AM51" s="14">
        <v>6.27</v>
      </c>
      <c r="AN51" s="14">
        <v>6.17</v>
      </c>
      <c r="AO51" s="14">
        <v>6.286</v>
      </c>
      <c r="AP51" s="14">
        <v>92.0</v>
      </c>
      <c r="AQ51" s="14">
        <v>128.0</v>
      </c>
      <c r="AR51" s="14">
        <v>22.0</v>
      </c>
      <c r="AS51" s="14">
        <v>9.73</v>
      </c>
      <c r="AT51" s="14">
        <v>1.11</v>
      </c>
      <c r="AU51" s="14">
        <v>1.117E7</v>
      </c>
      <c r="AV51" s="15">
        <v>0.355</v>
      </c>
      <c r="AW51" s="15">
        <v>10.6</v>
      </c>
      <c r="AX51" s="15">
        <v>3100000.0</v>
      </c>
      <c r="AY51" s="14">
        <v>0.205</v>
      </c>
      <c r="AZ51" s="14">
        <v>0.028</v>
      </c>
      <c r="BA51" s="14">
        <v>10.833</v>
      </c>
    </row>
    <row r="52" ht="14.25" customHeight="1">
      <c r="A52" s="10">
        <v>148398.0</v>
      </c>
      <c r="B52" s="11" t="s">
        <v>67</v>
      </c>
      <c r="C52" s="11"/>
      <c r="D52" s="12"/>
      <c r="E52" s="11">
        <v>42306.0</v>
      </c>
      <c r="F52" s="12">
        <v>1.0</v>
      </c>
      <c r="G52" s="12" t="s">
        <v>137</v>
      </c>
      <c r="H52" s="13">
        <v>0.5416666666666666</v>
      </c>
      <c r="I52" s="13">
        <v>0.6249999999999997</v>
      </c>
      <c r="J52" s="12">
        <v>2.1</v>
      </c>
      <c r="K52" s="12">
        <v>0.1</v>
      </c>
      <c r="L52" s="14">
        <v>93.0</v>
      </c>
      <c r="M52" s="14">
        <v>87.0</v>
      </c>
      <c r="N52" s="14">
        <v>95.0</v>
      </c>
      <c r="O52" s="14">
        <v>86.0</v>
      </c>
      <c r="P52" s="14">
        <v>89.0</v>
      </c>
      <c r="Q52" s="14">
        <v>90.0</v>
      </c>
      <c r="R52" s="14">
        <v>7.6</v>
      </c>
      <c r="S52" s="14">
        <v>7.74</v>
      </c>
      <c r="T52" s="14">
        <v>7.87</v>
      </c>
      <c r="U52" s="14">
        <v>7.74</v>
      </c>
      <c r="V52" s="14">
        <v>7.75</v>
      </c>
      <c r="W52" s="14">
        <v>7.74</v>
      </c>
      <c r="X52" s="14">
        <v>15.5</v>
      </c>
      <c r="Y52" s="14">
        <v>15.7</v>
      </c>
      <c r="Z52" s="14">
        <v>15.7</v>
      </c>
      <c r="AA52" s="14">
        <v>15.8</v>
      </c>
      <c r="AB52" s="14">
        <v>16.1</v>
      </c>
      <c r="AC52" s="14">
        <v>15.760000000000002</v>
      </c>
      <c r="AD52" s="14">
        <v>346.0</v>
      </c>
      <c r="AE52" s="14">
        <v>333.0</v>
      </c>
      <c r="AF52" s="14">
        <v>311.0</v>
      </c>
      <c r="AG52" s="14">
        <v>303.0</v>
      </c>
      <c r="AH52" s="14">
        <v>294.0</v>
      </c>
      <c r="AI52" s="14">
        <v>317.4</v>
      </c>
      <c r="AJ52" s="14">
        <v>5.93</v>
      </c>
      <c r="AK52" s="14">
        <v>6.15</v>
      </c>
      <c r="AL52" s="14">
        <v>5.94</v>
      </c>
      <c r="AM52" s="14">
        <v>5.72</v>
      </c>
      <c r="AN52" s="14">
        <v>6.16</v>
      </c>
      <c r="AO52" s="14">
        <v>5.9799999999999995</v>
      </c>
      <c r="AP52" s="14">
        <v>43.0</v>
      </c>
      <c r="AQ52" s="14">
        <v>66.0</v>
      </c>
      <c r="AR52" s="14">
        <v>13.0</v>
      </c>
      <c r="AS52" s="14">
        <v>2.55</v>
      </c>
      <c r="AT52" s="14">
        <v>0.272</v>
      </c>
      <c r="AU52" s="14">
        <v>1.308E8</v>
      </c>
      <c r="AV52" s="15">
        <v>1.41</v>
      </c>
      <c r="AW52" s="15">
        <v>16.0</v>
      </c>
      <c r="AX52" s="15">
        <v>1.1E8</v>
      </c>
      <c r="AY52" s="14">
        <v>0.656</v>
      </c>
      <c r="AZ52" s="14">
        <v>0.013</v>
      </c>
      <c r="BA52" s="14">
        <v>16.669</v>
      </c>
    </row>
    <row r="53" ht="14.25" customHeight="1">
      <c r="A53" s="10">
        <v>146478.0</v>
      </c>
      <c r="B53" s="11" t="s">
        <v>138</v>
      </c>
      <c r="C53" s="11"/>
      <c r="D53" s="12"/>
      <c r="E53" s="11">
        <v>42304.0</v>
      </c>
      <c r="F53" s="12">
        <v>1.0</v>
      </c>
      <c r="G53" s="12" t="s">
        <v>139</v>
      </c>
      <c r="H53" s="13">
        <v>0.2604166666666667</v>
      </c>
      <c r="I53" s="13">
        <v>0.34374999999999994</v>
      </c>
      <c r="J53" s="12">
        <v>0.7</v>
      </c>
      <c r="K53" s="12">
        <v>0.28</v>
      </c>
      <c r="L53" s="14">
        <v>12.0</v>
      </c>
      <c r="M53" s="14">
        <v>13.0</v>
      </c>
      <c r="N53" s="14">
        <v>12.0</v>
      </c>
      <c r="O53" s="14">
        <v>14.0</v>
      </c>
      <c r="P53" s="14">
        <v>13.0</v>
      </c>
      <c r="Q53" s="14">
        <v>12.8</v>
      </c>
      <c r="R53" s="14">
        <v>7.75</v>
      </c>
      <c r="S53" s="14">
        <v>8.07</v>
      </c>
      <c r="T53" s="14">
        <v>8.0</v>
      </c>
      <c r="U53" s="14">
        <v>8.07</v>
      </c>
      <c r="V53" s="14">
        <v>8.1</v>
      </c>
      <c r="W53" s="14">
        <v>7.998</v>
      </c>
      <c r="X53" s="14">
        <v>13.8</v>
      </c>
      <c r="Y53" s="14">
        <v>13.9</v>
      </c>
      <c r="Z53" s="14">
        <v>14.1</v>
      </c>
      <c r="AA53" s="14">
        <v>14.5</v>
      </c>
      <c r="AB53" s="14">
        <v>14.9</v>
      </c>
      <c r="AC53" s="14">
        <v>14.24</v>
      </c>
      <c r="AD53" s="14">
        <v>712.0</v>
      </c>
      <c r="AE53" s="14">
        <v>729.0</v>
      </c>
      <c r="AF53" s="14">
        <v>915.0</v>
      </c>
      <c r="AG53" s="14">
        <v>1026.0</v>
      </c>
      <c r="AH53" s="14">
        <v>1098.0</v>
      </c>
      <c r="AI53" s="14">
        <v>896.0</v>
      </c>
      <c r="AJ53" s="14">
        <v>3.11</v>
      </c>
      <c r="AK53" s="14">
        <v>3.81</v>
      </c>
      <c r="AL53" s="14">
        <v>2.7</v>
      </c>
      <c r="AM53" s="14">
        <v>3.32</v>
      </c>
      <c r="AN53" s="14">
        <v>2.7</v>
      </c>
      <c r="AO53" s="14">
        <v>3.128</v>
      </c>
      <c r="AP53" s="14">
        <v>172.0</v>
      </c>
      <c r="AQ53" s="14">
        <v>297.0</v>
      </c>
      <c r="AR53" s="14">
        <v>100.0</v>
      </c>
      <c r="AS53" s="14">
        <v>14.0</v>
      </c>
      <c r="AT53" s="14">
        <v>3.2</v>
      </c>
      <c r="AU53" s="14">
        <v>4.786E7</v>
      </c>
      <c r="AV53" s="15">
        <v>7.01</v>
      </c>
      <c r="AW53" s="15">
        <v>79.05</v>
      </c>
      <c r="AX53" s="15">
        <v>4600000.0</v>
      </c>
      <c r="AY53" s="14">
        <v>0.946</v>
      </c>
      <c r="AZ53" s="14">
        <v>0.012</v>
      </c>
      <c r="BA53" s="14">
        <v>80.008</v>
      </c>
    </row>
    <row r="54" ht="14.25" customHeight="1">
      <c r="A54" s="10">
        <v>148408.0</v>
      </c>
      <c r="B54" s="11" t="s">
        <v>65</v>
      </c>
      <c r="C54" s="11"/>
      <c r="D54" s="12"/>
      <c r="E54" s="11">
        <v>42306.0</v>
      </c>
      <c r="F54" s="12">
        <v>1.0</v>
      </c>
      <c r="G54" s="12" t="s">
        <v>140</v>
      </c>
      <c r="H54" s="13">
        <v>0.4166666666666667</v>
      </c>
      <c r="I54" s="13">
        <v>0.49999999999999994</v>
      </c>
      <c r="J54" s="12">
        <v>6.2</v>
      </c>
      <c r="K54" s="12">
        <v>0.17</v>
      </c>
      <c r="L54" s="14">
        <v>324.0</v>
      </c>
      <c r="M54" s="14">
        <v>354.0</v>
      </c>
      <c r="N54" s="14">
        <v>309.0</v>
      </c>
      <c r="O54" s="14">
        <v>195.0</v>
      </c>
      <c r="P54" s="14">
        <v>327.0</v>
      </c>
      <c r="Q54" s="14">
        <v>301.8</v>
      </c>
      <c r="R54" s="14">
        <v>7.73</v>
      </c>
      <c r="S54" s="14">
        <v>7.64</v>
      </c>
      <c r="T54" s="14">
        <v>7.69</v>
      </c>
      <c r="U54" s="14">
        <v>7.68</v>
      </c>
      <c r="V54" s="14">
        <v>7.66</v>
      </c>
      <c r="W54" s="14">
        <v>7.6800000000000015</v>
      </c>
      <c r="X54" s="14">
        <v>21.3</v>
      </c>
      <c r="Y54" s="14">
        <v>22.3</v>
      </c>
      <c r="Z54" s="14">
        <v>21.6</v>
      </c>
      <c r="AA54" s="14">
        <v>22.0</v>
      </c>
      <c r="AB54" s="14">
        <v>21.2</v>
      </c>
      <c r="AC54" s="14">
        <v>21.68</v>
      </c>
      <c r="AD54" s="14">
        <v>430.0</v>
      </c>
      <c r="AE54" s="14">
        <v>428.0</v>
      </c>
      <c r="AF54" s="14">
        <v>430.0</v>
      </c>
      <c r="AG54" s="14">
        <v>444.0</v>
      </c>
      <c r="AH54" s="14">
        <v>451.0</v>
      </c>
      <c r="AI54" s="14">
        <v>436.6</v>
      </c>
      <c r="AJ54" s="14">
        <v>0.83</v>
      </c>
      <c r="AK54" s="14">
        <v>0.67</v>
      </c>
      <c r="AL54" s="14">
        <v>1.01</v>
      </c>
      <c r="AM54" s="14">
        <v>1.0</v>
      </c>
      <c r="AN54" s="14">
        <v>1.46</v>
      </c>
      <c r="AO54" s="14">
        <v>0.994</v>
      </c>
      <c r="AP54" s="14">
        <v>188.0</v>
      </c>
      <c r="AQ54" s="14">
        <v>311.0</v>
      </c>
      <c r="AR54" s="14">
        <v>107.0</v>
      </c>
      <c r="AS54" s="14">
        <v>15.2</v>
      </c>
      <c r="AT54" s="14">
        <v>3.89</v>
      </c>
      <c r="AU54" s="14">
        <v>1.171E8</v>
      </c>
      <c r="AV54" s="15">
        <v>6.66</v>
      </c>
      <c r="AW54" s="15">
        <v>23.43</v>
      </c>
      <c r="AX54" s="15">
        <v>4.3E7</v>
      </c>
      <c r="AY54" s="14">
        <v>0.627</v>
      </c>
      <c r="AZ54" s="14">
        <v>0.012</v>
      </c>
      <c r="BA54" s="14">
        <v>24.069</v>
      </c>
    </row>
    <row r="55" ht="14.25" customHeight="1">
      <c r="A55" s="10">
        <v>148416.0</v>
      </c>
      <c r="B55" s="11" t="s">
        <v>70</v>
      </c>
      <c r="C55" s="11"/>
      <c r="D55" s="12"/>
      <c r="E55" s="11">
        <v>42306.0</v>
      </c>
      <c r="F55" s="12">
        <v>1.0</v>
      </c>
      <c r="G55" s="12" t="s">
        <v>141</v>
      </c>
      <c r="H55" s="13">
        <v>0.3854166666666667</v>
      </c>
      <c r="I55" s="13">
        <v>0.46874999999999994</v>
      </c>
      <c r="J55" s="12">
        <v>6.5</v>
      </c>
      <c r="K55" s="12">
        <v>4.0</v>
      </c>
      <c r="L55" s="14">
        <v>121.0</v>
      </c>
      <c r="M55" s="14">
        <v>161.0</v>
      </c>
      <c r="N55" s="14">
        <v>182.0</v>
      </c>
      <c r="O55" s="14">
        <v>161.0</v>
      </c>
      <c r="P55" s="14">
        <v>154.0</v>
      </c>
      <c r="Q55" s="14">
        <v>155.8</v>
      </c>
      <c r="R55" s="14">
        <v>7.92</v>
      </c>
      <c r="S55" s="14">
        <v>7.71</v>
      </c>
      <c r="T55" s="14">
        <v>7.8</v>
      </c>
      <c r="U55" s="14">
        <v>7.76</v>
      </c>
      <c r="V55" s="14">
        <v>7.61</v>
      </c>
      <c r="W55" s="14">
        <v>7.76</v>
      </c>
      <c r="X55" s="14">
        <v>20.2</v>
      </c>
      <c r="Y55" s="14">
        <v>20.9</v>
      </c>
      <c r="Z55" s="14">
        <v>20.7</v>
      </c>
      <c r="AA55" s="14">
        <v>21.5</v>
      </c>
      <c r="AB55" s="14">
        <v>22.9</v>
      </c>
      <c r="AC55" s="14">
        <v>21.24</v>
      </c>
      <c r="AD55" s="14">
        <v>478.0</v>
      </c>
      <c r="AE55" s="14">
        <v>447.0</v>
      </c>
      <c r="AF55" s="14">
        <v>440.0</v>
      </c>
      <c r="AG55" s="14">
        <v>428.0</v>
      </c>
      <c r="AH55" s="14">
        <v>413.0</v>
      </c>
      <c r="AI55" s="14">
        <v>441.2</v>
      </c>
      <c r="AJ55" s="14">
        <v>0.49</v>
      </c>
      <c r="AK55" s="14">
        <v>0.42</v>
      </c>
      <c r="AL55" s="14">
        <v>0.3</v>
      </c>
      <c r="AM55" s="14">
        <v>0.21</v>
      </c>
      <c r="AN55" s="14">
        <v>0.62</v>
      </c>
      <c r="AO55" s="14">
        <v>0.40800000000000003</v>
      </c>
      <c r="AP55" s="14">
        <v>160.0</v>
      </c>
      <c r="AQ55" s="14">
        <v>234.0</v>
      </c>
      <c r="AR55" s="14">
        <v>83.0</v>
      </c>
      <c r="AS55" s="14">
        <v>33.5</v>
      </c>
      <c r="AT55" s="14">
        <v>4.01</v>
      </c>
      <c r="AU55" s="14">
        <v>1.122E8</v>
      </c>
      <c r="AV55" s="15">
        <v>3.39</v>
      </c>
      <c r="AW55" s="15">
        <v>21.71</v>
      </c>
      <c r="AX55" s="15">
        <v>3.5E7</v>
      </c>
      <c r="AY55" s="14">
        <v>0.209</v>
      </c>
      <c r="AZ55" s="14">
        <v>0.012</v>
      </c>
      <c r="BA55" s="14">
        <v>21.931</v>
      </c>
    </row>
    <row r="56" ht="14.25" customHeight="1">
      <c r="A56" s="10">
        <v>148204.0</v>
      </c>
      <c r="B56" s="11" t="s">
        <v>120</v>
      </c>
      <c r="C56" s="11"/>
      <c r="D56" s="12"/>
      <c r="E56" s="11">
        <v>42305.0</v>
      </c>
      <c r="F56" s="12">
        <v>1.0</v>
      </c>
      <c r="G56" s="12" t="s">
        <v>121</v>
      </c>
      <c r="H56" s="13">
        <v>0.4305555555555556</v>
      </c>
      <c r="I56" s="13">
        <v>0.5138888888888888</v>
      </c>
      <c r="J56" s="12">
        <v>3.0</v>
      </c>
      <c r="K56" s="12">
        <v>0.08</v>
      </c>
      <c r="L56" s="14">
        <v>34.0</v>
      </c>
      <c r="M56" s="14">
        <v>34.0</v>
      </c>
      <c r="N56" s="14">
        <v>33.0</v>
      </c>
      <c r="O56" s="14">
        <v>37.0</v>
      </c>
      <c r="P56" s="14">
        <v>32.0</v>
      </c>
      <c r="Q56" s="14">
        <v>34.0</v>
      </c>
      <c r="R56" s="14">
        <v>8.42</v>
      </c>
      <c r="S56" s="14">
        <v>8.48</v>
      </c>
      <c r="T56" s="14">
        <v>8.47</v>
      </c>
      <c r="U56" s="14">
        <v>8.44</v>
      </c>
      <c r="V56" s="14">
        <v>8.42</v>
      </c>
      <c r="W56" s="14">
        <v>8.446</v>
      </c>
      <c r="X56" s="14">
        <v>21.5</v>
      </c>
      <c r="Y56" s="14">
        <v>21.8</v>
      </c>
      <c r="Z56" s="14">
        <v>22.3</v>
      </c>
      <c r="AA56" s="14">
        <v>21.7</v>
      </c>
      <c r="AB56" s="14">
        <v>22.2</v>
      </c>
      <c r="AC56" s="14">
        <v>21.9</v>
      </c>
      <c r="AD56" s="14">
        <v>583.0</v>
      </c>
      <c r="AE56" s="14">
        <v>548.0</v>
      </c>
      <c r="AF56" s="14">
        <v>530.0</v>
      </c>
      <c r="AG56" s="14">
        <v>512.0</v>
      </c>
      <c r="AH56" s="14">
        <v>510.0</v>
      </c>
      <c r="AI56" s="14">
        <v>536.6</v>
      </c>
      <c r="AJ56" s="14">
        <v>1.5</v>
      </c>
      <c r="AK56" s="14">
        <v>1.77</v>
      </c>
      <c r="AL56" s="14">
        <v>2.19</v>
      </c>
      <c r="AM56" s="14">
        <v>2.38</v>
      </c>
      <c r="AN56" s="14">
        <v>2.63</v>
      </c>
      <c r="AO56" s="14">
        <v>2.094</v>
      </c>
      <c r="AP56" s="14">
        <v>188.0</v>
      </c>
      <c r="AQ56" s="14">
        <v>268.0</v>
      </c>
      <c r="AR56" s="14">
        <v>68.0</v>
      </c>
      <c r="AS56" s="14">
        <v>22.6</v>
      </c>
      <c r="AT56" s="14">
        <v>3.39</v>
      </c>
      <c r="AU56" s="14">
        <v>3.433E7</v>
      </c>
      <c r="AV56" s="15">
        <v>5.71</v>
      </c>
      <c r="AW56" s="15">
        <v>30.57</v>
      </c>
      <c r="AX56" s="15">
        <v>6300000.0</v>
      </c>
      <c r="AY56" s="14">
        <v>0.942</v>
      </c>
      <c r="AZ56" s="14">
        <v>0.032</v>
      </c>
      <c r="BA56" s="14">
        <v>31.544</v>
      </c>
    </row>
    <row r="57" ht="14.25" customHeight="1">
      <c r="A57" s="10">
        <v>148202.0</v>
      </c>
      <c r="B57" s="11" t="s">
        <v>116</v>
      </c>
      <c r="C57" s="11"/>
      <c r="D57" s="12"/>
      <c r="E57" s="11">
        <v>42305.0</v>
      </c>
      <c r="F57" s="12">
        <v>1.0</v>
      </c>
      <c r="G57" s="12" t="s">
        <v>142</v>
      </c>
      <c r="H57" s="13">
        <v>0.375</v>
      </c>
      <c r="I57" s="13">
        <v>0.45833333333333326</v>
      </c>
      <c r="J57" s="12">
        <v>2.7</v>
      </c>
      <c r="K57" s="12">
        <v>0.07</v>
      </c>
      <c r="L57" s="14">
        <v>11.0</v>
      </c>
      <c r="M57" s="14">
        <v>13.0</v>
      </c>
      <c r="N57" s="14">
        <v>14.0</v>
      </c>
      <c r="O57" s="14">
        <v>18.0</v>
      </c>
      <c r="P57" s="14">
        <v>21.0</v>
      </c>
      <c r="Q57" s="14">
        <v>15.4</v>
      </c>
      <c r="R57" s="14">
        <v>8.64</v>
      </c>
      <c r="S57" s="14">
        <v>8.58</v>
      </c>
      <c r="T57" s="14">
        <v>8.58</v>
      </c>
      <c r="U57" s="14">
        <v>8.64</v>
      </c>
      <c r="V57" s="14">
        <v>8.69</v>
      </c>
      <c r="W57" s="14">
        <v>8.626</v>
      </c>
      <c r="X57" s="14">
        <v>20.4</v>
      </c>
      <c r="Y57" s="14">
        <v>21.6</v>
      </c>
      <c r="Z57" s="14">
        <v>21.0</v>
      </c>
      <c r="AA57" s="14">
        <v>21.1</v>
      </c>
      <c r="AB57" s="14">
        <v>22.9</v>
      </c>
      <c r="AC57" s="14">
        <v>21.4</v>
      </c>
      <c r="AD57" s="14">
        <v>454.0</v>
      </c>
      <c r="AE57" s="14">
        <v>418.0</v>
      </c>
      <c r="AF57" s="14">
        <v>412.0</v>
      </c>
      <c r="AG57" s="14">
        <v>470.0</v>
      </c>
      <c r="AH57" s="14">
        <v>502.0</v>
      </c>
      <c r="AI57" s="14">
        <v>451.2</v>
      </c>
      <c r="AJ57" s="14">
        <v>5.55</v>
      </c>
      <c r="AK57" s="14">
        <v>5.46</v>
      </c>
      <c r="AL57" s="14">
        <v>4.9</v>
      </c>
      <c r="AM57" s="14">
        <v>4.66</v>
      </c>
      <c r="AN57" s="14">
        <v>5.27</v>
      </c>
      <c r="AO57" s="14">
        <v>5.168</v>
      </c>
      <c r="AP57" s="14">
        <v>98.0</v>
      </c>
      <c r="AQ57" s="14">
        <v>160.0</v>
      </c>
      <c r="AR57" s="14">
        <v>23.0</v>
      </c>
      <c r="AS57" s="14">
        <v>8.98</v>
      </c>
      <c r="AT57" s="14">
        <v>2.78</v>
      </c>
      <c r="AU57" s="14">
        <v>1.729E7</v>
      </c>
      <c r="AV57" s="15">
        <v>1.61</v>
      </c>
      <c r="AW57" s="15">
        <v>24.57</v>
      </c>
      <c r="AX57" s="15">
        <v>5400000.0</v>
      </c>
      <c r="AY57" s="14">
        <v>0.387</v>
      </c>
      <c r="AZ57" s="14">
        <v>0.012</v>
      </c>
      <c r="BA57" s="14">
        <v>24.969</v>
      </c>
    </row>
    <row r="58" ht="14.25" customHeight="1">
      <c r="A58" s="10">
        <v>144588.0</v>
      </c>
      <c r="B58" s="11" t="s">
        <v>131</v>
      </c>
      <c r="C58" s="11"/>
      <c r="D58" s="12"/>
      <c r="E58" s="11">
        <v>42303.0</v>
      </c>
      <c r="F58" s="12">
        <v>1.0</v>
      </c>
      <c r="G58" s="12" t="s">
        <v>132</v>
      </c>
      <c r="H58" s="13">
        <v>0.4479166666666667</v>
      </c>
      <c r="I58" s="13">
        <v>0.5312499999999999</v>
      </c>
      <c r="J58" s="12">
        <v>3.05</v>
      </c>
      <c r="K58" s="12">
        <v>0.55</v>
      </c>
      <c r="L58" s="14">
        <v>85.0</v>
      </c>
      <c r="M58" s="14">
        <v>79.0</v>
      </c>
      <c r="N58" s="14">
        <v>126.0</v>
      </c>
      <c r="O58" s="14">
        <v>112.0</v>
      </c>
      <c r="P58" s="14">
        <v>126.0</v>
      </c>
      <c r="Q58" s="14">
        <v>105.6</v>
      </c>
      <c r="R58" s="14">
        <v>7.14</v>
      </c>
      <c r="S58" s="14">
        <v>7.44</v>
      </c>
      <c r="T58" s="14">
        <v>7.36</v>
      </c>
      <c r="U58" s="14">
        <v>7.35</v>
      </c>
      <c r="V58" s="14">
        <v>7.33</v>
      </c>
      <c r="W58" s="14">
        <v>7.324</v>
      </c>
      <c r="X58" s="14">
        <v>15.5</v>
      </c>
      <c r="Y58" s="14">
        <v>15.9</v>
      </c>
      <c r="Z58" s="14">
        <v>16.1</v>
      </c>
      <c r="AA58" s="14">
        <v>16.6</v>
      </c>
      <c r="AB58" s="14">
        <v>16.0</v>
      </c>
      <c r="AC58" s="14">
        <v>16.02</v>
      </c>
      <c r="AD58" s="14">
        <v>208.6</v>
      </c>
      <c r="AE58" s="14">
        <v>200.0</v>
      </c>
      <c r="AF58" s="14">
        <v>205.9</v>
      </c>
      <c r="AG58" s="14">
        <v>209.6</v>
      </c>
      <c r="AH58" s="14">
        <v>202.4</v>
      </c>
      <c r="AI58" s="14">
        <v>205.3</v>
      </c>
      <c r="AJ58" s="14">
        <v>5.09</v>
      </c>
      <c r="AK58" s="14">
        <v>5.21</v>
      </c>
      <c r="AL58" s="14">
        <v>4.83</v>
      </c>
      <c r="AM58" s="14">
        <v>4.33</v>
      </c>
      <c r="AN58" s="14">
        <v>4.46</v>
      </c>
      <c r="AO58" s="14">
        <v>4.784000000000001</v>
      </c>
      <c r="AP58" s="14">
        <v>34.0</v>
      </c>
      <c r="AQ58" s="14">
        <v>57.0</v>
      </c>
      <c r="AR58" s="14">
        <v>19.0</v>
      </c>
      <c r="AS58" s="14">
        <v>4.51</v>
      </c>
      <c r="AT58" s="14">
        <v>0.332</v>
      </c>
      <c r="AU58" s="14">
        <v>372500.0</v>
      </c>
      <c r="AV58" s="15">
        <v>1.03</v>
      </c>
      <c r="AW58" s="15">
        <v>8.29</v>
      </c>
      <c r="AX58" s="15">
        <v>11000.0</v>
      </c>
      <c r="AY58" s="14">
        <v>0.238</v>
      </c>
      <c r="AZ58" s="14">
        <v>0.072</v>
      </c>
      <c r="BA58" s="14">
        <v>8.599999999999998</v>
      </c>
    </row>
    <row r="59" ht="14.25" customHeight="1">
      <c r="A59" s="10">
        <v>148201.0</v>
      </c>
      <c r="B59" s="11" t="s">
        <v>118</v>
      </c>
      <c r="C59" s="11"/>
      <c r="D59" s="12"/>
      <c r="E59" s="11">
        <v>42305.0</v>
      </c>
      <c r="F59" s="12">
        <v>1.0</v>
      </c>
      <c r="G59" s="12" t="s">
        <v>143</v>
      </c>
      <c r="H59" s="13">
        <v>0.5</v>
      </c>
      <c r="I59" s="13">
        <v>0.583333333333333</v>
      </c>
      <c r="J59" s="12">
        <v>4.9</v>
      </c>
      <c r="K59" s="12">
        <v>0.04</v>
      </c>
      <c r="L59" s="14">
        <v>2.0</v>
      </c>
      <c r="M59" s="14">
        <v>2.0</v>
      </c>
      <c r="N59" s="14">
        <v>2.0</v>
      </c>
      <c r="O59" s="14">
        <v>2.0</v>
      </c>
      <c r="P59" s="14">
        <v>3.0</v>
      </c>
      <c r="Q59" s="14">
        <v>2.2</v>
      </c>
      <c r="R59" s="14">
        <v>7.88</v>
      </c>
      <c r="S59" s="14">
        <v>8.01</v>
      </c>
      <c r="T59" s="14">
        <v>8.08</v>
      </c>
      <c r="U59" s="14">
        <v>8.03</v>
      </c>
      <c r="V59" s="14">
        <v>8.05</v>
      </c>
      <c r="W59" s="14">
        <v>8.01</v>
      </c>
      <c r="X59" s="14">
        <v>20.2</v>
      </c>
      <c r="Y59" s="14">
        <v>20.0</v>
      </c>
      <c r="Z59" s="14">
        <v>21.3</v>
      </c>
      <c r="AA59" s="14">
        <v>20.5</v>
      </c>
      <c r="AB59" s="14">
        <v>20.8</v>
      </c>
      <c r="AC59" s="14">
        <v>20.56</v>
      </c>
      <c r="AD59" s="14">
        <v>471.0</v>
      </c>
      <c r="AE59" s="14">
        <v>494.0</v>
      </c>
      <c r="AF59" s="14">
        <v>502.0</v>
      </c>
      <c r="AG59" s="14">
        <v>492.0</v>
      </c>
      <c r="AH59" s="14">
        <v>444.0</v>
      </c>
      <c r="AI59" s="14">
        <v>480.6</v>
      </c>
      <c r="AJ59" s="14">
        <v>1.99</v>
      </c>
      <c r="AK59" s="14">
        <v>1.66</v>
      </c>
      <c r="AL59" s="14">
        <v>1.26</v>
      </c>
      <c r="AM59" s="14">
        <v>1.34</v>
      </c>
      <c r="AN59" s="14">
        <v>1.29</v>
      </c>
      <c r="AO59" s="14">
        <v>1.508</v>
      </c>
      <c r="AP59" s="14">
        <v>78.0</v>
      </c>
      <c r="AQ59" s="14">
        <v>129.0</v>
      </c>
      <c r="AR59" s="14">
        <v>32.0</v>
      </c>
      <c r="AS59" s="14">
        <v>10.6</v>
      </c>
      <c r="AT59" s="14">
        <v>4.13</v>
      </c>
      <c r="AU59" s="14">
        <v>3.169E7</v>
      </c>
      <c r="AV59" s="15">
        <v>1.42</v>
      </c>
      <c r="AW59" s="15">
        <v>28.0</v>
      </c>
      <c r="AX59" s="15">
        <v>8400000.0</v>
      </c>
      <c r="AY59" s="14">
        <v>0.46</v>
      </c>
      <c r="AZ59" s="14">
        <v>0.012</v>
      </c>
      <c r="BA59" s="14">
        <v>28.472</v>
      </c>
    </row>
    <row r="60" ht="14.25" customHeight="1">
      <c r="A60" s="10">
        <v>144586.0</v>
      </c>
      <c r="B60" s="11" t="s">
        <v>135</v>
      </c>
      <c r="C60" s="11"/>
      <c r="D60" s="12"/>
      <c r="E60" s="11">
        <v>42303.0</v>
      </c>
      <c r="F60" s="12">
        <v>1.0</v>
      </c>
      <c r="G60" s="12" t="s">
        <v>136</v>
      </c>
      <c r="H60" s="13">
        <v>0.3333333333333333</v>
      </c>
      <c r="I60" s="13">
        <v>0.4166666666666666</v>
      </c>
      <c r="J60" s="12">
        <v>2.6</v>
      </c>
      <c r="K60" s="12">
        <v>0.41</v>
      </c>
      <c r="L60" s="14">
        <v>35.0</v>
      </c>
      <c r="M60" s="14">
        <v>59.0</v>
      </c>
      <c r="N60" s="14">
        <v>68.0</v>
      </c>
      <c r="O60" s="14">
        <v>69.0</v>
      </c>
      <c r="P60" s="14">
        <v>87.0</v>
      </c>
      <c r="Q60" s="14">
        <v>63.6</v>
      </c>
      <c r="R60" s="14">
        <v>8.03</v>
      </c>
      <c r="S60" s="14">
        <v>7.85</v>
      </c>
      <c r="T60" s="14">
        <v>7.93</v>
      </c>
      <c r="U60" s="14">
        <v>7.86</v>
      </c>
      <c r="V60" s="14">
        <v>7.85</v>
      </c>
      <c r="W60" s="14">
        <v>7.903999999999999</v>
      </c>
      <c r="X60" s="14">
        <v>13.9</v>
      </c>
      <c r="Y60" s="14">
        <v>14.1</v>
      </c>
      <c r="Z60" s="14">
        <v>14.5</v>
      </c>
      <c r="AA60" s="14">
        <v>14.7</v>
      </c>
      <c r="AB60" s="14">
        <v>15.1</v>
      </c>
      <c r="AC60" s="14">
        <v>14.459999999999999</v>
      </c>
      <c r="AD60" s="14">
        <v>384.0</v>
      </c>
      <c r="AE60" s="14">
        <v>449.0</v>
      </c>
      <c r="AF60" s="14">
        <v>455.0</v>
      </c>
      <c r="AG60" s="14">
        <v>486.0</v>
      </c>
      <c r="AH60" s="14">
        <v>500.0</v>
      </c>
      <c r="AI60" s="14">
        <v>454.8</v>
      </c>
      <c r="AJ60" s="14">
        <v>4.31</v>
      </c>
      <c r="AK60" s="14">
        <v>3.89</v>
      </c>
      <c r="AL60" s="14">
        <v>3.96</v>
      </c>
      <c r="AM60" s="14">
        <v>3.64</v>
      </c>
      <c r="AN60" s="14">
        <v>3.48</v>
      </c>
      <c r="AO60" s="14">
        <v>3.8560000000000003</v>
      </c>
      <c r="AP60" s="14">
        <v>96.0</v>
      </c>
      <c r="AQ60" s="14">
        <v>160.0</v>
      </c>
      <c r="AR60" s="14">
        <v>64.0</v>
      </c>
      <c r="AS60" s="14">
        <v>7.72</v>
      </c>
      <c r="AT60" s="14">
        <v>1.8</v>
      </c>
      <c r="AU60" s="14">
        <v>1.353E7</v>
      </c>
      <c r="AV60" s="15">
        <v>6.06</v>
      </c>
      <c r="AW60" s="15">
        <v>38.29</v>
      </c>
      <c r="AX60" s="15">
        <v>6300000.0</v>
      </c>
      <c r="AY60" s="14">
        <v>0.391</v>
      </c>
      <c r="AZ60" s="14">
        <v>0.031</v>
      </c>
      <c r="BA60" s="14">
        <v>38.711999999999996</v>
      </c>
    </row>
    <row r="61" ht="14.25" customHeight="1">
      <c r="A61" s="10">
        <v>148412.0</v>
      </c>
      <c r="B61" s="11" t="s">
        <v>77</v>
      </c>
      <c r="C61" s="11"/>
      <c r="D61" s="12"/>
      <c r="E61" s="11">
        <v>42306.0</v>
      </c>
      <c r="F61" s="12">
        <v>1.0</v>
      </c>
      <c r="G61" s="12" t="s">
        <v>144</v>
      </c>
      <c r="H61" s="13">
        <v>0.5104166666666666</v>
      </c>
      <c r="I61" s="13">
        <v>0.5937499999999997</v>
      </c>
      <c r="J61" s="12">
        <v>2.7</v>
      </c>
      <c r="K61" s="12">
        <v>0.15</v>
      </c>
      <c r="L61" s="14">
        <v>127.0</v>
      </c>
      <c r="M61" s="14">
        <v>107.0</v>
      </c>
      <c r="N61" s="14">
        <v>128.0</v>
      </c>
      <c r="O61" s="14">
        <v>118.0</v>
      </c>
      <c r="P61" s="14">
        <v>128.0</v>
      </c>
      <c r="Q61" s="14">
        <v>121.6</v>
      </c>
      <c r="R61" s="14">
        <v>7.56</v>
      </c>
      <c r="S61" s="14">
        <v>7.43</v>
      </c>
      <c r="T61" s="14">
        <v>7.52</v>
      </c>
      <c r="U61" s="14">
        <v>7.52</v>
      </c>
      <c r="V61" s="14">
        <v>7.54</v>
      </c>
      <c r="W61" s="14">
        <v>7.514</v>
      </c>
      <c r="X61" s="14">
        <v>19.8</v>
      </c>
      <c r="Y61" s="14">
        <v>18.4</v>
      </c>
      <c r="Z61" s="14">
        <v>19.8</v>
      </c>
      <c r="AA61" s="14">
        <v>19.4</v>
      </c>
      <c r="AB61" s="14">
        <v>18.5</v>
      </c>
      <c r="AC61" s="14">
        <v>19.18</v>
      </c>
      <c r="AD61" s="14">
        <v>388.0</v>
      </c>
      <c r="AE61" s="14">
        <v>385.0</v>
      </c>
      <c r="AF61" s="14">
        <v>402.0</v>
      </c>
      <c r="AG61" s="14">
        <v>407.0</v>
      </c>
      <c r="AH61" s="14">
        <v>399.0</v>
      </c>
      <c r="AI61" s="14">
        <v>396.2</v>
      </c>
      <c r="AJ61" s="14">
        <v>2.23</v>
      </c>
      <c r="AK61" s="14">
        <v>2.82</v>
      </c>
      <c r="AL61" s="14">
        <v>2.46</v>
      </c>
      <c r="AM61" s="14">
        <v>2.42</v>
      </c>
      <c r="AN61" s="14">
        <v>2.17</v>
      </c>
      <c r="AO61" s="14">
        <v>2.42</v>
      </c>
      <c r="AP61" s="14">
        <v>106.0</v>
      </c>
      <c r="AQ61" s="14">
        <v>163.0</v>
      </c>
      <c r="AR61" s="14">
        <v>76.0</v>
      </c>
      <c r="AS61" s="14">
        <v>10.2</v>
      </c>
      <c r="AT61" s="14">
        <v>4.2</v>
      </c>
      <c r="AU61" s="14">
        <v>1.729E8</v>
      </c>
      <c r="AV61" s="15">
        <v>2.49</v>
      </c>
      <c r="AW61" s="15">
        <v>20.57</v>
      </c>
      <c r="AX61" s="15">
        <v>5.4E7</v>
      </c>
      <c r="AY61" s="14">
        <v>0.59</v>
      </c>
      <c r="AZ61" s="14">
        <v>0.012</v>
      </c>
      <c r="BA61" s="14">
        <v>21.172</v>
      </c>
    </row>
    <row r="62" ht="14.25" customHeight="1">
      <c r="A62" s="10">
        <v>146481.0</v>
      </c>
      <c r="B62" s="11" t="s">
        <v>145</v>
      </c>
      <c r="C62" s="11"/>
      <c r="D62" s="12"/>
      <c r="E62" s="11">
        <v>42304.0</v>
      </c>
      <c r="F62" s="12">
        <v>1.0</v>
      </c>
      <c r="G62" s="12" t="s">
        <v>146</v>
      </c>
      <c r="H62" s="13">
        <v>0.2916666666666667</v>
      </c>
      <c r="I62" s="13">
        <v>0.37499999999999994</v>
      </c>
      <c r="J62" s="12" t="s">
        <v>147</v>
      </c>
      <c r="K62" s="12" t="s">
        <v>147</v>
      </c>
      <c r="L62" s="14">
        <v>2.15</v>
      </c>
      <c r="M62" s="14">
        <v>1.9</v>
      </c>
      <c r="N62" s="14">
        <v>1.24</v>
      </c>
      <c r="O62" s="14">
        <v>1.56</v>
      </c>
      <c r="P62" s="14">
        <v>1.65</v>
      </c>
      <c r="Q62" s="14">
        <v>1.7</v>
      </c>
      <c r="R62" s="14">
        <v>8.61</v>
      </c>
      <c r="S62" s="14">
        <v>8.64</v>
      </c>
      <c r="T62" s="14">
        <v>8.44</v>
      </c>
      <c r="U62" s="14">
        <v>8.88</v>
      </c>
      <c r="V62" s="14">
        <v>8.59</v>
      </c>
      <c r="W62" s="14">
        <v>8.632</v>
      </c>
      <c r="X62" s="14">
        <v>15.3</v>
      </c>
      <c r="Y62" s="14">
        <v>15.2</v>
      </c>
      <c r="Z62" s="14">
        <v>15.8</v>
      </c>
      <c r="AA62" s="14">
        <v>16.5</v>
      </c>
      <c r="AB62" s="14">
        <v>16.3</v>
      </c>
      <c r="AC62" s="14">
        <v>15.819999999999999</v>
      </c>
      <c r="AD62" s="14">
        <v>1117.0</v>
      </c>
      <c r="AE62" s="14">
        <v>1118.0</v>
      </c>
      <c r="AF62" s="14">
        <v>1178.0</v>
      </c>
      <c r="AG62" s="14">
        <v>1646.0</v>
      </c>
      <c r="AH62" s="14">
        <v>1068.0</v>
      </c>
      <c r="AI62" s="14">
        <v>1225.4</v>
      </c>
      <c r="AJ62" s="14">
        <v>4.57</v>
      </c>
      <c r="AK62" s="14">
        <v>4.72</v>
      </c>
      <c r="AL62" s="14">
        <v>4.34</v>
      </c>
      <c r="AM62" s="14">
        <v>4.42</v>
      </c>
      <c r="AN62" s="14">
        <v>4.72</v>
      </c>
      <c r="AO62" s="14">
        <v>4.553999999999999</v>
      </c>
      <c r="AP62" s="14">
        <v>1050.0</v>
      </c>
      <c r="AQ62" s="14">
        <v>1540.0</v>
      </c>
      <c r="AR62" s="14">
        <v>780.0</v>
      </c>
      <c r="AS62" s="14">
        <v>36.8</v>
      </c>
      <c r="AT62" s="14">
        <v>6.5</v>
      </c>
      <c r="AU62" s="14">
        <v>7.701E8</v>
      </c>
      <c r="AV62" s="15">
        <v>14.3</v>
      </c>
      <c r="AW62" s="15">
        <v>141.43</v>
      </c>
      <c r="AX62" s="15">
        <v>5.4E8</v>
      </c>
      <c r="AY62" s="14">
        <v>5.56</v>
      </c>
      <c r="AZ62" s="14">
        <v>0.012</v>
      </c>
      <c r="BA62" s="14">
        <v>147.002</v>
      </c>
    </row>
    <row r="63" ht="14.25" customHeight="1">
      <c r="A63" s="10">
        <v>148203.0</v>
      </c>
      <c r="B63" s="11" t="s">
        <v>129</v>
      </c>
      <c r="C63" s="11"/>
      <c r="D63" s="12"/>
      <c r="E63" s="11">
        <v>42305.0</v>
      </c>
      <c r="F63" s="12">
        <v>1.0</v>
      </c>
      <c r="G63" s="12" t="s">
        <v>148</v>
      </c>
      <c r="H63" s="13">
        <v>0.2916666666666667</v>
      </c>
      <c r="I63" s="13">
        <v>0.37499999999999994</v>
      </c>
      <c r="J63" s="12">
        <v>2.2</v>
      </c>
      <c r="K63" s="12">
        <v>0.0</v>
      </c>
      <c r="L63" s="14">
        <v>9.0</v>
      </c>
      <c r="M63" s="14">
        <v>11.0</v>
      </c>
      <c r="N63" s="14">
        <v>22.0</v>
      </c>
      <c r="O63" s="14">
        <v>20.0</v>
      </c>
      <c r="P63" s="14">
        <v>29.0</v>
      </c>
      <c r="Q63" s="14">
        <v>18.2</v>
      </c>
      <c r="R63" s="14">
        <v>7.71</v>
      </c>
      <c r="S63" s="14">
        <v>7.24</v>
      </c>
      <c r="T63" s="14">
        <v>7.41</v>
      </c>
      <c r="U63" s="14">
        <v>7.36</v>
      </c>
      <c r="V63" s="14">
        <v>7.2</v>
      </c>
      <c r="W63" s="14">
        <v>7.384</v>
      </c>
      <c r="X63" s="14">
        <v>14.8</v>
      </c>
      <c r="Y63" s="14">
        <v>15.9</v>
      </c>
      <c r="Z63" s="14">
        <v>17.8</v>
      </c>
      <c r="AA63" s="14">
        <v>19.1</v>
      </c>
      <c r="AB63" s="14">
        <v>20.1</v>
      </c>
      <c r="AC63" s="14">
        <v>17.54</v>
      </c>
      <c r="AD63" s="14">
        <v>604.0</v>
      </c>
      <c r="AE63" s="14">
        <v>608.0</v>
      </c>
      <c r="AF63" s="14">
        <v>567.0</v>
      </c>
      <c r="AG63" s="14">
        <v>619.0</v>
      </c>
      <c r="AH63" s="14">
        <v>681.0</v>
      </c>
      <c r="AI63" s="14">
        <v>615.8</v>
      </c>
      <c r="AJ63" s="14">
        <v>1.44</v>
      </c>
      <c r="AK63" s="14">
        <v>1.26</v>
      </c>
      <c r="AL63" s="14">
        <v>1.17</v>
      </c>
      <c r="AM63" s="14">
        <v>1.01</v>
      </c>
      <c r="AN63" s="14">
        <v>0.2</v>
      </c>
      <c r="AO63" s="14">
        <v>1.016</v>
      </c>
      <c r="AP63" s="14">
        <v>196.0</v>
      </c>
      <c r="AQ63" s="14">
        <v>301.0</v>
      </c>
      <c r="AR63" s="14">
        <v>265.0</v>
      </c>
      <c r="AS63" s="14">
        <v>15.4</v>
      </c>
      <c r="AT63" s="14">
        <v>2.86</v>
      </c>
      <c r="AU63" s="14">
        <v>2.772E7</v>
      </c>
      <c r="AV63" s="15">
        <v>8.86</v>
      </c>
      <c r="AW63" s="15">
        <v>28.57</v>
      </c>
      <c r="AX63" s="15">
        <v>7000000.0</v>
      </c>
      <c r="AY63" s="14">
        <v>0.398</v>
      </c>
      <c r="AZ63" s="14">
        <v>0.012</v>
      </c>
      <c r="BA63" s="14">
        <v>28.98</v>
      </c>
    </row>
    <row r="64" ht="14.25" customHeight="1">
      <c r="A64" s="10">
        <v>144587.0</v>
      </c>
      <c r="B64" s="11" t="s">
        <v>133</v>
      </c>
      <c r="C64" s="11"/>
      <c r="D64" s="12"/>
      <c r="E64" s="11">
        <v>42303.0</v>
      </c>
      <c r="F64" s="12">
        <v>1.0</v>
      </c>
      <c r="G64" s="12" t="s">
        <v>149</v>
      </c>
      <c r="H64" s="13">
        <v>0.6041666666666666</v>
      </c>
      <c r="I64" s="13">
        <v>0.6874999999999997</v>
      </c>
      <c r="J64" s="12">
        <v>2.0</v>
      </c>
      <c r="K64" s="12">
        <v>0.35</v>
      </c>
      <c r="L64" s="14">
        <v>69.0</v>
      </c>
      <c r="M64" s="14">
        <v>109.0</v>
      </c>
      <c r="N64" s="14">
        <v>118.0</v>
      </c>
      <c r="O64" s="14">
        <v>143.0</v>
      </c>
      <c r="P64" s="14">
        <v>149.0</v>
      </c>
      <c r="Q64" s="14">
        <v>117.6</v>
      </c>
      <c r="R64" s="14">
        <v>6.67</v>
      </c>
      <c r="S64" s="14">
        <v>6.92</v>
      </c>
      <c r="T64" s="14">
        <v>6.9</v>
      </c>
      <c r="U64" s="14">
        <v>6.85</v>
      </c>
      <c r="V64" s="14">
        <v>6.85</v>
      </c>
      <c r="W64" s="14">
        <v>6.838000000000001</v>
      </c>
      <c r="X64" s="14">
        <v>13.8</v>
      </c>
      <c r="Y64" s="14">
        <v>13.4</v>
      </c>
      <c r="Z64" s="14">
        <v>13.2</v>
      </c>
      <c r="AA64" s="14">
        <v>13.1</v>
      </c>
      <c r="AB64" s="14">
        <v>13.1</v>
      </c>
      <c r="AC64" s="14">
        <v>13.320000000000002</v>
      </c>
      <c r="AD64" s="14">
        <v>62.3</v>
      </c>
      <c r="AE64" s="14">
        <v>61.6</v>
      </c>
      <c r="AF64" s="14">
        <v>62.0</v>
      </c>
      <c r="AG64" s="14">
        <v>62.1</v>
      </c>
      <c r="AH64" s="14">
        <v>62.0</v>
      </c>
      <c r="AI64" s="14">
        <v>62.0</v>
      </c>
      <c r="AJ64" s="14">
        <v>6.78</v>
      </c>
      <c r="AK64" s="14">
        <v>7.29</v>
      </c>
      <c r="AL64" s="14">
        <v>7.31</v>
      </c>
      <c r="AM64" s="14">
        <v>7.37</v>
      </c>
      <c r="AN64" s="14">
        <v>7.39</v>
      </c>
      <c r="AO64" s="14">
        <v>7.228</v>
      </c>
      <c r="AP64" s="14">
        <v>5.0</v>
      </c>
      <c r="AQ64" s="14">
        <v>20.0</v>
      </c>
      <c r="AR64" s="14">
        <v>8.0</v>
      </c>
      <c r="AS64" s="14">
        <v>0.67</v>
      </c>
      <c r="AT64" s="14">
        <v>0.15</v>
      </c>
      <c r="AU64" s="14">
        <v>2933.0</v>
      </c>
      <c r="AV64" s="15">
        <v>0.101</v>
      </c>
      <c r="AW64" s="15">
        <v>5.16</v>
      </c>
      <c r="AX64" s="15">
        <v>700.0</v>
      </c>
      <c r="AY64" s="14">
        <v>1.32</v>
      </c>
      <c r="AZ64" s="14">
        <v>0.086</v>
      </c>
      <c r="BA64" s="14">
        <v>6.566000000000001</v>
      </c>
    </row>
    <row r="65" ht="14.25" customHeight="1">
      <c r="A65" s="10">
        <v>149987.0</v>
      </c>
      <c r="B65" s="11" t="s">
        <v>126</v>
      </c>
      <c r="C65" s="11"/>
      <c r="D65" s="12"/>
      <c r="E65" s="11">
        <v>42311.0</v>
      </c>
      <c r="F65" s="12">
        <v>1.0</v>
      </c>
      <c r="G65" s="12" t="s">
        <v>150</v>
      </c>
      <c r="H65" s="13">
        <v>0.6041666666666666</v>
      </c>
      <c r="I65" s="13">
        <v>0.6874999999999997</v>
      </c>
      <c r="J65" s="12">
        <v>0.6</v>
      </c>
      <c r="K65" s="12">
        <v>0.08</v>
      </c>
      <c r="L65" s="14">
        <v>11.44</v>
      </c>
      <c r="M65" s="14">
        <v>6.73</v>
      </c>
      <c r="N65" s="14">
        <v>7.05</v>
      </c>
      <c r="O65" s="14">
        <v>7.85</v>
      </c>
      <c r="P65" s="14">
        <v>8.5</v>
      </c>
      <c r="Q65" s="14">
        <v>8.314</v>
      </c>
      <c r="R65" s="14">
        <v>8.44</v>
      </c>
      <c r="S65" s="14">
        <v>8.28</v>
      </c>
      <c r="T65" s="14">
        <v>8.35</v>
      </c>
      <c r="U65" s="14">
        <v>8.22</v>
      </c>
      <c r="V65" s="14">
        <v>8.22</v>
      </c>
      <c r="W65" s="14">
        <v>8.302</v>
      </c>
      <c r="X65" s="14">
        <v>17.4</v>
      </c>
      <c r="Y65" s="14">
        <v>16.9</v>
      </c>
      <c r="Z65" s="14">
        <v>16.1</v>
      </c>
      <c r="AA65" s="14">
        <v>16.3</v>
      </c>
      <c r="AB65" s="14">
        <v>15.9</v>
      </c>
      <c r="AC65" s="14">
        <v>16.520000000000003</v>
      </c>
      <c r="AD65" s="14">
        <v>477.0</v>
      </c>
      <c r="AE65" s="14">
        <v>440.0</v>
      </c>
      <c r="AF65" s="14">
        <v>421.0</v>
      </c>
      <c r="AG65" s="14">
        <v>415.0</v>
      </c>
      <c r="AH65" s="14">
        <v>425.0</v>
      </c>
      <c r="AI65" s="14">
        <v>435.6</v>
      </c>
      <c r="AJ65" s="14">
        <v>6.47</v>
      </c>
      <c r="AK65" s="14">
        <v>5.06</v>
      </c>
      <c r="AL65" s="14">
        <v>4.88</v>
      </c>
      <c r="AM65" s="14">
        <v>5.07</v>
      </c>
      <c r="AN65" s="14">
        <v>5.09</v>
      </c>
      <c r="AO65" s="14">
        <v>5.314</v>
      </c>
      <c r="AP65" s="14">
        <v>5.0</v>
      </c>
      <c r="AQ65" s="14">
        <v>20.0</v>
      </c>
      <c r="AR65" s="14">
        <v>37.0</v>
      </c>
      <c r="AS65" s="14">
        <v>2.39</v>
      </c>
      <c r="AT65" s="14">
        <v>0.217</v>
      </c>
      <c r="AU65" s="14">
        <v>1368000.0</v>
      </c>
      <c r="AV65" s="15">
        <v>1.14</v>
      </c>
      <c r="AW65" s="15">
        <v>14.29</v>
      </c>
      <c r="AX65" s="15">
        <v>220000.0</v>
      </c>
      <c r="AY65" s="14">
        <v>1.37</v>
      </c>
      <c r="AZ65" s="14">
        <v>0.021</v>
      </c>
      <c r="BA65" s="14">
        <v>15.681000000000001</v>
      </c>
    </row>
    <row r="66" ht="14.25" customHeight="1">
      <c r="A66" s="10">
        <v>152270.0</v>
      </c>
      <c r="B66" s="11" t="s">
        <v>95</v>
      </c>
      <c r="C66" s="11"/>
      <c r="D66" s="12"/>
      <c r="E66" s="11">
        <v>42313.0</v>
      </c>
      <c r="F66" s="12">
        <v>1.0</v>
      </c>
      <c r="G66" s="12" t="s">
        <v>151</v>
      </c>
      <c r="H66" s="13">
        <v>0.2916666666666667</v>
      </c>
      <c r="I66" s="13">
        <v>0.37499999999999994</v>
      </c>
      <c r="J66" s="12">
        <v>0.6</v>
      </c>
      <c r="K66" s="12">
        <v>0.06</v>
      </c>
      <c r="L66" s="14">
        <v>3.08</v>
      </c>
      <c r="M66" s="14">
        <v>3.03</v>
      </c>
      <c r="N66" s="14">
        <v>3.14</v>
      </c>
      <c r="O66" s="14">
        <v>3.0</v>
      </c>
      <c r="P66" s="14">
        <v>3.18</v>
      </c>
      <c r="Q66" s="14">
        <v>3.086</v>
      </c>
      <c r="R66" s="14">
        <v>8.25</v>
      </c>
      <c r="S66" s="14">
        <v>8.21</v>
      </c>
      <c r="T66" s="14">
        <v>8.17</v>
      </c>
      <c r="U66" s="14">
        <v>8.11</v>
      </c>
      <c r="V66" s="14">
        <v>8.15</v>
      </c>
      <c r="W66" s="14">
        <v>8.178</v>
      </c>
      <c r="X66" s="14">
        <v>16.4</v>
      </c>
      <c r="Y66" s="14">
        <v>17.1</v>
      </c>
      <c r="Z66" s="14">
        <v>17.2</v>
      </c>
      <c r="AA66" s="14">
        <v>17.4</v>
      </c>
      <c r="AB66" s="14">
        <v>17.6</v>
      </c>
      <c r="AC66" s="14">
        <v>17.139999999999997</v>
      </c>
      <c r="AD66" s="14">
        <v>483.0</v>
      </c>
      <c r="AE66" s="14">
        <v>407.0</v>
      </c>
      <c r="AF66" s="14">
        <v>502.0</v>
      </c>
      <c r="AG66" s="14">
        <v>477.0</v>
      </c>
      <c r="AH66" s="14">
        <v>385.0</v>
      </c>
      <c r="AI66" s="14">
        <v>450.8</v>
      </c>
      <c r="AJ66" s="14">
        <v>4.86</v>
      </c>
      <c r="AK66" s="14">
        <v>5.06</v>
      </c>
      <c r="AL66" s="14">
        <v>4.96</v>
      </c>
      <c r="AM66" s="14">
        <v>4.86</v>
      </c>
      <c r="AN66" s="14">
        <v>5.25</v>
      </c>
      <c r="AO66" s="14">
        <v>4.997999999999999</v>
      </c>
      <c r="AP66" s="14">
        <v>180.0</v>
      </c>
      <c r="AQ66" s="14">
        <v>270.0</v>
      </c>
      <c r="AR66" s="14">
        <v>67.0</v>
      </c>
      <c r="AS66" s="14">
        <v>27.6</v>
      </c>
      <c r="AT66" s="14">
        <v>3.13</v>
      </c>
      <c r="AU66" s="14">
        <v>2.14E7</v>
      </c>
      <c r="AV66" s="15">
        <v>10.3</v>
      </c>
      <c r="AW66" s="15">
        <v>41.7</v>
      </c>
      <c r="AX66" s="15">
        <v>1.7E7</v>
      </c>
      <c r="AY66" s="14">
        <v>0.174</v>
      </c>
      <c r="AZ66" s="14">
        <v>0.012</v>
      </c>
      <c r="BA66" s="14">
        <v>41.886</v>
      </c>
    </row>
    <row r="67" ht="14.25" customHeight="1">
      <c r="A67" s="10">
        <v>152271.0</v>
      </c>
      <c r="B67" s="11" t="s">
        <v>63</v>
      </c>
      <c r="C67" s="11"/>
      <c r="D67" s="12"/>
      <c r="E67" s="11">
        <v>42313.0</v>
      </c>
      <c r="F67" s="12">
        <v>1.0</v>
      </c>
      <c r="G67" s="12" t="s">
        <v>152</v>
      </c>
      <c r="H67" s="13">
        <v>0.6041666666666666</v>
      </c>
      <c r="I67" s="13">
        <v>0.6874999999999997</v>
      </c>
      <c r="J67" s="12">
        <v>10.35</v>
      </c>
      <c r="K67" s="12">
        <v>0.34</v>
      </c>
      <c r="L67" s="14">
        <v>2623.04</v>
      </c>
      <c r="M67" s="14">
        <v>2388.03</v>
      </c>
      <c r="N67" s="14">
        <v>1582.1</v>
      </c>
      <c r="O67" s="14">
        <v>1028.1</v>
      </c>
      <c r="P67" s="14">
        <v>957.52</v>
      </c>
      <c r="Q67" s="14">
        <v>1715.7580000000003</v>
      </c>
      <c r="R67" s="14">
        <v>8.06</v>
      </c>
      <c r="S67" s="14">
        <v>8.39</v>
      </c>
      <c r="T67" s="14">
        <v>8.05</v>
      </c>
      <c r="U67" s="14">
        <v>8.37</v>
      </c>
      <c r="V67" s="14">
        <v>8.46</v>
      </c>
      <c r="W67" s="14">
        <v>8.266000000000002</v>
      </c>
      <c r="X67" s="14">
        <v>18.6</v>
      </c>
      <c r="Y67" s="14">
        <v>18.1</v>
      </c>
      <c r="Z67" s="14">
        <v>18.0</v>
      </c>
      <c r="AA67" s="14">
        <v>18.0</v>
      </c>
      <c r="AB67" s="14">
        <v>18.1</v>
      </c>
      <c r="AC67" s="14">
        <v>18.160000000000004</v>
      </c>
      <c r="AD67" s="14">
        <v>646.0</v>
      </c>
      <c r="AE67" s="14">
        <v>460.0</v>
      </c>
      <c r="AF67" s="14">
        <v>327.0</v>
      </c>
      <c r="AG67" s="14">
        <v>354.0</v>
      </c>
      <c r="AH67" s="14">
        <v>430.0</v>
      </c>
      <c r="AI67" s="14">
        <v>443.4</v>
      </c>
      <c r="AJ67" s="14">
        <v>1.93</v>
      </c>
      <c r="AK67" s="14">
        <v>0.7</v>
      </c>
      <c r="AL67" s="14">
        <v>0.76</v>
      </c>
      <c r="AM67" s="14">
        <v>1.37</v>
      </c>
      <c r="AN67" s="14">
        <v>1.39</v>
      </c>
      <c r="AO67" s="14">
        <v>1.23</v>
      </c>
      <c r="AP67" s="14">
        <v>280.0</v>
      </c>
      <c r="AQ67" s="14">
        <v>420.0</v>
      </c>
      <c r="AR67" s="14">
        <v>245.0</v>
      </c>
      <c r="AS67" s="14">
        <v>29.4</v>
      </c>
      <c r="AT67" s="14">
        <v>1.95</v>
      </c>
      <c r="AU67" s="14">
        <v>3.169E7</v>
      </c>
      <c r="AV67" s="15">
        <v>4.52</v>
      </c>
      <c r="AW67" s="15">
        <v>31.4</v>
      </c>
      <c r="AX67" s="15">
        <v>1.5E7</v>
      </c>
      <c r="AY67" s="14">
        <v>1.23</v>
      </c>
      <c r="AZ67" s="14">
        <v>0.012</v>
      </c>
      <c r="BA67" s="14">
        <v>32.641999999999996</v>
      </c>
    </row>
    <row r="68" ht="14.25" customHeight="1">
      <c r="A68" s="10">
        <v>152549.0</v>
      </c>
      <c r="B68" s="11" t="s">
        <v>138</v>
      </c>
      <c r="C68" s="11"/>
      <c r="D68" s="12"/>
      <c r="E68" s="11">
        <v>42315.0</v>
      </c>
      <c r="F68" s="12">
        <v>1.0</v>
      </c>
      <c r="G68" s="12" t="s">
        <v>153</v>
      </c>
      <c r="H68" s="13">
        <v>0.2916666666666667</v>
      </c>
      <c r="I68" s="13">
        <v>0.37499999999999994</v>
      </c>
      <c r="J68" s="12">
        <v>1.1</v>
      </c>
      <c r="K68" s="12">
        <v>0.37</v>
      </c>
      <c r="L68" s="14">
        <v>44.0</v>
      </c>
      <c r="M68" s="14">
        <v>48.77</v>
      </c>
      <c r="N68" s="14">
        <v>291.35</v>
      </c>
      <c r="O68" s="14">
        <v>146.49</v>
      </c>
      <c r="P68" s="14">
        <v>87.95</v>
      </c>
      <c r="Q68" s="14">
        <v>123.71200000000002</v>
      </c>
      <c r="R68" s="14">
        <v>8.13</v>
      </c>
      <c r="S68" s="14">
        <v>7.8</v>
      </c>
      <c r="T68" s="14">
        <v>8.35</v>
      </c>
      <c r="U68" s="14">
        <v>8.28</v>
      </c>
      <c r="V68" s="14">
        <v>8.27</v>
      </c>
      <c r="W68" s="14">
        <v>8.166</v>
      </c>
      <c r="X68" s="14">
        <v>15.0</v>
      </c>
      <c r="Y68" s="14">
        <v>15.0</v>
      </c>
      <c r="Z68" s="14">
        <v>15.4</v>
      </c>
      <c r="AA68" s="14">
        <v>15.7</v>
      </c>
      <c r="AB68" s="14">
        <v>15.8</v>
      </c>
      <c r="AC68" s="14">
        <v>15.379999999999999</v>
      </c>
      <c r="AD68" s="14">
        <v>700.0</v>
      </c>
      <c r="AE68" s="14">
        <v>790.0</v>
      </c>
      <c r="AF68" s="14">
        <v>693.0</v>
      </c>
      <c r="AG68" s="14">
        <v>457.0</v>
      </c>
      <c r="AH68" s="14">
        <v>475.0</v>
      </c>
      <c r="AI68" s="14">
        <v>623.0</v>
      </c>
      <c r="AJ68" s="14">
        <v>6.57</v>
      </c>
      <c r="AK68" s="14">
        <v>6.23</v>
      </c>
      <c r="AL68" s="14">
        <v>6.67</v>
      </c>
      <c r="AM68" s="14">
        <v>6.74</v>
      </c>
      <c r="AN68" s="14">
        <v>6.68</v>
      </c>
      <c r="AO68" s="14">
        <v>6.578</v>
      </c>
      <c r="AP68" s="14">
        <v>186.0</v>
      </c>
      <c r="AQ68" s="14">
        <v>286.0</v>
      </c>
      <c r="AR68" s="14">
        <v>450.0</v>
      </c>
      <c r="AS68" s="14">
        <v>9.64</v>
      </c>
      <c r="AT68" s="14">
        <v>1.62</v>
      </c>
      <c r="AU68" s="14">
        <v>1.551E7</v>
      </c>
      <c r="AV68" s="15">
        <v>1.25</v>
      </c>
      <c r="AW68" s="15">
        <v>38.9</v>
      </c>
      <c r="AX68" s="15">
        <v>8400000.0</v>
      </c>
      <c r="AY68" s="14">
        <v>0.1</v>
      </c>
      <c r="AZ68" s="14">
        <v>0.039</v>
      </c>
      <c r="BA68" s="14">
        <v>39.039</v>
      </c>
    </row>
    <row r="69" ht="14.25" customHeight="1">
      <c r="A69" s="10">
        <v>152272.0</v>
      </c>
      <c r="B69" s="11" t="s">
        <v>97</v>
      </c>
      <c r="C69" s="11"/>
      <c r="D69" s="12"/>
      <c r="E69" s="11">
        <v>42313.0</v>
      </c>
      <c r="F69" s="12">
        <v>1.0</v>
      </c>
      <c r="G69" s="12" t="s">
        <v>154</v>
      </c>
      <c r="H69" s="13">
        <v>0.3020833333333333</v>
      </c>
      <c r="I69" s="13">
        <v>0.3854166666666666</v>
      </c>
      <c r="J69" s="12">
        <v>0.58</v>
      </c>
      <c r="K69" s="12">
        <v>0.06</v>
      </c>
      <c r="L69" s="14">
        <v>3.3</v>
      </c>
      <c r="M69" s="14">
        <v>4.34</v>
      </c>
      <c r="N69" s="14">
        <v>4.36</v>
      </c>
      <c r="O69" s="14">
        <v>3.83</v>
      </c>
      <c r="P69" s="14">
        <v>3.67</v>
      </c>
      <c r="Q69" s="14">
        <v>3.9</v>
      </c>
      <c r="R69" s="14">
        <v>8.1</v>
      </c>
      <c r="S69" s="14">
        <v>7.97</v>
      </c>
      <c r="T69" s="14">
        <v>8.22</v>
      </c>
      <c r="U69" s="14">
        <v>8.4</v>
      </c>
      <c r="V69" s="14">
        <v>8.36</v>
      </c>
      <c r="W69" s="14">
        <v>8.209999999999999</v>
      </c>
      <c r="X69" s="14">
        <v>15.3</v>
      </c>
      <c r="Y69" s="14">
        <v>15.3</v>
      </c>
      <c r="Z69" s="14">
        <v>15.3</v>
      </c>
      <c r="AA69" s="14">
        <v>16.2</v>
      </c>
      <c r="AB69" s="14">
        <v>16.5</v>
      </c>
      <c r="AC69" s="14">
        <v>15.720000000000002</v>
      </c>
      <c r="AD69" s="14">
        <v>168.6</v>
      </c>
      <c r="AE69" s="14">
        <v>260.0</v>
      </c>
      <c r="AF69" s="14">
        <v>448.0</v>
      </c>
      <c r="AG69" s="14">
        <v>438.0</v>
      </c>
      <c r="AH69" s="14">
        <v>438.0</v>
      </c>
      <c r="AI69" s="14">
        <v>350.52</v>
      </c>
      <c r="AJ69" s="14">
        <v>6.85</v>
      </c>
      <c r="AK69" s="14">
        <v>6.58</v>
      </c>
      <c r="AL69" s="14">
        <v>7.05</v>
      </c>
      <c r="AM69" s="14">
        <v>7.4</v>
      </c>
      <c r="AN69" s="14">
        <v>7.44</v>
      </c>
      <c r="AO69" s="14">
        <v>7.064</v>
      </c>
      <c r="AP69" s="14">
        <v>33.0</v>
      </c>
      <c r="AQ69" s="14">
        <v>65.0</v>
      </c>
      <c r="AR69" s="14">
        <v>21.0</v>
      </c>
      <c r="AS69" s="14">
        <v>1.36</v>
      </c>
      <c r="AT69" s="14">
        <v>1.29</v>
      </c>
      <c r="AU69" s="14">
        <v>3.169E7</v>
      </c>
      <c r="AV69" s="15">
        <v>1.31</v>
      </c>
      <c r="AW69" s="15">
        <v>26.9</v>
      </c>
      <c r="AX69" s="15">
        <v>1.7E7</v>
      </c>
      <c r="AY69" s="14">
        <v>0.536</v>
      </c>
      <c r="AZ69" s="14">
        <v>0.012</v>
      </c>
      <c r="BA69" s="14">
        <v>27.448</v>
      </c>
    </row>
    <row r="70" ht="14.25" customHeight="1">
      <c r="A70" s="10">
        <v>152550.0</v>
      </c>
      <c r="B70" s="11" t="s">
        <v>145</v>
      </c>
      <c r="C70" s="11"/>
      <c r="D70" s="12"/>
      <c r="E70" s="11">
        <v>42315.0</v>
      </c>
      <c r="F70" s="12">
        <v>1.0</v>
      </c>
      <c r="G70" s="12" t="s">
        <v>155</v>
      </c>
      <c r="H70" s="13">
        <v>0.4166666666666667</v>
      </c>
      <c r="I70" s="13">
        <v>0.49999999999999994</v>
      </c>
      <c r="J70" s="12" t="s">
        <v>147</v>
      </c>
      <c r="K70" s="12" t="s">
        <v>147</v>
      </c>
      <c r="L70" s="14">
        <v>3.6</v>
      </c>
      <c r="M70" s="14">
        <v>4.58</v>
      </c>
      <c r="N70" s="14">
        <v>4.28</v>
      </c>
      <c r="O70" s="14">
        <v>3.84</v>
      </c>
      <c r="P70" s="14">
        <v>3.85</v>
      </c>
      <c r="Q70" s="14">
        <v>4.03</v>
      </c>
      <c r="R70" s="14">
        <v>8.19</v>
      </c>
      <c r="S70" s="14">
        <v>8.36</v>
      </c>
      <c r="T70" s="14">
        <v>8.62</v>
      </c>
      <c r="U70" s="14">
        <v>8.57</v>
      </c>
      <c r="V70" s="14">
        <v>8.62</v>
      </c>
      <c r="W70" s="14">
        <v>8.471999999999998</v>
      </c>
      <c r="X70" s="14">
        <v>16.2</v>
      </c>
      <c r="Y70" s="14">
        <v>16.4</v>
      </c>
      <c r="Z70" s="14">
        <v>16.6</v>
      </c>
      <c r="AA70" s="14">
        <v>16.5</v>
      </c>
      <c r="AB70" s="14">
        <v>16.9</v>
      </c>
      <c r="AC70" s="14">
        <v>16.52</v>
      </c>
      <c r="AD70" s="14">
        <v>829.0</v>
      </c>
      <c r="AE70" s="14">
        <v>765.0</v>
      </c>
      <c r="AF70" s="14">
        <v>842.0</v>
      </c>
      <c r="AG70" s="14">
        <v>812.0</v>
      </c>
      <c r="AH70" s="14">
        <v>770.0</v>
      </c>
      <c r="AI70" s="14">
        <v>803.6</v>
      </c>
      <c r="AJ70" s="14">
        <v>6.07</v>
      </c>
      <c r="AK70" s="14">
        <v>6.07</v>
      </c>
      <c r="AL70" s="14">
        <v>5.01</v>
      </c>
      <c r="AM70" s="14">
        <v>5.58</v>
      </c>
      <c r="AN70" s="14">
        <v>5.38</v>
      </c>
      <c r="AO70" s="14">
        <v>5.621999999999999</v>
      </c>
      <c r="AP70" s="14">
        <v>554.0</v>
      </c>
      <c r="AQ70" s="14">
        <v>792.0</v>
      </c>
      <c r="AR70" s="14">
        <v>342.0</v>
      </c>
      <c r="AS70" s="14">
        <v>52.9</v>
      </c>
      <c r="AT70" s="14">
        <v>4.92</v>
      </c>
      <c r="AU70" s="14">
        <v>9.665E7</v>
      </c>
      <c r="AV70" s="15">
        <v>1.8</v>
      </c>
      <c r="AW70" s="15">
        <v>9.0</v>
      </c>
      <c r="AX70" s="15">
        <v>1.15E7</v>
      </c>
      <c r="AY70" s="14">
        <v>1.15</v>
      </c>
      <c r="AZ70" s="14">
        <v>0.213</v>
      </c>
      <c r="BA70" s="14">
        <v>10.363</v>
      </c>
    </row>
    <row r="71" ht="14.25" customHeight="1">
      <c r="A71" s="10">
        <v>155757.0</v>
      </c>
      <c r="B71" s="11" t="s">
        <v>102</v>
      </c>
      <c r="C71" s="11"/>
      <c r="D71" s="12"/>
      <c r="E71" s="11">
        <v>42327.0</v>
      </c>
      <c r="F71" s="12">
        <v>1.0</v>
      </c>
      <c r="G71" s="12" t="s">
        <v>156</v>
      </c>
      <c r="H71" s="13">
        <v>0.3645833333333333</v>
      </c>
      <c r="I71" s="13">
        <v>0.4479166666666666</v>
      </c>
      <c r="J71" s="12">
        <v>1.7</v>
      </c>
      <c r="K71" s="12">
        <v>0.09</v>
      </c>
      <c r="L71" s="14">
        <v>46.9</v>
      </c>
      <c r="M71" s="14">
        <v>47.2</v>
      </c>
      <c r="N71" s="14">
        <v>44.5</v>
      </c>
      <c r="O71" s="14">
        <v>43.4</v>
      </c>
      <c r="P71" s="14">
        <v>38.1</v>
      </c>
      <c r="Q71" s="14">
        <v>44.019999999999996</v>
      </c>
      <c r="R71" s="14">
        <v>8.39</v>
      </c>
      <c r="S71" s="14">
        <v>8.23</v>
      </c>
      <c r="T71" s="14">
        <v>8.19</v>
      </c>
      <c r="U71" s="14">
        <v>8.28</v>
      </c>
      <c r="V71" s="14">
        <v>8.3</v>
      </c>
      <c r="W71" s="14">
        <v>8.278</v>
      </c>
      <c r="X71" s="14">
        <v>16.4</v>
      </c>
      <c r="Y71" s="14">
        <v>16.1</v>
      </c>
      <c r="Z71" s="14">
        <v>16.7</v>
      </c>
      <c r="AA71" s="14">
        <v>16.4</v>
      </c>
      <c r="AB71" s="14">
        <v>16.2</v>
      </c>
      <c r="AC71" s="14">
        <v>16.36</v>
      </c>
      <c r="AD71" s="14">
        <v>318.0</v>
      </c>
      <c r="AE71" s="14">
        <v>317.0</v>
      </c>
      <c r="AF71" s="14">
        <v>333.0</v>
      </c>
      <c r="AG71" s="14">
        <v>373.0</v>
      </c>
      <c r="AH71" s="14">
        <v>375.0</v>
      </c>
      <c r="AI71" s="14">
        <v>343.2</v>
      </c>
      <c r="AJ71" s="14">
        <v>5.98</v>
      </c>
      <c r="AK71" s="14">
        <v>6.04</v>
      </c>
      <c r="AL71" s="14">
        <v>6.08</v>
      </c>
      <c r="AM71" s="14">
        <v>5.67</v>
      </c>
      <c r="AN71" s="14">
        <v>6.07</v>
      </c>
      <c r="AO71" s="14">
        <v>5.968000000000001</v>
      </c>
      <c r="AP71" s="14">
        <v>55.0</v>
      </c>
      <c r="AQ71" s="14">
        <v>92.0</v>
      </c>
      <c r="AR71" s="14">
        <v>37.0</v>
      </c>
      <c r="AS71" s="14">
        <v>4.68</v>
      </c>
      <c r="AT71" s="14">
        <v>0.655</v>
      </c>
      <c r="AU71" s="14">
        <v>8664.0</v>
      </c>
      <c r="AV71" s="15">
        <v>1.12</v>
      </c>
      <c r="AW71" s="15">
        <v>27.7</v>
      </c>
      <c r="AX71" s="15">
        <v>3500.0</v>
      </c>
      <c r="AY71" s="14">
        <v>0.2</v>
      </c>
      <c r="AZ71" s="14">
        <v>0.028</v>
      </c>
      <c r="BA71" s="14">
        <v>27.927999999999997</v>
      </c>
    </row>
    <row r="72" ht="14.25" customHeight="1">
      <c r="A72" s="10">
        <v>155758.0</v>
      </c>
      <c r="B72" s="11" t="s">
        <v>100</v>
      </c>
      <c r="C72" s="11"/>
      <c r="D72" s="12"/>
      <c r="E72" s="11">
        <v>42327.0</v>
      </c>
      <c r="F72" s="12">
        <v>1.0</v>
      </c>
      <c r="G72" s="12" t="s">
        <v>157</v>
      </c>
      <c r="H72" s="13">
        <v>0.642361111111111</v>
      </c>
      <c r="I72" s="13">
        <v>0.7256944444444441</v>
      </c>
      <c r="J72" s="12">
        <v>0.78</v>
      </c>
      <c r="K72" s="12">
        <v>0.78</v>
      </c>
      <c r="L72" s="14">
        <v>90.8</v>
      </c>
      <c r="M72" s="14">
        <v>75.1</v>
      </c>
      <c r="N72" s="14">
        <v>81.4</v>
      </c>
      <c r="O72" s="14">
        <v>67.0</v>
      </c>
      <c r="P72" s="14">
        <v>53.5</v>
      </c>
      <c r="Q72" s="14">
        <v>73.55999999999999</v>
      </c>
      <c r="R72" s="14">
        <v>8.24</v>
      </c>
      <c r="S72" s="14">
        <v>8.33</v>
      </c>
      <c r="T72" s="14">
        <v>8.42</v>
      </c>
      <c r="U72" s="14">
        <v>8.49</v>
      </c>
      <c r="V72" s="14">
        <v>8.54</v>
      </c>
      <c r="W72" s="14">
        <v>8.404</v>
      </c>
      <c r="X72" s="14">
        <v>14.8</v>
      </c>
      <c r="Y72" s="14">
        <v>14.9</v>
      </c>
      <c r="Z72" s="14">
        <v>15.0</v>
      </c>
      <c r="AA72" s="14">
        <v>14.8</v>
      </c>
      <c r="AB72" s="14">
        <v>14.8</v>
      </c>
      <c r="AC72" s="14">
        <v>14.86</v>
      </c>
      <c r="AD72" s="14">
        <v>274.0</v>
      </c>
      <c r="AE72" s="14">
        <v>267.0</v>
      </c>
      <c r="AF72" s="14">
        <v>263.0</v>
      </c>
      <c r="AG72" s="14">
        <v>263.0</v>
      </c>
      <c r="AH72" s="14">
        <v>264.0</v>
      </c>
      <c r="AI72" s="14">
        <v>266.2</v>
      </c>
      <c r="AJ72" s="14">
        <v>6.45</v>
      </c>
      <c r="AK72" s="14">
        <v>6.59</v>
      </c>
      <c r="AL72" s="14">
        <v>6.61</v>
      </c>
      <c r="AM72" s="14">
        <v>6.59</v>
      </c>
      <c r="AN72" s="14">
        <v>6.77</v>
      </c>
      <c r="AO72" s="14">
        <v>6.601999999999999</v>
      </c>
      <c r="AP72" s="14">
        <v>370.0</v>
      </c>
      <c r="AQ72" s="14">
        <v>552.0</v>
      </c>
      <c r="AR72" s="14">
        <v>4000.0</v>
      </c>
      <c r="AS72" s="14">
        <v>3.3</v>
      </c>
      <c r="AT72" s="14">
        <v>1.22</v>
      </c>
      <c r="AU72" s="14">
        <v>2279000.0</v>
      </c>
      <c r="AV72" s="15">
        <v>5.19</v>
      </c>
      <c r="AW72" s="15">
        <v>1.3</v>
      </c>
      <c r="AX72" s="15">
        <v>630000.0</v>
      </c>
      <c r="AY72" s="14">
        <v>0.834</v>
      </c>
      <c r="AZ72" s="14">
        <v>0.021</v>
      </c>
      <c r="BA72" s="14">
        <v>2.155</v>
      </c>
    </row>
    <row r="73" ht="14.25" customHeight="1">
      <c r="A73" s="10">
        <v>143486.0</v>
      </c>
      <c r="B73" s="11" t="s">
        <v>114</v>
      </c>
      <c r="C73" s="11"/>
      <c r="D73" s="12"/>
      <c r="E73" s="11">
        <v>42300.0</v>
      </c>
      <c r="F73" s="12">
        <v>1.0</v>
      </c>
      <c r="G73" s="12" t="s">
        <v>158</v>
      </c>
      <c r="H73" s="13">
        <v>0.5416666666666666</v>
      </c>
      <c r="I73" s="13">
        <v>0.6249999999999997</v>
      </c>
      <c r="J73" s="12">
        <v>2.8</v>
      </c>
      <c r="K73" s="12">
        <v>0.07</v>
      </c>
      <c r="L73" s="14">
        <v>15.1</v>
      </c>
      <c r="M73" s="14">
        <v>12.2</v>
      </c>
      <c r="N73" s="14">
        <v>10.5</v>
      </c>
      <c r="O73" s="14">
        <v>9.5</v>
      </c>
      <c r="P73" s="14">
        <v>10.5</v>
      </c>
      <c r="Q73" s="14">
        <v>11.559999999999999</v>
      </c>
      <c r="R73" s="14">
        <v>7.9</v>
      </c>
      <c r="S73" s="14">
        <v>7.59</v>
      </c>
      <c r="T73" s="14">
        <v>7.63</v>
      </c>
      <c r="U73" s="14">
        <v>7.57</v>
      </c>
      <c r="V73" s="14">
        <v>7.57</v>
      </c>
      <c r="W73" s="14">
        <v>7.652000000000001</v>
      </c>
      <c r="X73" s="14">
        <v>21.7</v>
      </c>
      <c r="Y73" s="14">
        <v>19.9</v>
      </c>
      <c r="Z73" s="14">
        <v>20.5</v>
      </c>
      <c r="AA73" s="14">
        <v>20.4</v>
      </c>
      <c r="AB73" s="14">
        <v>19.18</v>
      </c>
      <c r="AC73" s="14">
        <v>20.336000000000002</v>
      </c>
      <c r="AD73" s="14">
        <v>481.0</v>
      </c>
      <c r="AE73" s="14">
        <v>419.0</v>
      </c>
      <c r="AF73" s="14">
        <v>397.0</v>
      </c>
      <c r="AG73" s="14">
        <v>526.0</v>
      </c>
      <c r="AH73" s="14">
        <v>562.0</v>
      </c>
      <c r="AI73" s="14">
        <v>477.0</v>
      </c>
      <c r="AJ73" s="14">
        <v>1.59</v>
      </c>
      <c r="AK73" s="14">
        <v>1.33</v>
      </c>
      <c r="AL73" s="14">
        <v>1.49</v>
      </c>
      <c r="AM73" s="14">
        <v>1.07</v>
      </c>
      <c r="AN73" s="14">
        <v>0.94</v>
      </c>
      <c r="AO73" s="14">
        <v>1.284</v>
      </c>
      <c r="AP73" s="14">
        <v>68.0</v>
      </c>
      <c r="AQ73" s="14">
        <v>114.0</v>
      </c>
      <c r="AR73" s="14">
        <v>16.0</v>
      </c>
      <c r="AS73" s="14">
        <v>8.05</v>
      </c>
      <c r="AT73" s="14">
        <v>3.05</v>
      </c>
      <c r="AU73" s="14">
        <v>1.092E7</v>
      </c>
      <c r="AV73" s="15">
        <v>2.62</v>
      </c>
      <c r="AW73" s="15">
        <v>21.14</v>
      </c>
      <c r="AX73" s="15">
        <v>1700000.0</v>
      </c>
      <c r="AY73" s="14">
        <v>0.668</v>
      </c>
      <c r="AZ73" s="14">
        <v>0.228</v>
      </c>
      <c r="BA73" s="14">
        <v>22.036</v>
      </c>
    </row>
    <row r="74" ht="14.25" customHeight="1">
      <c r="A74" s="10" t="s">
        <v>159</v>
      </c>
      <c r="B74" s="11" t="s">
        <v>114</v>
      </c>
      <c r="C74" s="11"/>
      <c r="D74" s="12"/>
      <c r="E74" s="11">
        <v>42920.0</v>
      </c>
      <c r="F74" s="12">
        <v>1.0</v>
      </c>
      <c r="G74" s="12"/>
      <c r="H74" s="13">
        <v>0.3541666666666667</v>
      </c>
      <c r="I74" s="13">
        <v>0.43749999999999994</v>
      </c>
      <c r="J74" s="12">
        <v>3.8</v>
      </c>
      <c r="K74" s="12">
        <v>0.09</v>
      </c>
      <c r="L74" s="14">
        <v>18.8</v>
      </c>
      <c r="M74" s="14">
        <v>21.2</v>
      </c>
      <c r="N74" s="14">
        <v>21.9</v>
      </c>
      <c r="O74" s="14">
        <v>23.0</v>
      </c>
      <c r="P74" s="14">
        <v>23.7</v>
      </c>
      <c r="Q74" s="14">
        <v>21.720000000000002</v>
      </c>
      <c r="R74" s="14">
        <v>7.29</v>
      </c>
      <c r="S74" s="14">
        <v>7.27</v>
      </c>
      <c r="T74" s="14">
        <v>7.21</v>
      </c>
      <c r="U74" s="14">
        <v>7.16</v>
      </c>
      <c r="V74" s="14">
        <v>7.09</v>
      </c>
      <c r="W74" s="14">
        <v>7.203999999999999</v>
      </c>
      <c r="X74" s="14">
        <v>19.2</v>
      </c>
      <c r="Y74" s="14">
        <v>18.4</v>
      </c>
      <c r="Z74" s="14">
        <v>18.7</v>
      </c>
      <c r="AA74" s="14">
        <v>19.0</v>
      </c>
      <c r="AB74" s="14">
        <v>18.7</v>
      </c>
      <c r="AC74" s="14">
        <v>18.8</v>
      </c>
      <c r="AD74" s="14">
        <v>362.0</v>
      </c>
      <c r="AE74" s="14">
        <v>356.0</v>
      </c>
      <c r="AF74" s="14">
        <v>381.0</v>
      </c>
      <c r="AG74" s="14">
        <v>389.0</v>
      </c>
      <c r="AH74" s="14">
        <v>405.0</v>
      </c>
      <c r="AI74" s="14">
        <v>378.6</v>
      </c>
      <c r="AJ74" s="14">
        <v>4.46</v>
      </c>
      <c r="AK74" s="14">
        <v>4.36</v>
      </c>
      <c r="AL74" s="14">
        <v>3.46</v>
      </c>
      <c r="AM74" s="14">
        <v>3.81</v>
      </c>
      <c r="AN74" s="14">
        <v>3.24</v>
      </c>
      <c r="AO74" s="14">
        <v>3.8659999999999997</v>
      </c>
      <c r="AP74" s="14">
        <v>39.4</v>
      </c>
      <c r="AQ74" s="14">
        <v>92.0</v>
      </c>
      <c r="AR74" s="14">
        <v>30.0</v>
      </c>
      <c r="AS74" s="14">
        <v>17.0</v>
      </c>
      <c r="AT74" s="14">
        <v>0.71</v>
      </c>
      <c r="AU74" s="14">
        <v>2.4E7</v>
      </c>
      <c r="AV74" s="15">
        <v>1.494</v>
      </c>
      <c r="AW74" s="15">
        <v>15.9</v>
      </c>
      <c r="AX74" s="15">
        <v>2600000.0</v>
      </c>
      <c r="AY74" s="14">
        <v>0.555</v>
      </c>
      <c r="AZ74" s="14">
        <v>0.288</v>
      </c>
      <c r="BA74" s="14">
        <v>16.743</v>
      </c>
    </row>
    <row r="75" ht="14.25" customHeight="1">
      <c r="A75" s="10" t="s">
        <v>160</v>
      </c>
      <c r="B75" s="11" t="s">
        <v>89</v>
      </c>
      <c r="C75" s="11"/>
      <c r="D75" s="12"/>
      <c r="E75" s="11">
        <v>42920.0</v>
      </c>
      <c r="F75" s="12">
        <v>1.0</v>
      </c>
      <c r="G75" s="12"/>
      <c r="H75" s="13">
        <v>0.375</v>
      </c>
      <c r="I75" s="13">
        <v>0.45833333333333326</v>
      </c>
      <c r="J75" s="12">
        <v>3.0</v>
      </c>
      <c r="K75" s="12">
        <v>0.09</v>
      </c>
      <c r="L75" s="14">
        <v>65.9</v>
      </c>
      <c r="M75" s="14">
        <v>64.9</v>
      </c>
      <c r="N75" s="14">
        <v>67.9</v>
      </c>
      <c r="O75" s="14">
        <v>66.7</v>
      </c>
      <c r="P75" s="14">
        <v>61.4</v>
      </c>
      <c r="Q75" s="14">
        <v>65.36</v>
      </c>
      <c r="R75" s="14">
        <v>7.6</v>
      </c>
      <c r="S75" s="14">
        <v>7.69</v>
      </c>
      <c r="T75" s="14">
        <v>7.91</v>
      </c>
      <c r="U75" s="14">
        <v>8.12</v>
      </c>
      <c r="V75" s="14">
        <v>8.17</v>
      </c>
      <c r="W75" s="14">
        <v>7.898000000000001</v>
      </c>
      <c r="X75" s="14">
        <v>18.1</v>
      </c>
      <c r="Y75" s="14">
        <v>18.4</v>
      </c>
      <c r="Z75" s="14">
        <v>19.6</v>
      </c>
      <c r="AA75" s="14">
        <v>17.8</v>
      </c>
      <c r="AB75" s="14">
        <v>20.2</v>
      </c>
      <c r="AC75" s="14">
        <v>18.82</v>
      </c>
      <c r="AD75" s="14">
        <v>365.0</v>
      </c>
      <c r="AE75" s="14">
        <v>366.0</v>
      </c>
      <c r="AF75" s="14">
        <v>392.0</v>
      </c>
      <c r="AG75" s="14">
        <v>211.0</v>
      </c>
      <c r="AH75" s="14">
        <v>407.0</v>
      </c>
      <c r="AI75" s="14">
        <v>348.2</v>
      </c>
      <c r="AJ75" s="14" t="s">
        <v>161</v>
      </c>
      <c r="AK75" s="14" t="s">
        <v>161</v>
      </c>
      <c r="AL75" s="14">
        <v>8.4</v>
      </c>
      <c r="AM75" s="14" t="s">
        <v>161</v>
      </c>
      <c r="AN75" s="14" t="s">
        <v>161</v>
      </c>
      <c r="AO75" s="14">
        <v>8.4</v>
      </c>
      <c r="AP75" s="14">
        <v>10.9</v>
      </c>
      <c r="AQ75" s="14">
        <v>46.9</v>
      </c>
      <c r="AR75" s="14">
        <v>13.0</v>
      </c>
      <c r="AS75" s="14">
        <v>6.0</v>
      </c>
      <c r="AT75" s="14">
        <v>0.66</v>
      </c>
      <c r="AU75" s="14">
        <v>2400000.0</v>
      </c>
      <c r="AV75" s="15">
        <v>0.72</v>
      </c>
      <c r="AW75" s="15">
        <v>9.9</v>
      </c>
      <c r="AX75" s="15">
        <v>54000.0</v>
      </c>
      <c r="AY75" s="14">
        <v>0.815</v>
      </c>
      <c r="AZ75" s="14">
        <v>0.152</v>
      </c>
      <c r="BA75" s="14">
        <v>10.866999999999999</v>
      </c>
    </row>
    <row r="76" ht="14.25" customHeight="1">
      <c r="A76" s="10" t="s">
        <v>162</v>
      </c>
      <c r="B76" s="11" t="s">
        <v>81</v>
      </c>
      <c r="C76" s="11"/>
      <c r="D76" s="12"/>
      <c r="E76" s="11">
        <v>42920.0</v>
      </c>
      <c r="F76" s="12">
        <v>1.0</v>
      </c>
      <c r="G76" s="12"/>
      <c r="H76" s="13">
        <v>0.4791666666666667</v>
      </c>
      <c r="I76" s="13">
        <v>0.5624999999999998</v>
      </c>
      <c r="J76" s="12">
        <v>2.5</v>
      </c>
      <c r="K76" s="12">
        <v>0.1</v>
      </c>
      <c r="L76" s="14">
        <v>88.4</v>
      </c>
      <c r="M76" s="14">
        <v>83.1</v>
      </c>
      <c r="N76" s="14">
        <v>80.1</v>
      </c>
      <c r="O76" s="14">
        <v>85.6</v>
      </c>
      <c r="P76" s="14">
        <v>86.0</v>
      </c>
      <c r="Q76" s="14">
        <v>84.64</v>
      </c>
      <c r="R76" s="14">
        <v>9.15</v>
      </c>
      <c r="S76" s="14">
        <v>9.16</v>
      </c>
      <c r="T76" s="14">
        <v>9.15</v>
      </c>
      <c r="U76" s="14">
        <v>9.21</v>
      </c>
      <c r="V76" s="14">
        <v>9.19</v>
      </c>
      <c r="W76" s="14">
        <v>9.172</v>
      </c>
      <c r="X76" s="14">
        <v>24.0</v>
      </c>
      <c r="Y76" s="14">
        <v>24.8</v>
      </c>
      <c r="Z76" s="14">
        <v>25.4</v>
      </c>
      <c r="AA76" s="14">
        <v>26.1</v>
      </c>
      <c r="AB76" s="14">
        <v>25.6</v>
      </c>
      <c r="AC76" s="14">
        <v>25.179999999999996</v>
      </c>
      <c r="AD76" s="14">
        <v>383.0</v>
      </c>
      <c r="AE76" s="14">
        <v>391.0</v>
      </c>
      <c r="AF76" s="14">
        <v>402.0</v>
      </c>
      <c r="AG76" s="14">
        <v>404.0</v>
      </c>
      <c r="AH76" s="14">
        <v>400.0</v>
      </c>
      <c r="AI76" s="14">
        <v>396.0</v>
      </c>
      <c r="AJ76" s="14">
        <v>11.71</v>
      </c>
      <c r="AK76" s="14">
        <v>16.41</v>
      </c>
      <c r="AL76" s="14">
        <v>12.53</v>
      </c>
      <c r="AM76" s="14">
        <v>12.05</v>
      </c>
      <c r="AN76" s="14">
        <v>11.65</v>
      </c>
      <c r="AO76" s="14">
        <v>12.870000000000001</v>
      </c>
      <c r="AP76" s="14">
        <v>24.0</v>
      </c>
      <c r="AQ76" s="14">
        <v>58.4</v>
      </c>
      <c r="AR76" s="14">
        <v>61.4</v>
      </c>
      <c r="AS76" s="14">
        <v>12.0</v>
      </c>
      <c r="AT76" s="14">
        <v>0.95</v>
      </c>
      <c r="AU76" s="14">
        <v>6100000.0</v>
      </c>
      <c r="AV76" s="15">
        <v>4.383</v>
      </c>
      <c r="AW76" s="15">
        <v>11.3</v>
      </c>
      <c r="AX76" s="15">
        <v>11000.0</v>
      </c>
      <c r="AY76" s="14">
        <v>0.869</v>
      </c>
      <c r="AZ76" s="14">
        <v>0.146</v>
      </c>
      <c r="BA76" s="14">
        <v>12.315000000000001</v>
      </c>
    </row>
    <row r="77" ht="14.25" customHeight="1">
      <c r="A77" s="10" t="s">
        <v>163</v>
      </c>
      <c r="B77" s="11" t="s">
        <v>87</v>
      </c>
      <c r="C77" s="11"/>
      <c r="D77" s="12"/>
      <c r="E77" s="11">
        <v>42920.0</v>
      </c>
      <c r="F77" s="12">
        <v>1.0</v>
      </c>
      <c r="G77" s="12"/>
      <c r="H77" s="13">
        <v>0.5</v>
      </c>
      <c r="I77" s="13">
        <v>0.583333333333333</v>
      </c>
      <c r="J77" s="12">
        <v>11.0</v>
      </c>
      <c r="K77" s="12">
        <v>0.53</v>
      </c>
      <c r="L77" s="14">
        <v>659.4</v>
      </c>
      <c r="M77" s="14">
        <v>590.2</v>
      </c>
      <c r="N77" s="14">
        <v>581.7</v>
      </c>
      <c r="O77" s="14">
        <v>546.2</v>
      </c>
      <c r="P77" s="14">
        <v>535.0</v>
      </c>
      <c r="Q77" s="14">
        <v>582.5</v>
      </c>
      <c r="R77" s="14">
        <v>7.03</v>
      </c>
      <c r="S77" s="14">
        <v>7.49</v>
      </c>
      <c r="T77" s="14">
        <v>7.51</v>
      </c>
      <c r="U77" s="14">
        <v>7.32</v>
      </c>
      <c r="V77" s="14">
        <v>7.26</v>
      </c>
      <c r="W77" s="14">
        <v>7.322</v>
      </c>
      <c r="X77" s="14">
        <v>17.9</v>
      </c>
      <c r="Y77" s="14">
        <v>16.8</v>
      </c>
      <c r="Z77" s="14">
        <v>17.0</v>
      </c>
      <c r="AA77" s="14">
        <v>18.1</v>
      </c>
      <c r="AB77" s="14">
        <v>17.8</v>
      </c>
      <c r="AC77" s="14">
        <v>17.520000000000003</v>
      </c>
      <c r="AD77" s="14">
        <v>441.0</v>
      </c>
      <c r="AE77" s="14">
        <v>437.0</v>
      </c>
      <c r="AF77" s="14">
        <v>433.0</v>
      </c>
      <c r="AG77" s="14">
        <v>416.0</v>
      </c>
      <c r="AH77" s="14">
        <v>407.0</v>
      </c>
      <c r="AI77" s="14">
        <v>426.8</v>
      </c>
      <c r="AJ77" s="14" t="s">
        <v>161</v>
      </c>
      <c r="AK77" s="14" t="s">
        <v>161</v>
      </c>
      <c r="AL77" s="14" t="s">
        <v>161</v>
      </c>
      <c r="AM77" s="14" t="s">
        <v>161</v>
      </c>
      <c r="AN77" s="14" t="s">
        <v>161</v>
      </c>
      <c r="AO77" s="14" t="s">
        <v>161</v>
      </c>
      <c r="AP77" s="14">
        <v>40.6</v>
      </c>
      <c r="AQ77" s="14">
        <v>201.836</v>
      </c>
      <c r="AR77" s="14">
        <v>33.0</v>
      </c>
      <c r="AS77" s="14">
        <v>15.0</v>
      </c>
      <c r="AT77" s="14">
        <v>1.27</v>
      </c>
      <c r="AU77" s="14">
        <v>3.9E7</v>
      </c>
      <c r="AV77" s="15">
        <v>2.471</v>
      </c>
      <c r="AW77" s="15">
        <v>20.0</v>
      </c>
      <c r="AX77" s="15">
        <v>230000.0</v>
      </c>
      <c r="AY77" s="14">
        <v>0.612</v>
      </c>
      <c r="AZ77" s="14">
        <v>0.01</v>
      </c>
      <c r="BA77" s="14">
        <v>20.622</v>
      </c>
    </row>
    <row r="78" ht="14.25" customHeight="1">
      <c r="A78" s="10" t="s">
        <v>164</v>
      </c>
      <c r="B78" s="11" t="s">
        <v>74</v>
      </c>
      <c r="C78" s="11"/>
      <c r="D78" s="12"/>
      <c r="E78" s="11">
        <v>42920.0</v>
      </c>
      <c r="F78" s="12">
        <v>1.0</v>
      </c>
      <c r="G78" s="12"/>
      <c r="H78" s="13">
        <v>0.3125</v>
      </c>
      <c r="I78" s="13">
        <v>0.39583333333333326</v>
      </c>
      <c r="J78" s="12">
        <v>1.3</v>
      </c>
      <c r="K78" s="12">
        <v>0.11</v>
      </c>
      <c r="L78" s="14">
        <v>15.4</v>
      </c>
      <c r="M78" s="14">
        <v>15.2</v>
      </c>
      <c r="N78" s="14">
        <v>17.2</v>
      </c>
      <c r="O78" s="14">
        <v>17.7</v>
      </c>
      <c r="P78" s="14">
        <v>16.8</v>
      </c>
      <c r="Q78" s="14">
        <v>16.46</v>
      </c>
      <c r="R78" s="14">
        <v>7.24</v>
      </c>
      <c r="S78" s="14">
        <v>7.56</v>
      </c>
      <c r="T78" s="14">
        <v>7.67</v>
      </c>
      <c r="U78" s="14">
        <v>7.64</v>
      </c>
      <c r="V78" s="14">
        <v>7.63</v>
      </c>
      <c r="W78" s="14">
        <v>7.548</v>
      </c>
      <c r="X78" s="14">
        <v>11.7</v>
      </c>
      <c r="Y78" s="14">
        <v>11.6</v>
      </c>
      <c r="Z78" s="14">
        <v>11.6</v>
      </c>
      <c r="AA78" s="14">
        <v>11.9</v>
      </c>
      <c r="AB78" s="14">
        <v>11.8</v>
      </c>
      <c r="AC78" s="14">
        <v>11.719999999999999</v>
      </c>
      <c r="AD78" s="14">
        <v>151.2</v>
      </c>
      <c r="AE78" s="14">
        <v>147.2</v>
      </c>
      <c r="AF78" s="14">
        <v>142.9</v>
      </c>
      <c r="AG78" s="14">
        <v>140.9</v>
      </c>
      <c r="AH78" s="14">
        <v>139.4</v>
      </c>
      <c r="AI78" s="14">
        <v>144.32</v>
      </c>
      <c r="AJ78" s="14">
        <v>6.59</v>
      </c>
      <c r="AK78" s="14">
        <v>6.81</v>
      </c>
      <c r="AL78" s="14">
        <v>7.02</v>
      </c>
      <c r="AM78" s="14">
        <v>6.94</v>
      </c>
      <c r="AN78" s="14">
        <v>7.34</v>
      </c>
      <c r="AO78" s="14">
        <v>6.94</v>
      </c>
      <c r="AP78" s="14">
        <v>2.2</v>
      </c>
      <c r="AQ78" s="14">
        <v>15.7</v>
      </c>
      <c r="AR78" s="14">
        <v>12.5</v>
      </c>
      <c r="AS78" s="14">
        <v>11.0</v>
      </c>
      <c r="AT78" s="14">
        <v>0.4</v>
      </c>
      <c r="AU78" s="14">
        <v>770000.0</v>
      </c>
      <c r="AV78" s="15">
        <v>0.112</v>
      </c>
      <c r="AW78" s="15">
        <v>1.1</v>
      </c>
      <c r="AX78" s="15">
        <v>210000.0</v>
      </c>
      <c r="AY78" s="14">
        <v>2.791</v>
      </c>
      <c r="AZ78" s="14">
        <v>0.073</v>
      </c>
      <c r="BA78" s="14">
        <v>3.964</v>
      </c>
    </row>
    <row r="79" ht="14.25" customHeight="1">
      <c r="A79" s="10" t="s">
        <v>165</v>
      </c>
      <c r="B79" s="11" t="s">
        <v>102</v>
      </c>
      <c r="C79" s="11"/>
      <c r="D79" s="12"/>
      <c r="E79" s="11">
        <v>42920.0</v>
      </c>
      <c r="F79" s="12">
        <v>1.0</v>
      </c>
      <c r="G79" s="12"/>
      <c r="H79" s="13">
        <v>0.40625</v>
      </c>
      <c r="I79" s="13">
        <v>0.48958333333333326</v>
      </c>
      <c r="J79" s="12">
        <v>2.0</v>
      </c>
      <c r="K79" s="12">
        <v>0.08</v>
      </c>
      <c r="L79" s="14">
        <v>44.0</v>
      </c>
      <c r="M79" s="14">
        <v>48.8</v>
      </c>
      <c r="N79" s="14">
        <v>44.0</v>
      </c>
      <c r="O79" s="14">
        <v>46.9</v>
      </c>
      <c r="P79" s="14">
        <v>48.6</v>
      </c>
      <c r="Q79" s="14">
        <v>46.46</v>
      </c>
      <c r="R79" s="14">
        <v>8.08</v>
      </c>
      <c r="S79" s="14">
        <v>8.14</v>
      </c>
      <c r="T79" s="14">
        <v>8.12</v>
      </c>
      <c r="U79" s="14">
        <v>8.08</v>
      </c>
      <c r="V79" s="14">
        <v>8.04</v>
      </c>
      <c r="W79" s="14">
        <v>8.091999999999999</v>
      </c>
      <c r="X79" s="14">
        <v>14.0</v>
      </c>
      <c r="Y79" s="14">
        <v>14.3</v>
      </c>
      <c r="Z79" s="14">
        <v>14.2</v>
      </c>
      <c r="AA79" s="14">
        <v>14.4</v>
      </c>
      <c r="AB79" s="14">
        <v>14.3</v>
      </c>
      <c r="AC79" s="14">
        <v>14.24</v>
      </c>
      <c r="AD79" s="14">
        <v>365.0</v>
      </c>
      <c r="AE79" s="14">
        <v>366.0</v>
      </c>
      <c r="AF79" s="14">
        <v>360.0</v>
      </c>
      <c r="AG79" s="14">
        <v>348.0</v>
      </c>
      <c r="AH79" s="14">
        <v>347.0</v>
      </c>
      <c r="AI79" s="14">
        <v>357.2</v>
      </c>
      <c r="AJ79" s="14">
        <v>6.35</v>
      </c>
      <c r="AK79" s="14">
        <v>6.37</v>
      </c>
      <c r="AL79" s="14">
        <v>6.54</v>
      </c>
      <c r="AM79" s="14">
        <v>6.69</v>
      </c>
      <c r="AN79" s="14">
        <v>6.72</v>
      </c>
      <c r="AO79" s="14">
        <v>6.534000000000001</v>
      </c>
      <c r="AP79" s="14">
        <v>13.3</v>
      </c>
      <c r="AQ79" s="14">
        <v>245.0</v>
      </c>
      <c r="AR79" s="14">
        <v>8.0</v>
      </c>
      <c r="AS79" s="14">
        <v>7.0</v>
      </c>
      <c r="AT79" s="14">
        <v>0.4</v>
      </c>
      <c r="AU79" s="14">
        <v>2400000.0</v>
      </c>
      <c r="AV79" s="15">
        <v>1.927</v>
      </c>
      <c r="AW79" s="15">
        <v>20.5</v>
      </c>
      <c r="AX79" s="15">
        <v>1600000.0</v>
      </c>
      <c r="AY79" s="14">
        <v>0.504</v>
      </c>
      <c r="AZ79" s="14">
        <v>0.097</v>
      </c>
      <c r="BA79" s="14">
        <v>21.101000000000003</v>
      </c>
    </row>
    <row r="80" ht="14.25" customHeight="1">
      <c r="A80" s="10" t="s">
        <v>166</v>
      </c>
      <c r="B80" s="11" t="s">
        <v>100</v>
      </c>
      <c r="C80" s="11"/>
      <c r="D80" s="12"/>
      <c r="E80" s="11">
        <v>42920.0</v>
      </c>
      <c r="F80" s="12">
        <v>1.0</v>
      </c>
      <c r="G80" s="12"/>
      <c r="H80" s="13">
        <v>0.5104166666666666</v>
      </c>
      <c r="I80" s="13">
        <v>0.5937499999999997</v>
      </c>
      <c r="J80" s="12">
        <v>0.65</v>
      </c>
      <c r="K80" s="12">
        <v>0.31</v>
      </c>
      <c r="L80" s="14">
        <v>42.0</v>
      </c>
      <c r="M80" s="14">
        <v>40.9</v>
      </c>
      <c r="N80" s="14">
        <v>42.7</v>
      </c>
      <c r="O80" s="14">
        <v>37.5</v>
      </c>
      <c r="P80" s="14">
        <v>39.3</v>
      </c>
      <c r="Q80" s="14">
        <v>40.480000000000004</v>
      </c>
      <c r="R80" s="14">
        <v>7.67</v>
      </c>
      <c r="S80" s="14">
        <v>7.6</v>
      </c>
      <c r="T80" s="14">
        <v>7.57</v>
      </c>
      <c r="U80" s="14">
        <v>7.58</v>
      </c>
      <c r="V80" s="14">
        <v>7.57</v>
      </c>
      <c r="W80" s="14">
        <v>7.598000000000001</v>
      </c>
      <c r="X80" s="14">
        <v>15.3</v>
      </c>
      <c r="Y80" s="14">
        <v>16.5</v>
      </c>
      <c r="Z80" s="14">
        <v>15.9</v>
      </c>
      <c r="AA80" s="14">
        <v>15.9</v>
      </c>
      <c r="AB80" s="14">
        <v>16.1</v>
      </c>
      <c r="AC80" s="14">
        <v>15.940000000000001</v>
      </c>
      <c r="AD80" s="14">
        <v>486.0</v>
      </c>
      <c r="AE80" s="14">
        <v>484.0</v>
      </c>
      <c r="AF80" s="14">
        <v>481.0</v>
      </c>
      <c r="AG80" s="14">
        <v>491.0</v>
      </c>
      <c r="AH80" s="14">
        <v>499.0</v>
      </c>
      <c r="AI80" s="14">
        <v>488.2</v>
      </c>
      <c r="AJ80" s="14">
        <v>0.85</v>
      </c>
      <c r="AK80" s="14">
        <v>1.16</v>
      </c>
      <c r="AL80" s="14">
        <v>1.18</v>
      </c>
      <c r="AM80" s="14">
        <v>0.82</v>
      </c>
      <c r="AN80" s="14">
        <v>0.87</v>
      </c>
      <c r="AO80" s="14">
        <v>0.976</v>
      </c>
      <c r="AP80" s="14">
        <v>71.6</v>
      </c>
      <c r="AQ80" s="14">
        <v>164.0</v>
      </c>
      <c r="AR80" s="14">
        <v>40.0</v>
      </c>
      <c r="AS80" s="14">
        <v>25.0</v>
      </c>
      <c r="AT80" s="14">
        <v>1.52</v>
      </c>
      <c r="AU80" s="14">
        <v>4.1E7</v>
      </c>
      <c r="AV80" s="15">
        <v>2.873</v>
      </c>
      <c r="AW80" s="15">
        <v>28.6</v>
      </c>
      <c r="AX80" s="15">
        <v>460000.0</v>
      </c>
      <c r="AY80" s="14">
        <v>0.562</v>
      </c>
      <c r="AZ80" s="14">
        <v>0.004</v>
      </c>
      <c r="BA80" s="14">
        <v>29.166000000000004</v>
      </c>
    </row>
    <row r="81" ht="14.25" customHeight="1">
      <c r="A81" s="10" t="s">
        <v>167</v>
      </c>
      <c r="B81" s="11" t="s">
        <v>118</v>
      </c>
      <c r="C81" s="11"/>
      <c r="D81" s="12"/>
      <c r="E81" s="11">
        <v>42922.0</v>
      </c>
      <c r="F81" s="12">
        <v>1.0</v>
      </c>
      <c r="G81" s="12"/>
      <c r="H81" s="13">
        <v>0.3541666666666667</v>
      </c>
      <c r="I81" s="13">
        <v>0.43749999999999994</v>
      </c>
      <c r="J81" s="12">
        <v>1.0</v>
      </c>
      <c r="K81" s="12">
        <v>0.06</v>
      </c>
      <c r="L81" s="14">
        <v>7.9</v>
      </c>
      <c r="M81" s="14">
        <v>9.3</v>
      </c>
      <c r="N81" s="14">
        <v>8.9</v>
      </c>
      <c r="O81" s="14">
        <v>7.8</v>
      </c>
      <c r="P81" s="14">
        <v>8.0</v>
      </c>
      <c r="Q81" s="14">
        <v>8.379999999999999</v>
      </c>
      <c r="R81" s="14">
        <v>7.12</v>
      </c>
      <c r="S81" s="14">
        <v>7.26</v>
      </c>
      <c r="T81" s="14">
        <v>7.4</v>
      </c>
      <c r="U81" s="14">
        <v>7.36</v>
      </c>
      <c r="V81" s="14">
        <v>7.43</v>
      </c>
      <c r="W81" s="14">
        <v>7.314</v>
      </c>
      <c r="X81" s="14">
        <v>16.2</v>
      </c>
      <c r="Y81" s="14">
        <v>16.6</v>
      </c>
      <c r="Z81" s="14">
        <v>16.5</v>
      </c>
      <c r="AA81" s="14">
        <v>16.3</v>
      </c>
      <c r="AB81" s="14">
        <v>16.3</v>
      </c>
      <c r="AC81" s="14">
        <v>16.38</v>
      </c>
      <c r="AD81" s="14">
        <v>197.2</v>
      </c>
      <c r="AE81" s="14">
        <v>191.23</v>
      </c>
      <c r="AF81" s="14">
        <v>230.0</v>
      </c>
      <c r="AG81" s="14">
        <v>223.0</v>
      </c>
      <c r="AH81" s="14">
        <v>239.0</v>
      </c>
      <c r="AI81" s="14">
        <v>216.08599999999996</v>
      </c>
      <c r="AJ81" s="14">
        <v>2.94</v>
      </c>
      <c r="AK81" s="14">
        <v>3.25</v>
      </c>
      <c r="AL81" s="14">
        <v>2.95</v>
      </c>
      <c r="AM81" s="14">
        <v>2.87</v>
      </c>
      <c r="AN81" s="14">
        <v>2.89</v>
      </c>
      <c r="AO81" s="14">
        <v>2.9800000000000004</v>
      </c>
      <c r="AP81" s="14">
        <v>15.8</v>
      </c>
      <c r="AQ81" s="14">
        <v>38.4</v>
      </c>
      <c r="AR81" s="14">
        <v>5.0</v>
      </c>
      <c r="AS81" s="14">
        <v>10.0</v>
      </c>
      <c r="AT81" s="14">
        <v>0.64</v>
      </c>
      <c r="AU81" s="14">
        <v>2400000.0</v>
      </c>
      <c r="AV81" s="15">
        <v>0.597</v>
      </c>
      <c r="AW81" s="15">
        <v>7.6</v>
      </c>
      <c r="AX81" s="15">
        <v>4500.0</v>
      </c>
      <c r="AY81" s="14">
        <v>1.151</v>
      </c>
      <c r="AZ81" s="14">
        <v>0.143</v>
      </c>
      <c r="BA81" s="14">
        <v>8.894</v>
      </c>
    </row>
    <row r="82" ht="14.25" customHeight="1">
      <c r="A82" s="10" t="s">
        <v>168</v>
      </c>
      <c r="B82" s="11" t="s">
        <v>120</v>
      </c>
      <c r="C82" s="11"/>
      <c r="D82" s="12"/>
      <c r="E82" s="11">
        <v>42922.0</v>
      </c>
      <c r="F82" s="12">
        <v>1.0</v>
      </c>
      <c r="G82" s="12"/>
      <c r="H82" s="13">
        <v>0.4479166666666667</v>
      </c>
      <c r="I82" s="13">
        <v>0.5312499999999999</v>
      </c>
      <c r="J82" s="12">
        <v>4.7</v>
      </c>
      <c r="K82" s="12">
        <v>0.1</v>
      </c>
      <c r="L82" s="14">
        <v>44.2</v>
      </c>
      <c r="M82" s="14">
        <v>44.8</v>
      </c>
      <c r="N82" s="14">
        <v>46.3</v>
      </c>
      <c r="O82" s="14">
        <v>43.4</v>
      </c>
      <c r="P82" s="14">
        <v>43.7</v>
      </c>
      <c r="Q82" s="14">
        <v>44.480000000000004</v>
      </c>
      <c r="R82" s="14">
        <v>8.21</v>
      </c>
      <c r="S82" s="14">
        <v>8.24</v>
      </c>
      <c r="T82" s="14">
        <v>8.27</v>
      </c>
      <c r="U82" s="14">
        <v>8.31</v>
      </c>
      <c r="V82" s="14">
        <v>8.29</v>
      </c>
      <c r="W82" s="14">
        <v>8.264</v>
      </c>
      <c r="X82" s="14">
        <v>21.3</v>
      </c>
      <c r="Y82" s="14">
        <v>22.2</v>
      </c>
      <c r="Z82" s="14">
        <v>23.5</v>
      </c>
      <c r="AA82" s="14">
        <v>23.6</v>
      </c>
      <c r="AB82" s="14">
        <v>23.5</v>
      </c>
      <c r="AC82" s="14">
        <v>22.82</v>
      </c>
      <c r="AD82" s="14">
        <v>243.0</v>
      </c>
      <c r="AE82" s="14">
        <v>250.0</v>
      </c>
      <c r="AF82" s="14">
        <v>257.0</v>
      </c>
      <c r="AG82" s="14">
        <v>267.0</v>
      </c>
      <c r="AH82" s="14">
        <v>273.0</v>
      </c>
      <c r="AI82" s="14">
        <v>258.0</v>
      </c>
      <c r="AJ82" s="14">
        <v>5.09</v>
      </c>
      <c r="AK82" s="14">
        <v>5.55</v>
      </c>
      <c r="AL82" s="14">
        <v>5.37</v>
      </c>
      <c r="AM82" s="14">
        <v>5.33</v>
      </c>
      <c r="AN82" s="14">
        <v>5.59</v>
      </c>
      <c r="AO82" s="14">
        <v>5.386000000000001</v>
      </c>
      <c r="AP82" s="14">
        <v>24.8</v>
      </c>
      <c r="AQ82" s="14">
        <v>29.8</v>
      </c>
      <c r="AR82" s="14">
        <v>10.0</v>
      </c>
      <c r="AS82" s="14">
        <v>11.0</v>
      </c>
      <c r="AT82" s="14">
        <v>1.19</v>
      </c>
      <c r="AU82" s="14">
        <v>2400000.0</v>
      </c>
      <c r="AV82" s="15">
        <v>0.954</v>
      </c>
      <c r="AW82" s="15">
        <v>8.6</v>
      </c>
      <c r="AX82" s="15">
        <v>170000.0</v>
      </c>
      <c r="AY82" s="14">
        <v>0.933</v>
      </c>
      <c r="AZ82" s="14">
        <v>0.101</v>
      </c>
      <c r="BA82" s="14">
        <v>9.634</v>
      </c>
    </row>
    <row r="83" ht="14.25" customHeight="1">
      <c r="A83" s="10" t="s">
        <v>169</v>
      </c>
      <c r="B83" s="11" t="s">
        <v>116</v>
      </c>
      <c r="C83" s="11"/>
      <c r="D83" s="12"/>
      <c r="E83" s="11">
        <v>42922.0</v>
      </c>
      <c r="F83" s="12">
        <v>1.0</v>
      </c>
      <c r="G83" s="12"/>
      <c r="H83" s="13">
        <v>0.5416666666666666</v>
      </c>
      <c r="I83" s="13">
        <v>0.6249999999999997</v>
      </c>
      <c r="J83" s="18">
        <v>3.7</v>
      </c>
      <c r="K83" s="18">
        <v>0.08</v>
      </c>
      <c r="L83" s="14">
        <v>62.7</v>
      </c>
      <c r="M83" s="14">
        <v>64.2</v>
      </c>
      <c r="N83" s="14">
        <v>64.0</v>
      </c>
      <c r="O83" s="14">
        <v>61.4</v>
      </c>
      <c r="P83" s="14">
        <v>62.4</v>
      </c>
      <c r="Q83" s="14">
        <v>62.94</v>
      </c>
      <c r="R83" s="14">
        <v>7.51</v>
      </c>
      <c r="S83" s="14">
        <v>7.45</v>
      </c>
      <c r="T83" s="14">
        <v>8.84</v>
      </c>
      <c r="U83" s="14">
        <v>8.83</v>
      </c>
      <c r="V83" s="14">
        <v>8.82</v>
      </c>
      <c r="W83" s="14">
        <v>8.290000000000001</v>
      </c>
      <c r="X83" s="14">
        <v>23.8</v>
      </c>
      <c r="Y83" s="14">
        <v>23.5</v>
      </c>
      <c r="Z83" s="14">
        <v>23.5</v>
      </c>
      <c r="AA83" s="14">
        <v>23.2</v>
      </c>
      <c r="AB83" s="14">
        <v>23.3</v>
      </c>
      <c r="AC83" s="14">
        <v>23.46</v>
      </c>
      <c r="AD83" s="14">
        <v>287.0</v>
      </c>
      <c r="AE83" s="14">
        <v>265.0</v>
      </c>
      <c r="AF83" s="14">
        <v>297.0</v>
      </c>
      <c r="AG83" s="14">
        <v>302.0</v>
      </c>
      <c r="AH83" s="14">
        <v>307.0</v>
      </c>
      <c r="AI83" s="14">
        <v>291.6</v>
      </c>
      <c r="AJ83" s="14">
        <v>8.86</v>
      </c>
      <c r="AK83" s="14">
        <v>8.84</v>
      </c>
      <c r="AL83" s="14">
        <v>7.71</v>
      </c>
      <c r="AM83" s="14">
        <v>7.32</v>
      </c>
      <c r="AN83" s="14">
        <v>7.21</v>
      </c>
      <c r="AO83" s="14">
        <v>7.988000000000001</v>
      </c>
      <c r="AP83" s="14">
        <v>33.8</v>
      </c>
      <c r="AQ83" s="14">
        <v>72.0</v>
      </c>
      <c r="AR83" s="14">
        <v>17.5</v>
      </c>
      <c r="AS83" s="14">
        <v>15.0</v>
      </c>
      <c r="AT83" s="14">
        <v>2.25</v>
      </c>
      <c r="AU83" s="14">
        <v>4100000.0</v>
      </c>
      <c r="AV83" s="15">
        <v>1.194</v>
      </c>
      <c r="AW83" s="15">
        <v>12.8</v>
      </c>
      <c r="AX83" s="15">
        <v>92000.0</v>
      </c>
      <c r="AY83" s="14">
        <v>1.01</v>
      </c>
      <c r="AZ83" s="14">
        <v>0.178</v>
      </c>
      <c r="BA83" s="14">
        <v>13.988000000000001</v>
      </c>
    </row>
    <row r="84" ht="14.25" customHeight="1">
      <c r="A84" s="10" t="s">
        <v>170</v>
      </c>
      <c r="B84" s="11" t="s">
        <v>129</v>
      </c>
      <c r="C84" s="11"/>
      <c r="D84" s="12"/>
      <c r="E84" s="11">
        <v>42922.0</v>
      </c>
      <c r="F84" s="12">
        <v>1.0</v>
      </c>
      <c r="G84" s="12"/>
      <c r="H84" s="13">
        <v>0.6354166666666666</v>
      </c>
      <c r="I84" s="13">
        <v>0.7187499999999997</v>
      </c>
      <c r="J84" s="12">
        <v>6.7</v>
      </c>
      <c r="K84" s="12">
        <v>0.14</v>
      </c>
      <c r="L84" s="14">
        <v>121.1</v>
      </c>
      <c r="M84" s="14">
        <v>116.3</v>
      </c>
      <c r="N84" s="14">
        <v>105.3</v>
      </c>
      <c r="O84" s="14">
        <v>117.7</v>
      </c>
      <c r="P84" s="14">
        <v>106.9</v>
      </c>
      <c r="Q84" s="14">
        <v>113.46</v>
      </c>
      <c r="R84" s="14">
        <v>8.36</v>
      </c>
      <c r="S84" s="14">
        <v>8.33</v>
      </c>
      <c r="T84" s="14">
        <v>8.26</v>
      </c>
      <c r="U84" s="14">
        <v>8.26</v>
      </c>
      <c r="V84" s="14">
        <v>8.25</v>
      </c>
      <c r="W84" s="14">
        <v>8.291999999999998</v>
      </c>
      <c r="X84" s="14">
        <v>22.0</v>
      </c>
      <c r="Y84" s="14">
        <v>21.9</v>
      </c>
      <c r="Z84" s="14">
        <v>22.3</v>
      </c>
      <c r="AA84" s="14">
        <v>21.9</v>
      </c>
      <c r="AB84" s="14">
        <v>21.4</v>
      </c>
      <c r="AC84" s="14">
        <v>21.9</v>
      </c>
      <c r="AD84" s="14">
        <v>449.0</v>
      </c>
      <c r="AE84" s="14">
        <v>453.0</v>
      </c>
      <c r="AF84" s="14">
        <v>449.0</v>
      </c>
      <c r="AG84" s="14">
        <v>446.0</v>
      </c>
      <c r="AH84" s="14">
        <v>436.0</v>
      </c>
      <c r="AI84" s="14">
        <v>446.6</v>
      </c>
      <c r="AJ84" s="14">
        <v>2.71</v>
      </c>
      <c r="AK84" s="14">
        <v>2.57</v>
      </c>
      <c r="AL84" s="14">
        <v>2.66</v>
      </c>
      <c r="AM84" s="14">
        <v>2.47</v>
      </c>
      <c r="AN84" s="14">
        <v>2.59</v>
      </c>
      <c r="AO84" s="14">
        <v>2.6</v>
      </c>
      <c r="AP84" s="14">
        <v>82.8</v>
      </c>
      <c r="AQ84" s="14">
        <v>275.0</v>
      </c>
      <c r="AR84" s="14">
        <v>25.3</v>
      </c>
      <c r="AS84" s="14">
        <v>28.0</v>
      </c>
      <c r="AT84" s="14">
        <v>3.9</v>
      </c>
      <c r="AU84" s="14">
        <v>2.9E7</v>
      </c>
      <c r="AV84" s="15">
        <v>2.297</v>
      </c>
      <c r="AW84" s="15">
        <v>18.1</v>
      </c>
      <c r="AX84" s="15">
        <v>350000.0</v>
      </c>
      <c r="AY84" s="14">
        <v>0.541</v>
      </c>
      <c r="AZ84" s="14">
        <v>0.234</v>
      </c>
      <c r="BA84" s="14">
        <v>18.875000000000004</v>
      </c>
    </row>
    <row r="85" ht="14.25" customHeight="1">
      <c r="A85" s="10" t="s">
        <v>171</v>
      </c>
      <c r="B85" s="11" t="s">
        <v>126</v>
      </c>
      <c r="C85" s="11"/>
      <c r="D85" s="12"/>
      <c r="E85" s="11">
        <v>42926.0</v>
      </c>
      <c r="F85" s="12">
        <v>1.0</v>
      </c>
      <c r="G85" s="12"/>
      <c r="H85" s="13">
        <v>0.3333333333333333</v>
      </c>
      <c r="I85" s="13">
        <v>0.4166666666666666</v>
      </c>
      <c r="J85" s="18">
        <v>0.75</v>
      </c>
      <c r="K85" s="18">
        <v>0.16</v>
      </c>
      <c r="L85" s="14">
        <v>10.1</v>
      </c>
      <c r="M85" s="14">
        <v>7.9</v>
      </c>
      <c r="N85" s="14">
        <v>9.0</v>
      </c>
      <c r="O85" s="14">
        <v>8.5</v>
      </c>
      <c r="P85" s="14">
        <v>10.8</v>
      </c>
      <c r="Q85" s="14">
        <v>9.26</v>
      </c>
      <c r="R85" s="14">
        <v>7.7</v>
      </c>
      <c r="S85" s="14">
        <v>7.7</v>
      </c>
      <c r="T85" s="14">
        <v>7.71</v>
      </c>
      <c r="U85" s="14">
        <v>7.71</v>
      </c>
      <c r="V85" s="14">
        <v>7.72</v>
      </c>
      <c r="W85" s="14">
        <v>7.708</v>
      </c>
      <c r="X85" s="14">
        <v>14.6</v>
      </c>
      <c r="Y85" s="14">
        <v>14.5</v>
      </c>
      <c r="Z85" s="14">
        <v>14.6</v>
      </c>
      <c r="AA85" s="14">
        <v>15.0</v>
      </c>
      <c r="AB85" s="14">
        <v>15.1</v>
      </c>
      <c r="AC85" s="14">
        <v>14.76</v>
      </c>
      <c r="AD85" s="14">
        <v>455.0</v>
      </c>
      <c r="AE85" s="14">
        <v>454.0</v>
      </c>
      <c r="AF85" s="14">
        <v>457.0</v>
      </c>
      <c r="AG85" s="14">
        <v>460.0</v>
      </c>
      <c r="AH85" s="14">
        <v>474.0</v>
      </c>
      <c r="AI85" s="14">
        <v>460.0</v>
      </c>
      <c r="AJ85" s="14">
        <v>4.47</v>
      </c>
      <c r="AK85" s="14">
        <v>4.33</v>
      </c>
      <c r="AL85" s="14">
        <v>4.26</v>
      </c>
      <c r="AM85" s="14">
        <v>4.23</v>
      </c>
      <c r="AN85" s="14">
        <v>4.32</v>
      </c>
      <c r="AO85" s="14">
        <v>4.322</v>
      </c>
      <c r="AP85" s="14">
        <v>17.6</v>
      </c>
      <c r="AQ85" s="14">
        <v>42.2</v>
      </c>
      <c r="AR85" s="14">
        <v>94.0</v>
      </c>
      <c r="AS85" s="14">
        <v>6.0</v>
      </c>
      <c r="AT85" s="14">
        <v>0.4</v>
      </c>
      <c r="AU85" s="14">
        <v>1100000.0</v>
      </c>
      <c r="AV85" s="15">
        <v>2.636</v>
      </c>
      <c r="AW85" s="15">
        <v>9.7</v>
      </c>
      <c r="AX85" s="15">
        <v>23000.0</v>
      </c>
      <c r="AY85" s="14">
        <v>4.738</v>
      </c>
      <c r="AZ85" s="14">
        <v>0.409</v>
      </c>
      <c r="BA85" s="14">
        <v>14.847000000000001</v>
      </c>
    </row>
    <row r="86" ht="14.25" customHeight="1">
      <c r="A86" s="10" t="s">
        <v>172</v>
      </c>
      <c r="B86" s="11" t="s">
        <v>104</v>
      </c>
      <c r="C86" s="11"/>
      <c r="D86" s="12"/>
      <c r="E86" s="11">
        <v>42926.0</v>
      </c>
      <c r="F86" s="12">
        <v>1.0</v>
      </c>
      <c r="G86" s="12"/>
      <c r="H86" s="13">
        <v>0.4270833333333333</v>
      </c>
      <c r="I86" s="13">
        <v>0.5104166666666665</v>
      </c>
      <c r="J86" s="12">
        <v>0.8</v>
      </c>
      <c r="K86" s="12">
        <v>0.08</v>
      </c>
      <c r="L86" s="14">
        <v>10.8</v>
      </c>
      <c r="M86" s="14">
        <v>13.9</v>
      </c>
      <c r="N86" s="14">
        <v>14.1</v>
      </c>
      <c r="O86" s="14">
        <v>13.5</v>
      </c>
      <c r="P86" s="14">
        <v>43.5</v>
      </c>
      <c r="Q86" s="14">
        <v>19.160000000000004</v>
      </c>
      <c r="R86" s="14">
        <v>9.99</v>
      </c>
      <c r="S86" s="14">
        <v>10.06</v>
      </c>
      <c r="T86" s="14">
        <v>10.27</v>
      </c>
      <c r="U86" s="14">
        <v>10.47</v>
      </c>
      <c r="V86" s="14">
        <v>10.75</v>
      </c>
      <c r="W86" s="14">
        <v>10.308</v>
      </c>
      <c r="X86" s="14">
        <v>15.6</v>
      </c>
      <c r="Y86" s="14">
        <v>15.6</v>
      </c>
      <c r="Z86" s="14">
        <v>15.9</v>
      </c>
      <c r="AA86" s="14">
        <v>15.9</v>
      </c>
      <c r="AB86" s="14">
        <v>15.9</v>
      </c>
      <c r="AC86" s="14">
        <v>15.780000000000001</v>
      </c>
      <c r="AD86" s="14">
        <v>529.0</v>
      </c>
      <c r="AE86" s="14">
        <v>553.0</v>
      </c>
      <c r="AF86" s="14">
        <v>586.0</v>
      </c>
      <c r="AG86" s="14">
        <v>538.0</v>
      </c>
      <c r="AH86" s="14">
        <v>575.0</v>
      </c>
      <c r="AI86" s="14">
        <v>556.2</v>
      </c>
      <c r="AJ86" s="14">
        <v>4.26</v>
      </c>
      <c r="AK86" s="14">
        <v>4.44</v>
      </c>
      <c r="AL86" s="14">
        <v>4.52</v>
      </c>
      <c r="AM86" s="14">
        <v>5.42</v>
      </c>
      <c r="AN86" s="14">
        <v>4.89</v>
      </c>
      <c r="AO86" s="14">
        <v>4.706</v>
      </c>
      <c r="AP86" s="14">
        <v>224.0</v>
      </c>
      <c r="AQ86" s="14">
        <v>303.0</v>
      </c>
      <c r="AR86" s="14">
        <v>282.0</v>
      </c>
      <c r="AS86" s="14">
        <v>49.0</v>
      </c>
      <c r="AT86" s="14">
        <v>1.91</v>
      </c>
      <c r="AU86" s="14">
        <v>1700000.0</v>
      </c>
      <c r="AV86" s="15">
        <v>2.373</v>
      </c>
      <c r="AW86" s="15">
        <v>15.8</v>
      </c>
      <c r="AX86" s="15">
        <v>79000.0</v>
      </c>
      <c r="AY86" s="14">
        <v>3.721</v>
      </c>
      <c r="AZ86" s="14">
        <v>0.497</v>
      </c>
      <c r="BA86" s="14">
        <v>20.018</v>
      </c>
    </row>
    <row r="87" ht="14.25" customHeight="1">
      <c r="A87" s="10" t="s">
        <v>173</v>
      </c>
      <c r="B87" s="11" t="s">
        <v>106</v>
      </c>
      <c r="C87" s="11"/>
      <c r="D87" s="12"/>
      <c r="E87" s="11">
        <v>42926.0</v>
      </c>
      <c r="F87" s="12">
        <v>1.0</v>
      </c>
      <c r="G87" s="12"/>
      <c r="H87" s="13">
        <v>0.5208333333333334</v>
      </c>
      <c r="I87" s="13">
        <v>0.6041666666666664</v>
      </c>
      <c r="J87" s="12">
        <v>1.2</v>
      </c>
      <c r="K87" s="12">
        <v>0.18</v>
      </c>
      <c r="L87" s="14">
        <v>37.7</v>
      </c>
      <c r="M87" s="14">
        <v>44.6</v>
      </c>
      <c r="N87" s="14">
        <v>47.5</v>
      </c>
      <c r="O87" s="14">
        <v>45.9</v>
      </c>
      <c r="P87" s="14">
        <v>48.7</v>
      </c>
      <c r="Q87" s="14">
        <v>44.88000000000001</v>
      </c>
      <c r="R87" s="14">
        <v>9.25</v>
      </c>
      <c r="S87" s="14">
        <v>9.23</v>
      </c>
      <c r="T87" s="14">
        <v>9.13</v>
      </c>
      <c r="U87" s="14">
        <v>9.21</v>
      </c>
      <c r="V87" s="14">
        <v>9.3</v>
      </c>
      <c r="W87" s="14">
        <v>9.224</v>
      </c>
      <c r="X87" s="14">
        <v>17.5</v>
      </c>
      <c r="Y87" s="14">
        <v>18.1</v>
      </c>
      <c r="Z87" s="14">
        <v>18.8</v>
      </c>
      <c r="AA87" s="14">
        <v>18.9</v>
      </c>
      <c r="AB87" s="14">
        <v>19.2</v>
      </c>
      <c r="AC87" s="14">
        <v>18.500000000000004</v>
      </c>
      <c r="AD87" s="14">
        <v>684.0</v>
      </c>
      <c r="AE87" s="14">
        <v>672.0</v>
      </c>
      <c r="AF87" s="14">
        <v>654.0</v>
      </c>
      <c r="AG87" s="14">
        <v>639.0</v>
      </c>
      <c r="AH87" s="14">
        <v>638.0</v>
      </c>
      <c r="AI87" s="14">
        <v>657.4</v>
      </c>
      <c r="AJ87" s="14">
        <v>3.8</v>
      </c>
      <c r="AK87" s="14">
        <v>3.91</v>
      </c>
      <c r="AL87" s="14">
        <v>3.94</v>
      </c>
      <c r="AM87" s="14">
        <v>3.68</v>
      </c>
      <c r="AN87" s="14">
        <v>3.49</v>
      </c>
      <c r="AO87" s="14">
        <v>3.7640000000000002</v>
      </c>
      <c r="AP87" s="14">
        <v>308.0</v>
      </c>
      <c r="AQ87" s="14">
        <v>247.0</v>
      </c>
      <c r="AR87" s="14">
        <v>592.0</v>
      </c>
      <c r="AS87" s="14">
        <v>36.0</v>
      </c>
      <c r="AT87" s="14">
        <v>2.91</v>
      </c>
      <c r="AU87" s="14">
        <v>4500000.0</v>
      </c>
      <c r="AV87" s="15">
        <v>4.694</v>
      </c>
      <c r="AW87" s="15">
        <v>33.3</v>
      </c>
      <c r="AX87" s="15">
        <v>2200000.0</v>
      </c>
      <c r="AY87" s="14">
        <v>2.843</v>
      </c>
      <c r="AZ87" s="14">
        <v>1.022</v>
      </c>
      <c r="BA87" s="14">
        <v>37.16499999999999</v>
      </c>
    </row>
    <row r="88" ht="14.25" customHeight="1">
      <c r="A88" s="10" t="s">
        <v>174</v>
      </c>
      <c r="B88" s="11" t="s">
        <v>57</v>
      </c>
      <c r="C88" s="11"/>
      <c r="D88" s="12"/>
      <c r="E88" s="11">
        <v>42928.0</v>
      </c>
      <c r="F88" s="12">
        <v>1.0</v>
      </c>
      <c r="G88" s="12"/>
      <c r="H88" s="13">
        <v>0.3333333333333333</v>
      </c>
      <c r="I88" s="13">
        <v>0.4166666666666666</v>
      </c>
      <c r="J88" s="12">
        <v>1.2</v>
      </c>
      <c r="K88" s="12">
        <v>0.27</v>
      </c>
      <c r="L88" s="14">
        <v>40.9</v>
      </c>
      <c r="M88" s="14">
        <v>42.5</v>
      </c>
      <c r="N88" s="14">
        <v>41.8</v>
      </c>
      <c r="O88" s="14">
        <v>42.4</v>
      </c>
      <c r="P88" s="14">
        <v>44.5</v>
      </c>
      <c r="Q88" s="14">
        <v>42.42</v>
      </c>
      <c r="R88" s="14">
        <v>7.59</v>
      </c>
      <c r="S88" s="14">
        <v>7.61</v>
      </c>
      <c r="T88" s="14">
        <v>7.57</v>
      </c>
      <c r="U88" s="14">
        <v>7.49</v>
      </c>
      <c r="V88" s="14">
        <v>7.47</v>
      </c>
      <c r="W88" s="14">
        <v>7.545999999999999</v>
      </c>
      <c r="X88" s="14">
        <v>13.0</v>
      </c>
      <c r="Y88" s="14">
        <v>12.9</v>
      </c>
      <c r="Z88" s="14">
        <v>12.1</v>
      </c>
      <c r="AA88" s="14">
        <v>13.2</v>
      </c>
      <c r="AB88" s="14">
        <v>13.2</v>
      </c>
      <c r="AC88" s="14">
        <v>12.88</v>
      </c>
      <c r="AD88" s="14">
        <v>282.0</v>
      </c>
      <c r="AE88" s="14">
        <v>183.7</v>
      </c>
      <c r="AF88" s="14">
        <v>183.9</v>
      </c>
      <c r="AG88" s="14">
        <v>182.9</v>
      </c>
      <c r="AH88" s="14">
        <v>192.6</v>
      </c>
      <c r="AI88" s="14">
        <v>205.01999999999998</v>
      </c>
      <c r="AJ88" s="14">
        <v>5.08</v>
      </c>
      <c r="AK88" s="14">
        <v>5.16</v>
      </c>
      <c r="AL88" s="14">
        <v>5.44</v>
      </c>
      <c r="AM88" s="14">
        <v>5.96</v>
      </c>
      <c r="AN88" s="14">
        <v>6.0</v>
      </c>
      <c r="AO88" s="14">
        <v>5.5280000000000005</v>
      </c>
      <c r="AP88" s="14">
        <v>8.7</v>
      </c>
      <c r="AQ88" s="14">
        <v>28.2</v>
      </c>
      <c r="AR88" s="14">
        <v>17.0</v>
      </c>
      <c r="AS88" s="14">
        <v>13.0</v>
      </c>
      <c r="AT88" s="14">
        <v>0.4</v>
      </c>
      <c r="AU88" s="14">
        <v>240000.0</v>
      </c>
      <c r="AV88" s="15">
        <v>0.736</v>
      </c>
      <c r="AW88" s="15">
        <v>8.5</v>
      </c>
      <c r="AX88" s="15">
        <v>790.0</v>
      </c>
      <c r="AY88" s="14">
        <v>0.793</v>
      </c>
      <c r="AZ88" s="14">
        <v>0.069</v>
      </c>
      <c r="BA88" s="14">
        <v>9.362</v>
      </c>
    </row>
    <row r="89" ht="14.25" customHeight="1">
      <c r="A89" s="10" t="s">
        <v>175</v>
      </c>
      <c r="B89" s="11" t="s">
        <v>53</v>
      </c>
      <c r="C89" s="11"/>
      <c r="D89" s="12"/>
      <c r="E89" s="11">
        <v>42928.0</v>
      </c>
      <c r="F89" s="12">
        <v>1.0</v>
      </c>
      <c r="G89" s="12"/>
      <c r="H89" s="13">
        <v>0.4270833333333333</v>
      </c>
      <c r="I89" s="13">
        <v>0.5104166666666665</v>
      </c>
      <c r="J89" s="12">
        <v>1.2</v>
      </c>
      <c r="K89" s="12">
        <v>0.18</v>
      </c>
      <c r="L89" s="14">
        <v>91.2</v>
      </c>
      <c r="M89" s="14">
        <v>85.0</v>
      </c>
      <c r="N89" s="14">
        <v>72.0</v>
      </c>
      <c r="O89" s="14">
        <v>77.9</v>
      </c>
      <c r="P89" s="14">
        <v>91.6</v>
      </c>
      <c r="Q89" s="14">
        <v>83.54</v>
      </c>
      <c r="R89" s="14">
        <v>8.06</v>
      </c>
      <c r="S89" s="14">
        <v>8.06</v>
      </c>
      <c r="T89" s="14">
        <v>8.04</v>
      </c>
      <c r="U89" s="14">
        <v>8.03</v>
      </c>
      <c r="V89" s="14">
        <v>7.97</v>
      </c>
      <c r="W89" s="14">
        <v>8.032</v>
      </c>
      <c r="X89" s="14">
        <v>14.6</v>
      </c>
      <c r="Y89" s="14">
        <v>14.4</v>
      </c>
      <c r="Z89" s="14">
        <v>14.4</v>
      </c>
      <c r="AA89" s="14">
        <v>14.7</v>
      </c>
      <c r="AB89" s="14">
        <v>14.9</v>
      </c>
      <c r="AC89" s="14">
        <v>14.6</v>
      </c>
      <c r="AD89" s="14">
        <v>393.0</v>
      </c>
      <c r="AE89" s="14">
        <v>401.0</v>
      </c>
      <c r="AF89" s="14">
        <v>400.0</v>
      </c>
      <c r="AG89" s="14">
        <v>392.0</v>
      </c>
      <c r="AH89" s="14">
        <v>386.0</v>
      </c>
      <c r="AI89" s="14">
        <v>394.4</v>
      </c>
      <c r="AJ89" s="14">
        <v>5.87</v>
      </c>
      <c r="AK89" s="14">
        <v>4.93</v>
      </c>
      <c r="AL89" s="14">
        <v>7.42</v>
      </c>
      <c r="AM89" s="14">
        <v>5.9</v>
      </c>
      <c r="AN89" s="14">
        <v>6.73</v>
      </c>
      <c r="AO89" s="14">
        <v>6.17</v>
      </c>
      <c r="AP89" s="14">
        <v>19.3</v>
      </c>
      <c r="AQ89" s="14">
        <v>212.0</v>
      </c>
      <c r="AR89" s="14">
        <v>45.0</v>
      </c>
      <c r="AS89" s="14">
        <v>20.0</v>
      </c>
      <c r="AT89" s="14">
        <v>0.4</v>
      </c>
      <c r="AU89" s="14">
        <v>2400000.0</v>
      </c>
      <c r="AV89" s="15">
        <v>2.769</v>
      </c>
      <c r="AW89" s="15">
        <v>21.6</v>
      </c>
      <c r="AX89" s="15">
        <v>790.0</v>
      </c>
      <c r="AY89" s="14">
        <v>0.753</v>
      </c>
      <c r="AZ89" s="14">
        <v>0.096</v>
      </c>
      <c r="BA89" s="14">
        <v>22.449</v>
      </c>
    </row>
    <row r="90" ht="14.25" customHeight="1">
      <c r="A90" s="10" t="s">
        <v>176</v>
      </c>
      <c r="B90" s="11" t="s">
        <v>59</v>
      </c>
      <c r="C90" s="11"/>
      <c r="D90" s="12"/>
      <c r="E90" s="11">
        <v>42928.0</v>
      </c>
      <c r="F90" s="12">
        <v>1.0</v>
      </c>
      <c r="G90" s="12"/>
      <c r="H90" s="13">
        <v>0.53125</v>
      </c>
      <c r="I90" s="13">
        <v>0.614583333333333</v>
      </c>
      <c r="J90" s="12">
        <v>1.84</v>
      </c>
      <c r="K90" s="12">
        <v>0.24</v>
      </c>
      <c r="L90" s="14">
        <v>106.1</v>
      </c>
      <c r="M90" s="14">
        <v>88.0</v>
      </c>
      <c r="N90" s="14">
        <v>105.2</v>
      </c>
      <c r="O90" s="14">
        <v>99.0</v>
      </c>
      <c r="P90" s="14">
        <v>105.8</v>
      </c>
      <c r="Q90" s="14">
        <v>100.82000000000001</v>
      </c>
      <c r="R90" s="14">
        <v>8.08</v>
      </c>
      <c r="S90" s="14">
        <v>8.07</v>
      </c>
      <c r="T90" s="14">
        <v>7.89</v>
      </c>
      <c r="U90" s="14">
        <v>8.03</v>
      </c>
      <c r="V90" s="14">
        <v>8.02</v>
      </c>
      <c r="W90" s="14">
        <v>8.018</v>
      </c>
      <c r="X90" s="14">
        <v>15.3</v>
      </c>
      <c r="Y90" s="14">
        <v>15.5</v>
      </c>
      <c r="Z90" s="14">
        <v>15.6</v>
      </c>
      <c r="AA90" s="14">
        <v>15.4</v>
      </c>
      <c r="AB90" s="14">
        <v>15.6</v>
      </c>
      <c r="AC90" s="14">
        <v>15.479999999999999</v>
      </c>
      <c r="AD90" s="14">
        <v>426.0</v>
      </c>
      <c r="AE90" s="14">
        <v>422.0</v>
      </c>
      <c r="AF90" s="14">
        <v>420.0</v>
      </c>
      <c r="AG90" s="14">
        <v>417.0</v>
      </c>
      <c r="AH90" s="14">
        <v>419.0</v>
      </c>
      <c r="AI90" s="14">
        <v>420.8</v>
      </c>
      <c r="AJ90" s="14">
        <v>6.94</v>
      </c>
      <c r="AK90" s="14">
        <v>6.89</v>
      </c>
      <c r="AL90" s="14">
        <v>6.23</v>
      </c>
      <c r="AM90" s="14">
        <v>6.68</v>
      </c>
      <c r="AN90" s="14">
        <v>6.11</v>
      </c>
      <c r="AO90" s="14">
        <v>6.57</v>
      </c>
      <c r="AP90" s="14">
        <v>19.6</v>
      </c>
      <c r="AQ90" s="14">
        <v>159.0</v>
      </c>
      <c r="AR90" s="14">
        <v>64.0</v>
      </c>
      <c r="AS90" s="14">
        <v>27.0</v>
      </c>
      <c r="AT90" s="14">
        <v>0.52</v>
      </c>
      <c r="AU90" s="14">
        <v>2400000.0</v>
      </c>
      <c r="AV90" s="15">
        <v>2.694</v>
      </c>
      <c r="AW90" s="15">
        <v>22.8</v>
      </c>
      <c r="AX90" s="15">
        <v>17000.0</v>
      </c>
      <c r="AY90" s="14">
        <v>1.021</v>
      </c>
      <c r="AZ90" s="14">
        <v>0.149</v>
      </c>
      <c r="BA90" s="14">
        <v>23.970000000000002</v>
      </c>
    </row>
    <row r="91" ht="14.25" customHeight="1">
      <c r="A91" s="10" t="s">
        <v>177</v>
      </c>
      <c r="B91" s="11" t="s">
        <v>55</v>
      </c>
      <c r="C91" s="11"/>
      <c r="D91" s="12"/>
      <c r="E91" s="11">
        <v>42928.0</v>
      </c>
      <c r="F91" s="12">
        <v>1.0</v>
      </c>
      <c r="G91" s="12"/>
      <c r="H91" s="13">
        <v>0.625</v>
      </c>
      <c r="I91" s="13">
        <v>0.708333333333333</v>
      </c>
      <c r="J91" s="12">
        <v>3.5</v>
      </c>
      <c r="K91" s="12">
        <v>0.14</v>
      </c>
      <c r="L91" s="14">
        <v>137.2</v>
      </c>
      <c r="M91" s="14">
        <v>119.9</v>
      </c>
      <c r="N91" s="14">
        <v>135.3</v>
      </c>
      <c r="O91" s="14">
        <v>123.0</v>
      </c>
      <c r="P91" s="14">
        <v>114.2</v>
      </c>
      <c r="Q91" s="14">
        <v>125.92000000000003</v>
      </c>
      <c r="R91" s="14">
        <v>7.73</v>
      </c>
      <c r="S91" s="14">
        <v>7.72</v>
      </c>
      <c r="T91" s="14">
        <v>7.62</v>
      </c>
      <c r="U91" s="14">
        <v>7.69</v>
      </c>
      <c r="V91" s="14">
        <v>7.71</v>
      </c>
      <c r="W91" s="14">
        <v>7.694</v>
      </c>
      <c r="X91" s="14">
        <v>16.7</v>
      </c>
      <c r="Y91" s="14">
        <v>17.0</v>
      </c>
      <c r="Z91" s="14">
        <v>16.8</v>
      </c>
      <c r="AA91" s="14">
        <v>16.4</v>
      </c>
      <c r="AB91" s="14">
        <v>15.6</v>
      </c>
      <c r="AC91" s="14">
        <v>16.5</v>
      </c>
      <c r="AD91" s="14">
        <v>560.0</v>
      </c>
      <c r="AE91" s="14">
        <v>545.0</v>
      </c>
      <c r="AF91" s="14">
        <v>553.0</v>
      </c>
      <c r="AG91" s="14">
        <v>525.0</v>
      </c>
      <c r="AH91" s="14">
        <v>539.0</v>
      </c>
      <c r="AI91" s="14">
        <v>544.4</v>
      </c>
      <c r="AJ91" s="14">
        <v>1.58</v>
      </c>
      <c r="AK91" s="14">
        <v>1.71</v>
      </c>
      <c r="AL91" s="14">
        <v>1.23</v>
      </c>
      <c r="AM91" s="14">
        <v>1.52</v>
      </c>
      <c r="AN91" s="14">
        <v>1.29</v>
      </c>
      <c r="AO91" s="14">
        <v>1.4659999999999997</v>
      </c>
      <c r="AP91" s="14">
        <v>45.4</v>
      </c>
      <c r="AQ91" s="14">
        <v>139.0</v>
      </c>
      <c r="AR91" s="14">
        <v>90.0</v>
      </c>
      <c r="AS91" s="14">
        <v>23.0</v>
      </c>
      <c r="AT91" s="14">
        <v>1.98</v>
      </c>
      <c r="AU91" s="14">
        <v>2.8E7</v>
      </c>
      <c r="AV91" s="15">
        <v>3.86</v>
      </c>
      <c r="AW91" s="15">
        <v>26.6</v>
      </c>
      <c r="AX91" s="15">
        <v>110000.0</v>
      </c>
      <c r="AY91" s="14">
        <v>0.663</v>
      </c>
      <c r="AZ91" s="14">
        <v>0.004</v>
      </c>
      <c r="BA91" s="14">
        <v>27.267000000000003</v>
      </c>
    </row>
    <row r="92" ht="14.25" customHeight="1">
      <c r="A92" s="10" t="s">
        <v>178</v>
      </c>
      <c r="B92" s="11" t="s">
        <v>145</v>
      </c>
      <c r="C92" s="11"/>
      <c r="D92" s="12"/>
      <c r="E92" s="11">
        <v>42930.0</v>
      </c>
      <c r="F92" s="12">
        <v>1.0</v>
      </c>
      <c r="G92" s="12"/>
      <c r="H92" s="13">
        <v>0.25</v>
      </c>
      <c r="I92" s="13">
        <v>0.33333333333333326</v>
      </c>
      <c r="J92" s="12"/>
      <c r="K92" s="12"/>
      <c r="L92" s="14">
        <v>2.42</v>
      </c>
      <c r="M92" s="14">
        <v>1.79</v>
      </c>
      <c r="N92" s="14">
        <v>1.85</v>
      </c>
      <c r="O92" s="14">
        <v>2.52</v>
      </c>
      <c r="P92" s="14">
        <v>0.82</v>
      </c>
      <c r="Q92" s="14">
        <v>1.8800000000000001</v>
      </c>
      <c r="R92" s="14">
        <v>8.65</v>
      </c>
      <c r="S92" s="14">
        <v>8.72</v>
      </c>
      <c r="T92" s="14">
        <v>8.66</v>
      </c>
      <c r="U92" s="14">
        <v>8.73</v>
      </c>
      <c r="V92" s="14">
        <v>8.8</v>
      </c>
      <c r="W92" s="14">
        <v>8.712</v>
      </c>
      <c r="X92" s="14">
        <v>14.5</v>
      </c>
      <c r="Y92" s="14">
        <v>14.4</v>
      </c>
      <c r="Z92" s="14">
        <v>14.1</v>
      </c>
      <c r="AA92" s="14">
        <v>14.5</v>
      </c>
      <c r="AB92" s="14">
        <v>14.7</v>
      </c>
      <c r="AC92" s="14">
        <v>14.440000000000001</v>
      </c>
      <c r="AD92" s="14">
        <v>1439.0</v>
      </c>
      <c r="AE92" s="14">
        <v>1326.0</v>
      </c>
      <c r="AF92" s="14">
        <v>1359.0</v>
      </c>
      <c r="AG92" s="14">
        <v>1240.0</v>
      </c>
      <c r="AH92" s="14">
        <v>1319.0</v>
      </c>
      <c r="AI92" s="14">
        <v>1336.6</v>
      </c>
      <c r="AJ92" s="14">
        <v>3.42</v>
      </c>
      <c r="AK92" s="14">
        <v>3.26</v>
      </c>
      <c r="AL92" s="14">
        <v>3.55</v>
      </c>
      <c r="AM92" s="14">
        <v>3.55</v>
      </c>
      <c r="AN92" s="14">
        <v>3.25</v>
      </c>
      <c r="AO92" s="14">
        <v>3.406</v>
      </c>
      <c r="AP92" s="14">
        <v>625.0</v>
      </c>
      <c r="AQ92" s="14">
        <v>636.563</v>
      </c>
      <c r="AR92" s="14">
        <v>448.0</v>
      </c>
      <c r="AS92" s="14">
        <v>103.0</v>
      </c>
      <c r="AT92" s="14">
        <v>4.46</v>
      </c>
      <c r="AU92" s="14">
        <v>2.4E8</v>
      </c>
      <c r="AV92" s="15">
        <v>24.218</v>
      </c>
      <c r="AW92" s="15">
        <v>94.9</v>
      </c>
      <c r="AX92" s="15">
        <v>1.7E7</v>
      </c>
      <c r="AY92" s="14">
        <v>2.468</v>
      </c>
      <c r="AZ92" s="14">
        <v>0.146</v>
      </c>
      <c r="BA92" s="14">
        <v>97.51400000000001</v>
      </c>
    </row>
    <row r="93" ht="14.25" customHeight="1">
      <c r="A93" s="10" t="s">
        <v>179</v>
      </c>
      <c r="B93" s="11" t="s">
        <v>138</v>
      </c>
      <c r="C93" s="11"/>
      <c r="D93" s="12"/>
      <c r="E93" s="11">
        <v>42930.0</v>
      </c>
      <c r="F93" s="12">
        <v>1.0</v>
      </c>
      <c r="G93" s="12"/>
      <c r="H93" s="13">
        <v>0.3541666666666667</v>
      </c>
      <c r="I93" s="13">
        <v>0.43749999999999994</v>
      </c>
      <c r="J93" s="18">
        <v>1.0</v>
      </c>
      <c r="K93" s="18">
        <v>0.11</v>
      </c>
      <c r="L93" s="14">
        <v>15.4</v>
      </c>
      <c r="M93" s="14">
        <v>10.4</v>
      </c>
      <c r="N93" s="14">
        <v>12.3</v>
      </c>
      <c r="O93" s="14">
        <v>15.4</v>
      </c>
      <c r="P93" s="14">
        <v>21.5</v>
      </c>
      <c r="Q93" s="14">
        <v>15.0</v>
      </c>
      <c r="R93" s="14">
        <v>8.43</v>
      </c>
      <c r="S93" s="14">
        <v>8.37</v>
      </c>
      <c r="T93" s="14">
        <v>8.19</v>
      </c>
      <c r="U93" s="14">
        <v>8.17</v>
      </c>
      <c r="V93" s="14">
        <v>8.02</v>
      </c>
      <c r="W93" s="14">
        <v>8.235999999999999</v>
      </c>
      <c r="X93" s="14">
        <v>14.6</v>
      </c>
      <c r="Y93" s="14">
        <v>14.6</v>
      </c>
      <c r="Z93" s="14">
        <v>15.1</v>
      </c>
      <c r="AA93" s="14">
        <v>15.4</v>
      </c>
      <c r="AB93" s="14">
        <v>15.5</v>
      </c>
      <c r="AC93" s="14">
        <v>15.039999999999997</v>
      </c>
      <c r="AD93" s="14">
        <v>1406.0</v>
      </c>
      <c r="AE93" s="14">
        <v>1467.0</v>
      </c>
      <c r="AF93" s="14">
        <v>1334.0</v>
      </c>
      <c r="AG93" s="14">
        <v>1205.0</v>
      </c>
      <c r="AH93" s="14">
        <v>1159.0</v>
      </c>
      <c r="AI93" s="14">
        <v>1314.2</v>
      </c>
      <c r="AJ93" s="14">
        <v>2.6</v>
      </c>
      <c r="AK93" s="14">
        <v>2.94</v>
      </c>
      <c r="AL93" s="14">
        <v>3.18</v>
      </c>
      <c r="AM93" s="14">
        <v>3.84</v>
      </c>
      <c r="AN93" s="14">
        <v>2.62</v>
      </c>
      <c r="AO93" s="14">
        <v>3.036</v>
      </c>
      <c r="AP93" s="14">
        <v>462.0</v>
      </c>
      <c r="AQ93" s="14">
        <v>707.0</v>
      </c>
      <c r="AR93" s="14">
        <v>384.0</v>
      </c>
      <c r="AS93" s="14">
        <v>95.0</v>
      </c>
      <c r="AT93" s="14">
        <v>4.46</v>
      </c>
      <c r="AU93" s="14">
        <v>2.4E8</v>
      </c>
      <c r="AV93" s="15">
        <v>16.162</v>
      </c>
      <c r="AW93" s="15">
        <v>125.0</v>
      </c>
      <c r="AX93" s="15">
        <v>2200000.0</v>
      </c>
      <c r="AY93" s="14">
        <v>1.16</v>
      </c>
      <c r="AZ93" s="14">
        <v>0.004</v>
      </c>
      <c r="BA93" s="14">
        <v>126.164</v>
      </c>
    </row>
    <row r="94" ht="14.25" customHeight="1">
      <c r="A94" s="10" t="s">
        <v>180</v>
      </c>
      <c r="B94" s="16" t="s">
        <v>79</v>
      </c>
      <c r="C94" s="11"/>
      <c r="D94" s="12"/>
      <c r="E94" s="17">
        <v>42933.0</v>
      </c>
      <c r="F94" s="18">
        <v>1.0</v>
      </c>
      <c r="G94" s="18"/>
      <c r="H94" s="13">
        <v>0.3194444444444445</v>
      </c>
      <c r="I94" s="13">
        <v>0.40277777777777773</v>
      </c>
      <c r="J94" s="18">
        <v>0.7</v>
      </c>
      <c r="K94" s="18">
        <v>0.31</v>
      </c>
      <c r="L94" s="15">
        <v>22.6</v>
      </c>
      <c r="M94" s="15">
        <v>49.1</v>
      </c>
      <c r="N94" s="15">
        <v>47.6</v>
      </c>
      <c r="O94" s="15">
        <v>36.3</v>
      </c>
      <c r="P94" s="15">
        <v>44.9</v>
      </c>
      <c r="Q94" s="15">
        <v>40.10000000000001</v>
      </c>
      <c r="R94" s="15">
        <v>6.99</v>
      </c>
      <c r="S94" s="15">
        <v>6.92</v>
      </c>
      <c r="T94" s="15">
        <v>6.78</v>
      </c>
      <c r="U94" s="15">
        <v>6.78</v>
      </c>
      <c r="V94" s="15">
        <v>6.72</v>
      </c>
      <c r="W94" s="15">
        <v>6.838000000000001</v>
      </c>
      <c r="X94" s="15">
        <v>11.4</v>
      </c>
      <c r="Y94" s="15">
        <v>10.7</v>
      </c>
      <c r="Z94" s="15">
        <v>10.8</v>
      </c>
      <c r="AA94" s="15">
        <v>10.9</v>
      </c>
      <c r="AB94" s="15">
        <v>11.0</v>
      </c>
      <c r="AC94" s="15">
        <v>10.96</v>
      </c>
      <c r="AD94" s="15">
        <v>27.9</v>
      </c>
      <c r="AE94" s="15">
        <v>29.2</v>
      </c>
      <c r="AF94" s="15">
        <v>27.8</v>
      </c>
      <c r="AG94" s="15">
        <v>28.0</v>
      </c>
      <c r="AH94" s="15">
        <v>27.0</v>
      </c>
      <c r="AI94" s="15">
        <v>27.979999999999997</v>
      </c>
      <c r="AJ94" s="15">
        <v>5.59</v>
      </c>
      <c r="AK94" s="15">
        <v>6.61</v>
      </c>
      <c r="AL94" s="15">
        <v>6.53</v>
      </c>
      <c r="AM94" s="15">
        <v>6.52</v>
      </c>
      <c r="AN94" s="15">
        <v>6.37</v>
      </c>
      <c r="AO94" s="15">
        <v>6.324</v>
      </c>
      <c r="AP94" s="15">
        <v>3.0</v>
      </c>
      <c r="AQ94" s="15">
        <v>10.0</v>
      </c>
      <c r="AR94" s="15">
        <v>4.5</v>
      </c>
      <c r="AS94" s="15">
        <v>7.0</v>
      </c>
      <c r="AT94" s="15">
        <v>0.4</v>
      </c>
      <c r="AU94" s="15">
        <v>210000.0</v>
      </c>
      <c r="AV94" s="15">
        <v>0.095</v>
      </c>
      <c r="AW94" s="19">
        <v>1.0</v>
      </c>
      <c r="AX94" s="15">
        <v>1600.0</v>
      </c>
      <c r="AY94" s="15">
        <v>0.578</v>
      </c>
      <c r="AZ94" s="15">
        <v>0.009</v>
      </c>
      <c r="BA94" s="15">
        <v>1.5869999999999997</v>
      </c>
    </row>
    <row r="95" ht="14.25" customHeight="1">
      <c r="A95" s="10" t="s">
        <v>181</v>
      </c>
      <c r="B95" s="11" t="s">
        <v>83</v>
      </c>
      <c r="C95" s="11"/>
      <c r="D95" s="12"/>
      <c r="E95" s="11">
        <v>42933.0</v>
      </c>
      <c r="F95" s="12">
        <v>1.0</v>
      </c>
      <c r="G95" s="12"/>
      <c r="H95" s="13">
        <v>0.4166666666666667</v>
      </c>
      <c r="I95" s="13">
        <v>0.49999999999999994</v>
      </c>
      <c r="J95" s="12">
        <v>4.2</v>
      </c>
      <c r="K95" s="12">
        <v>0.29</v>
      </c>
      <c r="L95" s="14">
        <v>421.4</v>
      </c>
      <c r="M95" s="14">
        <v>438.8</v>
      </c>
      <c r="N95" s="14">
        <v>493.4</v>
      </c>
      <c r="O95" s="14">
        <v>529.9</v>
      </c>
      <c r="P95" s="14">
        <v>526.0</v>
      </c>
      <c r="Q95" s="14">
        <v>481.9</v>
      </c>
      <c r="R95" s="14">
        <v>8.15</v>
      </c>
      <c r="S95" s="14">
        <v>8.15</v>
      </c>
      <c r="T95" s="14">
        <v>8.03</v>
      </c>
      <c r="U95" s="14">
        <v>8.07</v>
      </c>
      <c r="V95" s="14">
        <v>8.01</v>
      </c>
      <c r="W95" s="14">
        <v>8.081999999999999</v>
      </c>
      <c r="X95" s="14">
        <v>15.4</v>
      </c>
      <c r="Y95" s="14">
        <v>15.4</v>
      </c>
      <c r="Z95" s="14">
        <v>15.9</v>
      </c>
      <c r="AA95" s="14">
        <v>15.9</v>
      </c>
      <c r="AB95" s="14">
        <v>16.2</v>
      </c>
      <c r="AC95" s="14">
        <v>15.76</v>
      </c>
      <c r="AD95" s="14">
        <v>630.0</v>
      </c>
      <c r="AE95" s="14">
        <v>630.0</v>
      </c>
      <c r="AF95" s="14">
        <v>639.0</v>
      </c>
      <c r="AG95" s="14">
        <v>641.0</v>
      </c>
      <c r="AH95" s="14">
        <v>628.0</v>
      </c>
      <c r="AI95" s="14">
        <v>633.6</v>
      </c>
      <c r="AJ95" s="14">
        <v>3.08</v>
      </c>
      <c r="AK95" s="14">
        <v>2.55</v>
      </c>
      <c r="AL95" s="14">
        <v>2.46</v>
      </c>
      <c r="AM95" s="14">
        <v>2.63</v>
      </c>
      <c r="AN95" s="14">
        <v>2.38</v>
      </c>
      <c r="AO95" s="14">
        <v>2.6199999999999997</v>
      </c>
      <c r="AP95" s="14">
        <v>200.0</v>
      </c>
      <c r="AQ95" s="14">
        <v>208.0</v>
      </c>
      <c r="AR95" s="14">
        <v>122.2</v>
      </c>
      <c r="AS95" s="14">
        <v>37.0</v>
      </c>
      <c r="AT95" s="14">
        <v>2.43</v>
      </c>
      <c r="AU95" s="14">
        <v>3.0E7</v>
      </c>
      <c r="AV95" s="15">
        <v>4.939</v>
      </c>
      <c r="AW95" s="15">
        <v>52.5</v>
      </c>
      <c r="AX95" s="15">
        <v>3500000.0</v>
      </c>
      <c r="AY95" s="14">
        <v>0.71</v>
      </c>
      <c r="AZ95" s="14">
        <v>0.015</v>
      </c>
      <c r="BA95" s="14">
        <v>53.225</v>
      </c>
    </row>
    <row r="96" ht="14.25" customHeight="1">
      <c r="A96" s="10" t="s">
        <v>182</v>
      </c>
      <c r="B96" s="11" t="s">
        <v>133</v>
      </c>
      <c r="C96" s="11"/>
      <c r="D96" s="12"/>
      <c r="E96" s="11">
        <v>42934.0</v>
      </c>
      <c r="F96" s="12">
        <v>1.0</v>
      </c>
      <c r="G96" s="12"/>
      <c r="H96" s="13">
        <v>0.25</v>
      </c>
      <c r="I96" s="13">
        <v>0.33333333333333326</v>
      </c>
      <c r="J96" s="12">
        <v>4.9</v>
      </c>
      <c r="K96" s="12">
        <v>0.41</v>
      </c>
      <c r="L96" s="14">
        <v>262.5</v>
      </c>
      <c r="M96" s="14">
        <v>250.1</v>
      </c>
      <c r="N96" s="14">
        <v>314.0</v>
      </c>
      <c r="O96" s="14">
        <v>278.0</v>
      </c>
      <c r="P96" s="14">
        <v>257.6</v>
      </c>
      <c r="Q96" s="14">
        <v>272.43999999999994</v>
      </c>
      <c r="R96" s="14">
        <v>6.86</v>
      </c>
      <c r="S96" s="14">
        <v>7.75</v>
      </c>
      <c r="T96" s="14">
        <v>7.53</v>
      </c>
      <c r="U96" s="14">
        <v>7.56</v>
      </c>
      <c r="V96" s="14">
        <v>7.58</v>
      </c>
      <c r="W96" s="14">
        <v>7.456</v>
      </c>
      <c r="X96" s="14">
        <v>11.1</v>
      </c>
      <c r="Y96" s="14">
        <v>10.8</v>
      </c>
      <c r="Z96" s="14">
        <v>10.9</v>
      </c>
      <c r="AA96" s="14">
        <v>10.9</v>
      </c>
      <c r="AB96" s="14">
        <v>10.9</v>
      </c>
      <c r="AC96" s="14">
        <v>10.919999999999998</v>
      </c>
      <c r="AD96" s="14">
        <v>34.6</v>
      </c>
      <c r="AE96" s="14">
        <v>34.1</v>
      </c>
      <c r="AF96" s="14">
        <v>33.8</v>
      </c>
      <c r="AG96" s="14">
        <v>34.7</v>
      </c>
      <c r="AH96" s="14">
        <v>35.0</v>
      </c>
      <c r="AI96" s="14">
        <v>34.44</v>
      </c>
      <c r="AJ96" s="14">
        <v>6.66</v>
      </c>
      <c r="AK96" s="14">
        <v>7.18</v>
      </c>
      <c r="AL96" s="14">
        <v>8.19</v>
      </c>
      <c r="AM96" s="14">
        <v>6.7</v>
      </c>
      <c r="AN96" s="14">
        <v>7.16</v>
      </c>
      <c r="AO96" s="14">
        <v>7.178</v>
      </c>
      <c r="AP96" s="14">
        <v>2.0</v>
      </c>
      <c r="AQ96" s="14">
        <v>12.9</v>
      </c>
      <c r="AR96" s="14">
        <v>5.5</v>
      </c>
      <c r="AS96" s="14">
        <v>6.0</v>
      </c>
      <c r="AT96" s="14">
        <v>0.4</v>
      </c>
      <c r="AU96" s="14">
        <v>2900.0</v>
      </c>
      <c r="AV96" s="19">
        <v>0.06</v>
      </c>
      <c r="AW96" s="19">
        <v>1.0</v>
      </c>
      <c r="AX96" s="15">
        <v>140.0</v>
      </c>
      <c r="AY96" s="14">
        <v>0.589</v>
      </c>
      <c r="AZ96" s="14">
        <v>0.006</v>
      </c>
      <c r="BA96" s="14">
        <v>1.595</v>
      </c>
    </row>
    <row r="97" ht="14.25" customHeight="1">
      <c r="A97" s="10" t="s">
        <v>183</v>
      </c>
      <c r="B97" s="11" t="s">
        <v>131</v>
      </c>
      <c r="C97" s="11"/>
      <c r="D97" s="12"/>
      <c r="E97" s="11">
        <v>42934.0</v>
      </c>
      <c r="F97" s="12">
        <v>1.0</v>
      </c>
      <c r="G97" s="12"/>
      <c r="H97" s="13">
        <v>0.3541666666666667</v>
      </c>
      <c r="I97" s="13">
        <v>0.43749999999999994</v>
      </c>
      <c r="J97" s="18">
        <v>2.3</v>
      </c>
      <c r="K97" s="18">
        <v>0.51</v>
      </c>
      <c r="L97" s="14">
        <v>253.1</v>
      </c>
      <c r="M97" s="14">
        <v>268.4</v>
      </c>
      <c r="N97" s="14">
        <v>288.4</v>
      </c>
      <c r="O97" s="14">
        <v>278.0</v>
      </c>
      <c r="P97" s="14">
        <v>257.6</v>
      </c>
      <c r="Q97" s="14">
        <v>269.1</v>
      </c>
      <c r="R97" s="14">
        <v>7.39</v>
      </c>
      <c r="S97" s="14">
        <v>7.72</v>
      </c>
      <c r="T97" s="14">
        <v>7.65</v>
      </c>
      <c r="U97" s="14">
        <v>7.58</v>
      </c>
      <c r="V97" s="14">
        <v>7.71</v>
      </c>
      <c r="W97" s="14">
        <v>7.609999999999999</v>
      </c>
      <c r="X97" s="14">
        <v>11.9</v>
      </c>
      <c r="Y97" s="14">
        <v>11.6</v>
      </c>
      <c r="Z97" s="14">
        <v>12.0</v>
      </c>
      <c r="AA97" s="14">
        <v>12.4</v>
      </c>
      <c r="AB97" s="14">
        <v>11.9</v>
      </c>
      <c r="AC97" s="14">
        <v>11.959999999999999</v>
      </c>
      <c r="AD97" s="14">
        <v>59.6</v>
      </c>
      <c r="AE97" s="14">
        <v>60.0</v>
      </c>
      <c r="AF97" s="14">
        <v>59.5</v>
      </c>
      <c r="AG97" s="14">
        <v>59.7</v>
      </c>
      <c r="AH97" s="14">
        <v>58.8</v>
      </c>
      <c r="AI97" s="14">
        <v>59.52</v>
      </c>
      <c r="AJ97" s="14">
        <v>7.59</v>
      </c>
      <c r="AK97" s="14">
        <v>7.47</v>
      </c>
      <c r="AL97" s="14">
        <v>7.9</v>
      </c>
      <c r="AM97" s="14">
        <v>7.58</v>
      </c>
      <c r="AN97" s="14">
        <v>8.69</v>
      </c>
      <c r="AO97" s="14">
        <v>7.845999999999999</v>
      </c>
      <c r="AP97" s="14">
        <v>5.6</v>
      </c>
      <c r="AQ97" s="14">
        <v>10.0</v>
      </c>
      <c r="AR97" s="14">
        <v>4.0</v>
      </c>
      <c r="AS97" s="14">
        <v>7.0</v>
      </c>
      <c r="AT97" s="14">
        <v>0.4</v>
      </c>
      <c r="AU97" s="14">
        <v>350000.0</v>
      </c>
      <c r="AV97" s="15">
        <v>0.193</v>
      </c>
      <c r="AW97" s="15">
        <v>1.5</v>
      </c>
      <c r="AX97" s="15">
        <v>1400.0</v>
      </c>
      <c r="AY97" s="14">
        <v>0.878</v>
      </c>
      <c r="AZ97" s="14">
        <v>0.032</v>
      </c>
      <c r="BA97" s="14">
        <v>2.41</v>
      </c>
    </row>
    <row r="98" ht="14.25" customHeight="1">
      <c r="A98" s="10" t="s">
        <v>184</v>
      </c>
      <c r="B98" s="11" t="s">
        <v>135</v>
      </c>
      <c r="C98" s="11"/>
      <c r="D98" s="12"/>
      <c r="E98" s="11">
        <v>42934.0</v>
      </c>
      <c r="F98" s="12">
        <v>1.0</v>
      </c>
      <c r="G98" s="12"/>
      <c r="H98" s="13">
        <v>0.4583333333333333</v>
      </c>
      <c r="I98" s="13">
        <v>0.5416666666666665</v>
      </c>
      <c r="J98" s="12">
        <v>2.4</v>
      </c>
      <c r="K98" s="12">
        <v>0.55</v>
      </c>
      <c r="L98" s="14">
        <v>384.7</v>
      </c>
      <c r="M98" s="14">
        <v>363.2</v>
      </c>
      <c r="N98" s="14">
        <v>365.9</v>
      </c>
      <c r="O98" s="14">
        <v>376.5</v>
      </c>
      <c r="P98" s="14">
        <v>345.6</v>
      </c>
      <c r="Q98" s="14">
        <v>367.18</v>
      </c>
      <c r="R98" s="14">
        <v>7.38</v>
      </c>
      <c r="S98" s="14">
        <v>7.37</v>
      </c>
      <c r="T98" s="14">
        <v>7.36</v>
      </c>
      <c r="U98" s="14">
        <v>7.3</v>
      </c>
      <c r="V98" s="14">
        <v>7.35</v>
      </c>
      <c r="W98" s="14">
        <v>7.351999999999999</v>
      </c>
      <c r="X98" s="14">
        <v>13.9</v>
      </c>
      <c r="Y98" s="14">
        <v>14.0</v>
      </c>
      <c r="Z98" s="14">
        <v>14.6</v>
      </c>
      <c r="AA98" s="14">
        <v>15.1</v>
      </c>
      <c r="AB98" s="14">
        <v>16.0</v>
      </c>
      <c r="AC98" s="14">
        <v>14.719999999999999</v>
      </c>
      <c r="AD98" s="14">
        <v>142.9</v>
      </c>
      <c r="AE98" s="14">
        <v>144.5</v>
      </c>
      <c r="AF98" s="14">
        <v>146.2</v>
      </c>
      <c r="AG98" s="14">
        <v>143.9</v>
      </c>
      <c r="AH98" s="14">
        <v>138.4</v>
      </c>
      <c r="AI98" s="14">
        <v>143.18</v>
      </c>
      <c r="AJ98" s="14">
        <v>5.93</v>
      </c>
      <c r="AK98" s="14">
        <v>5.96</v>
      </c>
      <c r="AL98" s="14">
        <v>5.57</v>
      </c>
      <c r="AM98" s="14">
        <v>6.05</v>
      </c>
      <c r="AN98" s="14">
        <v>5.6</v>
      </c>
      <c r="AO98" s="14">
        <v>5.822</v>
      </c>
      <c r="AP98" s="14">
        <v>37.8</v>
      </c>
      <c r="AQ98" s="14">
        <v>46.5</v>
      </c>
      <c r="AR98" s="14">
        <v>34.0</v>
      </c>
      <c r="AS98" s="14">
        <v>16.0</v>
      </c>
      <c r="AT98" s="14">
        <v>0.91</v>
      </c>
      <c r="AU98" s="14">
        <v>2400000.0</v>
      </c>
      <c r="AV98" s="15">
        <v>1.187</v>
      </c>
      <c r="AW98" s="15">
        <v>7.2</v>
      </c>
      <c r="AX98" s="15">
        <v>4500.0</v>
      </c>
      <c r="AY98" s="14">
        <v>0.867</v>
      </c>
      <c r="AZ98" s="14">
        <v>0.062</v>
      </c>
      <c r="BA98" s="14">
        <v>8.129000000000001</v>
      </c>
    </row>
    <row r="99" ht="14.25" customHeight="1">
      <c r="A99" s="10" t="s">
        <v>185</v>
      </c>
      <c r="B99" s="16" t="s">
        <v>93</v>
      </c>
      <c r="C99" s="11"/>
      <c r="D99" s="12"/>
      <c r="E99" s="11">
        <v>42933.0</v>
      </c>
      <c r="F99" s="12">
        <v>1.0</v>
      </c>
      <c r="G99" s="12"/>
      <c r="H99" s="13">
        <v>0.3125</v>
      </c>
      <c r="I99" s="13">
        <v>0.39583333333333326</v>
      </c>
      <c r="J99" s="12">
        <v>2.0</v>
      </c>
      <c r="K99" s="12">
        <v>0.27</v>
      </c>
      <c r="L99" s="14">
        <v>104.1</v>
      </c>
      <c r="M99" s="14">
        <v>107.4</v>
      </c>
      <c r="N99" s="14">
        <v>100.2</v>
      </c>
      <c r="O99" s="14">
        <v>94.2</v>
      </c>
      <c r="P99" s="14">
        <v>104.9</v>
      </c>
      <c r="Q99" s="14">
        <v>102.16</v>
      </c>
      <c r="R99" s="14">
        <v>8.33</v>
      </c>
      <c r="S99" s="14">
        <v>8.32</v>
      </c>
      <c r="T99" s="14">
        <v>8.3</v>
      </c>
      <c r="U99" s="14">
        <v>8.24</v>
      </c>
      <c r="V99" s="14">
        <v>8.22</v>
      </c>
      <c r="W99" s="14">
        <v>8.282</v>
      </c>
      <c r="X99" s="14">
        <v>14.3</v>
      </c>
      <c r="Y99" s="14">
        <v>14.2</v>
      </c>
      <c r="Z99" s="14">
        <v>14.4</v>
      </c>
      <c r="AA99" s="14">
        <v>14.6</v>
      </c>
      <c r="AB99" s="14">
        <v>14.6</v>
      </c>
      <c r="AC99" s="14">
        <v>14.419999999999998</v>
      </c>
      <c r="AD99" s="14">
        <v>652.0</v>
      </c>
      <c r="AE99" s="14">
        <v>654.0</v>
      </c>
      <c r="AF99" s="14">
        <v>640.0</v>
      </c>
      <c r="AG99" s="14">
        <v>630.0</v>
      </c>
      <c r="AH99" s="14">
        <v>624.0</v>
      </c>
      <c r="AI99" s="14">
        <v>640.0</v>
      </c>
      <c r="AJ99" s="14">
        <v>4.39</v>
      </c>
      <c r="AK99" s="14">
        <v>5.19</v>
      </c>
      <c r="AL99" s="14">
        <v>4.81</v>
      </c>
      <c r="AM99" s="14">
        <v>4.73</v>
      </c>
      <c r="AN99" s="14">
        <v>4.94</v>
      </c>
      <c r="AO99" s="14">
        <v>4.812</v>
      </c>
      <c r="AP99" s="14">
        <v>174.0</v>
      </c>
      <c r="AQ99" s="14">
        <v>290.0</v>
      </c>
      <c r="AR99" s="14">
        <v>100.0</v>
      </c>
      <c r="AS99" s="14">
        <v>38.0</v>
      </c>
      <c r="AT99" s="14">
        <v>2.43</v>
      </c>
      <c r="AU99" s="14">
        <v>3.8E7</v>
      </c>
      <c r="AV99" s="15">
        <v>5.968</v>
      </c>
      <c r="AW99" s="15">
        <v>65.5</v>
      </c>
      <c r="AX99" s="15">
        <v>700000.0</v>
      </c>
      <c r="AY99" s="14">
        <v>0.755</v>
      </c>
      <c r="AZ99" s="14">
        <v>0.019</v>
      </c>
      <c r="BA99" s="14">
        <v>66.274</v>
      </c>
    </row>
    <row r="100" ht="14.25" customHeight="1">
      <c r="A100" s="10" t="s">
        <v>186</v>
      </c>
      <c r="B100" s="11" t="s">
        <v>61</v>
      </c>
      <c r="C100" s="11"/>
      <c r="D100" s="12"/>
      <c r="E100" s="11">
        <v>42933.0</v>
      </c>
      <c r="F100" s="12">
        <v>1.0</v>
      </c>
      <c r="G100" s="12"/>
      <c r="H100" s="13">
        <v>0.4375</v>
      </c>
      <c r="I100" s="13">
        <v>0.5208333333333333</v>
      </c>
      <c r="J100" s="12">
        <v>10.0</v>
      </c>
      <c r="K100" s="12">
        <v>0.1</v>
      </c>
      <c r="L100" s="14">
        <v>500.9</v>
      </c>
      <c r="M100" s="14">
        <v>489.6</v>
      </c>
      <c r="N100" s="14">
        <v>472.2</v>
      </c>
      <c r="O100" s="14">
        <v>479.6</v>
      </c>
      <c r="P100" s="14">
        <v>474.7</v>
      </c>
      <c r="Q100" s="14">
        <v>483.4</v>
      </c>
      <c r="R100" s="14">
        <v>7.89</v>
      </c>
      <c r="S100" s="14">
        <v>7.87</v>
      </c>
      <c r="T100" s="14">
        <v>7.95</v>
      </c>
      <c r="U100" s="14">
        <v>7.89</v>
      </c>
      <c r="V100" s="14">
        <v>7.85</v>
      </c>
      <c r="W100" s="14">
        <v>7.890000000000001</v>
      </c>
      <c r="X100" s="14">
        <v>18.3</v>
      </c>
      <c r="Y100" s="14">
        <v>18.1</v>
      </c>
      <c r="Z100" s="14">
        <v>17.4</v>
      </c>
      <c r="AA100" s="14">
        <v>18.1</v>
      </c>
      <c r="AB100" s="14">
        <v>18.8</v>
      </c>
      <c r="AC100" s="14">
        <v>18.14</v>
      </c>
      <c r="AD100" s="14">
        <v>707.0</v>
      </c>
      <c r="AE100" s="14">
        <v>708.0</v>
      </c>
      <c r="AF100" s="14">
        <v>682.0</v>
      </c>
      <c r="AG100" s="14">
        <v>697.0</v>
      </c>
      <c r="AH100" s="14">
        <v>677.0</v>
      </c>
      <c r="AI100" s="14">
        <v>694.2</v>
      </c>
      <c r="AJ100" s="14">
        <v>1.4</v>
      </c>
      <c r="AK100" s="14">
        <v>0.83</v>
      </c>
      <c r="AL100" s="14">
        <v>0.46</v>
      </c>
      <c r="AM100" s="14">
        <v>0.84</v>
      </c>
      <c r="AN100" s="14">
        <v>1.2</v>
      </c>
      <c r="AO100" s="14">
        <v>0.946</v>
      </c>
      <c r="AP100" s="14">
        <v>176.0</v>
      </c>
      <c r="AQ100" s="14">
        <v>196.0</v>
      </c>
      <c r="AR100" s="14">
        <v>106.7</v>
      </c>
      <c r="AS100" s="14">
        <v>32.0</v>
      </c>
      <c r="AT100" s="14">
        <v>2.67</v>
      </c>
      <c r="AU100" s="14">
        <v>3.2E7</v>
      </c>
      <c r="AV100" s="15">
        <v>5.743</v>
      </c>
      <c r="AW100" s="15">
        <v>53.1</v>
      </c>
      <c r="AX100" s="15">
        <v>1300000.0</v>
      </c>
      <c r="AY100" s="14">
        <v>0.717</v>
      </c>
      <c r="AZ100" s="14">
        <v>0.015</v>
      </c>
      <c r="BA100" s="14">
        <v>53.832</v>
      </c>
    </row>
    <row r="101" ht="14.25" customHeight="1">
      <c r="A101" s="10" t="s">
        <v>187</v>
      </c>
      <c r="B101" s="11" t="s">
        <v>67</v>
      </c>
      <c r="C101" s="11"/>
      <c r="D101" s="12"/>
      <c r="E101" s="11">
        <v>42935.0</v>
      </c>
      <c r="F101" s="12">
        <v>1.0</v>
      </c>
      <c r="G101" s="12"/>
      <c r="H101" s="13">
        <v>0.25</v>
      </c>
      <c r="I101" s="13">
        <v>0.33333333333333326</v>
      </c>
      <c r="J101" s="18">
        <v>1.9</v>
      </c>
      <c r="K101" s="18">
        <v>0.069</v>
      </c>
      <c r="L101" s="14">
        <v>55.1</v>
      </c>
      <c r="M101" s="14">
        <v>61.0</v>
      </c>
      <c r="N101" s="14">
        <v>57.7</v>
      </c>
      <c r="O101" s="14">
        <v>76.2</v>
      </c>
      <c r="P101" s="14">
        <v>72.5</v>
      </c>
      <c r="Q101" s="14">
        <v>64.5</v>
      </c>
      <c r="R101" s="14">
        <v>7.76</v>
      </c>
      <c r="S101" s="14">
        <v>7.82</v>
      </c>
      <c r="T101" s="14">
        <v>7.87</v>
      </c>
      <c r="U101" s="14">
        <v>7.85</v>
      </c>
      <c r="V101" s="14">
        <v>7.85</v>
      </c>
      <c r="W101" s="14">
        <v>7.83</v>
      </c>
      <c r="X101" s="14">
        <v>12.3</v>
      </c>
      <c r="Y101" s="14">
        <v>12.4</v>
      </c>
      <c r="Z101" s="14">
        <v>12.4</v>
      </c>
      <c r="AA101" s="14">
        <v>12.5</v>
      </c>
      <c r="AB101" s="14">
        <v>12.7</v>
      </c>
      <c r="AC101" s="14">
        <v>12.459999999999999</v>
      </c>
      <c r="AD101" s="14">
        <v>254.0</v>
      </c>
      <c r="AE101" s="14">
        <v>252.0</v>
      </c>
      <c r="AF101" s="14">
        <v>250.0</v>
      </c>
      <c r="AG101" s="14">
        <v>250.0</v>
      </c>
      <c r="AH101" s="14">
        <v>248.0</v>
      </c>
      <c r="AI101" s="14">
        <v>250.8</v>
      </c>
      <c r="AJ101" s="14">
        <v>4.49</v>
      </c>
      <c r="AK101" s="14">
        <v>4.76</v>
      </c>
      <c r="AL101" s="14">
        <v>4.94</v>
      </c>
      <c r="AM101" s="14">
        <v>4.96</v>
      </c>
      <c r="AN101" s="14">
        <v>4.17</v>
      </c>
      <c r="AO101" s="14">
        <v>4.664</v>
      </c>
      <c r="AP101" s="14">
        <v>49.8</v>
      </c>
      <c r="AQ101" s="14">
        <v>143.0</v>
      </c>
      <c r="AR101" s="14">
        <v>23.5</v>
      </c>
      <c r="AS101" s="14">
        <v>17.0</v>
      </c>
      <c r="AT101" s="14">
        <v>0.49</v>
      </c>
      <c r="AU101" s="14">
        <v>7300000.0</v>
      </c>
      <c r="AV101" s="15">
        <v>0.726</v>
      </c>
      <c r="AW101" s="15">
        <v>10.5</v>
      </c>
      <c r="AX101" s="15">
        <v>2400.0</v>
      </c>
      <c r="AY101" s="14">
        <v>1.005</v>
      </c>
      <c r="AZ101" s="14">
        <v>0.141</v>
      </c>
      <c r="BA101" s="14">
        <v>11.646</v>
      </c>
    </row>
    <row r="102" ht="14.25" customHeight="1">
      <c r="A102" s="10" t="s">
        <v>188</v>
      </c>
      <c r="B102" s="11" t="s">
        <v>77</v>
      </c>
      <c r="C102" s="11"/>
      <c r="D102" s="12"/>
      <c r="E102" s="11">
        <v>42935.0</v>
      </c>
      <c r="F102" s="12">
        <v>1.0</v>
      </c>
      <c r="G102" s="12"/>
      <c r="H102" s="13">
        <v>0.3541666666666667</v>
      </c>
      <c r="I102" s="13">
        <v>0.43749999999999994</v>
      </c>
      <c r="J102" s="18">
        <v>2.4</v>
      </c>
      <c r="K102" s="18">
        <v>0.112</v>
      </c>
      <c r="L102" s="14">
        <v>165.2</v>
      </c>
      <c r="M102" s="14">
        <v>166.4</v>
      </c>
      <c r="N102" s="14">
        <v>181.4</v>
      </c>
      <c r="O102" s="14">
        <v>164.7</v>
      </c>
      <c r="P102" s="14">
        <v>189.8</v>
      </c>
      <c r="Q102" s="14">
        <v>173.5</v>
      </c>
      <c r="R102" s="14">
        <v>7.49</v>
      </c>
      <c r="S102" s="14">
        <v>7.44</v>
      </c>
      <c r="T102" s="14">
        <v>7.49</v>
      </c>
      <c r="U102" s="14">
        <v>7.45</v>
      </c>
      <c r="V102" s="14">
        <v>7.51</v>
      </c>
      <c r="W102" s="14">
        <v>7.476000000000001</v>
      </c>
      <c r="X102" s="14">
        <v>15.3</v>
      </c>
      <c r="Y102" s="14">
        <v>15.4</v>
      </c>
      <c r="Z102" s="14">
        <v>15.4</v>
      </c>
      <c r="AA102" s="14">
        <v>15.7</v>
      </c>
      <c r="AB102" s="14">
        <v>15.9</v>
      </c>
      <c r="AC102" s="14">
        <v>15.540000000000001</v>
      </c>
      <c r="AD102" s="14">
        <v>269.0</v>
      </c>
      <c r="AE102" s="14">
        <v>278.0</v>
      </c>
      <c r="AF102" s="14">
        <v>276.0</v>
      </c>
      <c r="AG102" s="14">
        <v>279.0</v>
      </c>
      <c r="AH102" s="14">
        <v>284.0</v>
      </c>
      <c r="AI102" s="14">
        <v>277.2</v>
      </c>
      <c r="AJ102" s="14">
        <v>2.36</v>
      </c>
      <c r="AK102" s="14">
        <v>2.35</v>
      </c>
      <c r="AL102" s="14">
        <v>2.94</v>
      </c>
      <c r="AM102" s="14">
        <v>3.18</v>
      </c>
      <c r="AN102" s="14">
        <v>3.5</v>
      </c>
      <c r="AO102" s="14">
        <v>2.866</v>
      </c>
      <c r="AP102" s="14">
        <v>42.6</v>
      </c>
      <c r="AQ102" s="14">
        <v>212.0</v>
      </c>
      <c r="AR102" s="14">
        <v>41.0</v>
      </c>
      <c r="AS102" s="14">
        <v>21.0</v>
      </c>
      <c r="AT102" s="14">
        <v>0.94</v>
      </c>
      <c r="AU102" s="14">
        <v>2.4E7</v>
      </c>
      <c r="AV102" s="15">
        <v>1.202</v>
      </c>
      <c r="AW102" s="15">
        <v>15.1</v>
      </c>
      <c r="AX102" s="15">
        <v>130000.0</v>
      </c>
      <c r="AY102" s="14">
        <v>0.481</v>
      </c>
      <c r="AZ102" s="14">
        <v>0.222</v>
      </c>
      <c r="BA102" s="14">
        <v>15.802999999999999</v>
      </c>
    </row>
    <row r="103" ht="14.25" customHeight="1">
      <c r="A103" s="10" t="s">
        <v>189</v>
      </c>
      <c r="B103" s="11" t="s">
        <v>65</v>
      </c>
      <c r="C103" s="11"/>
      <c r="D103" s="12"/>
      <c r="E103" s="11">
        <v>42935.0</v>
      </c>
      <c r="F103" s="12">
        <v>1.0</v>
      </c>
      <c r="G103" s="12"/>
      <c r="H103" s="13">
        <v>0.5</v>
      </c>
      <c r="I103" s="13">
        <v>0.583333333333333</v>
      </c>
      <c r="J103" s="18">
        <v>5.9</v>
      </c>
      <c r="K103" s="18">
        <v>0.144</v>
      </c>
      <c r="L103" s="14">
        <v>225.1</v>
      </c>
      <c r="M103" s="14">
        <v>212.1</v>
      </c>
      <c r="N103" s="14">
        <v>232.4</v>
      </c>
      <c r="O103" s="14">
        <v>220.0</v>
      </c>
      <c r="P103" s="14">
        <v>218.7</v>
      </c>
      <c r="Q103" s="14">
        <v>221.66</v>
      </c>
      <c r="R103" s="14">
        <v>7.57</v>
      </c>
      <c r="S103" s="14">
        <v>7.58</v>
      </c>
      <c r="T103" s="14">
        <v>7.59</v>
      </c>
      <c r="U103" s="14">
        <v>7.59</v>
      </c>
      <c r="V103" s="14">
        <v>7.55</v>
      </c>
      <c r="W103" s="14">
        <v>7.5760000000000005</v>
      </c>
      <c r="X103" s="14">
        <v>20.6</v>
      </c>
      <c r="Y103" s="14">
        <v>21.0</v>
      </c>
      <c r="Z103" s="14">
        <v>21.2</v>
      </c>
      <c r="AA103" s="14">
        <v>20.0</v>
      </c>
      <c r="AB103" s="14">
        <v>19.3</v>
      </c>
      <c r="AC103" s="14">
        <v>20.419999999999998</v>
      </c>
      <c r="AD103" s="14">
        <v>336.0</v>
      </c>
      <c r="AE103" s="14">
        <v>341.0</v>
      </c>
      <c r="AF103" s="14">
        <v>354.0</v>
      </c>
      <c r="AG103" s="14">
        <v>346.0</v>
      </c>
      <c r="AH103" s="14">
        <v>338.0</v>
      </c>
      <c r="AI103" s="14">
        <v>343.0</v>
      </c>
      <c r="AJ103" s="14">
        <v>1.59</v>
      </c>
      <c r="AK103" s="14">
        <v>2.08</v>
      </c>
      <c r="AL103" s="14">
        <v>2.18</v>
      </c>
      <c r="AM103" s="14">
        <v>2.13</v>
      </c>
      <c r="AN103" s="14">
        <v>1.99</v>
      </c>
      <c r="AO103" s="14">
        <v>1.9939999999999998</v>
      </c>
      <c r="AP103" s="14">
        <v>141.0</v>
      </c>
      <c r="AQ103" s="14">
        <v>224.0</v>
      </c>
      <c r="AR103" s="14">
        <v>43.0</v>
      </c>
      <c r="AS103" s="14">
        <v>29.0</v>
      </c>
      <c r="AT103" s="14">
        <v>2.44</v>
      </c>
      <c r="AU103" s="14">
        <v>2.4E7</v>
      </c>
      <c r="AV103" s="15">
        <v>2.036</v>
      </c>
      <c r="AW103" s="15">
        <v>20.1</v>
      </c>
      <c r="AX103" s="15">
        <v>79000.0</v>
      </c>
      <c r="AY103" s="14">
        <v>0.794</v>
      </c>
      <c r="AZ103" s="14">
        <v>0.017</v>
      </c>
      <c r="BA103" s="14">
        <v>20.911</v>
      </c>
    </row>
    <row r="104" ht="14.25" customHeight="1">
      <c r="A104" s="10" t="s">
        <v>190</v>
      </c>
      <c r="B104" s="11" t="s">
        <v>70</v>
      </c>
      <c r="C104" s="11"/>
      <c r="D104" s="12"/>
      <c r="E104" s="11">
        <v>42935.0</v>
      </c>
      <c r="F104" s="12">
        <v>1.0</v>
      </c>
      <c r="G104" s="12"/>
      <c r="H104" s="13">
        <v>0.6041666666666666</v>
      </c>
      <c r="I104" s="13">
        <v>0.6874999999999997</v>
      </c>
      <c r="J104" s="12">
        <v>5.3</v>
      </c>
      <c r="K104" s="12">
        <v>0.12</v>
      </c>
      <c r="L104" s="14">
        <v>210.0</v>
      </c>
      <c r="M104" s="14">
        <v>202.0</v>
      </c>
      <c r="N104" s="14">
        <v>211.6</v>
      </c>
      <c r="O104" s="14">
        <v>216.3</v>
      </c>
      <c r="P104" s="14">
        <v>207.2</v>
      </c>
      <c r="Q104" s="14">
        <v>209.42000000000002</v>
      </c>
      <c r="R104" s="14">
        <v>7.64</v>
      </c>
      <c r="S104" s="14">
        <v>7.63</v>
      </c>
      <c r="T104" s="14">
        <v>7.6</v>
      </c>
      <c r="U104" s="14">
        <v>7.54</v>
      </c>
      <c r="V104" s="14">
        <v>7.61</v>
      </c>
      <c r="W104" s="14">
        <v>7.603999999999999</v>
      </c>
      <c r="X104" s="14">
        <v>20.3</v>
      </c>
      <c r="Y104" s="14">
        <v>19.9</v>
      </c>
      <c r="Z104" s="14">
        <v>20.3</v>
      </c>
      <c r="AA104" s="14">
        <v>19.1</v>
      </c>
      <c r="AB104" s="14">
        <v>19.8</v>
      </c>
      <c r="AC104" s="14">
        <v>19.88</v>
      </c>
      <c r="AD104" s="14">
        <v>378.0</v>
      </c>
      <c r="AE104" s="14">
        <v>373.0</v>
      </c>
      <c r="AF104" s="14">
        <v>388.0</v>
      </c>
      <c r="AG104" s="14">
        <v>386.0</v>
      </c>
      <c r="AH104" s="14">
        <v>389.0</v>
      </c>
      <c r="AI104" s="14">
        <v>382.8</v>
      </c>
      <c r="AJ104" s="14">
        <v>1.43</v>
      </c>
      <c r="AK104" s="14">
        <v>1.62</v>
      </c>
      <c r="AL104" s="14">
        <v>1.5</v>
      </c>
      <c r="AM104" s="14">
        <v>1.73</v>
      </c>
      <c r="AN104" s="14">
        <v>1.53</v>
      </c>
      <c r="AO104" s="14">
        <v>1.5619999999999998</v>
      </c>
      <c r="AP104" s="14">
        <v>146.0</v>
      </c>
      <c r="AQ104" s="14">
        <v>244.0</v>
      </c>
      <c r="AR104" s="14">
        <v>45.0</v>
      </c>
      <c r="AS104" s="14">
        <v>33.0</v>
      </c>
      <c r="AT104" s="14">
        <v>3.02</v>
      </c>
      <c r="AU104" s="14">
        <v>1.7E7</v>
      </c>
      <c r="AV104" s="15">
        <v>2.075</v>
      </c>
      <c r="AW104" s="15">
        <v>22.1</v>
      </c>
      <c r="AX104" s="15">
        <v>46000.0</v>
      </c>
      <c r="AY104" s="14">
        <v>0.315</v>
      </c>
      <c r="AZ104" s="14">
        <v>0.022</v>
      </c>
      <c r="BA104" s="14">
        <v>22.437</v>
      </c>
    </row>
    <row r="105" ht="14.25" customHeight="1">
      <c r="A105" s="10" t="s">
        <v>191</v>
      </c>
      <c r="B105" s="11" t="s">
        <v>114</v>
      </c>
      <c r="C105" s="11"/>
      <c r="D105" s="12"/>
      <c r="E105" s="11">
        <v>42935.0</v>
      </c>
      <c r="F105" s="12">
        <v>1.0</v>
      </c>
      <c r="G105" s="12"/>
      <c r="H105" s="13">
        <v>0.2916666666666667</v>
      </c>
      <c r="I105" s="13">
        <v>0.37499999999999994</v>
      </c>
      <c r="J105" s="18">
        <v>2.0</v>
      </c>
      <c r="K105" s="18">
        <v>0.08</v>
      </c>
      <c r="L105" s="14">
        <v>10.9</v>
      </c>
      <c r="M105" s="14">
        <v>9.7</v>
      </c>
      <c r="N105" s="14">
        <v>13.0</v>
      </c>
      <c r="O105" s="14">
        <v>15.2</v>
      </c>
      <c r="P105" s="14">
        <v>13.8</v>
      </c>
      <c r="Q105" s="14">
        <v>12.52</v>
      </c>
      <c r="R105" s="14">
        <v>7.16</v>
      </c>
      <c r="S105" s="14">
        <v>7.25</v>
      </c>
      <c r="T105" s="14">
        <v>7.45</v>
      </c>
      <c r="U105" s="14">
        <v>7.46</v>
      </c>
      <c r="V105" s="14">
        <v>7.46</v>
      </c>
      <c r="W105" s="14">
        <v>7.356</v>
      </c>
      <c r="X105" s="14">
        <v>17.5</v>
      </c>
      <c r="Y105" s="14">
        <v>17.5</v>
      </c>
      <c r="Z105" s="14">
        <v>17.9</v>
      </c>
      <c r="AA105" s="14">
        <v>18.2</v>
      </c>
      <c r="AB105" s="14">
        <v>18.3</v>
      </c>
      <c r="AC105" s="14">
        <v>17.88</v>
      </c>
      <c r="AD105" s="14">
        <v>253.0</v>
      </c>
      <c r="AE105" s="14">
        <v>242.0</v>
      </c>
      <c r="AF105" s="14">
        <v>293.0</v>
      </c>
      <c r="AG105" s="14">
        <v>320.0</v>
      </c>
      <c r="AH105" s="14">
        <v>315.0</v>
      </c>
      <c r="AI105" s="14">
        <v>284.6</v>
      </c>
      <c r="AJ105" s="14">
        <v>3.57</v>
      </c>
      <c r="AK105" s="14">
        <v>4.15</v>
      </c>
      <c r="AL105" s="14">
        <v>3.45</v>
      </c>
      <c r="AM105" s="14">
        <v>2.95</v>
      </c>
      <c r="AN105" s="14">
        <v>3.29</v>
      </c>
      <c r="AO105" s="14">
        <v>3.482</v>
      </c>
      <c r="AP105" s="14">
        <v>78.2</v>
      </c>
      <c r="AQ105" s="14">
        <v>135.0</v>
      </c>
      <c r="AR105" s="14">
        <v>19.0</v>
      </c>
      <c r="AS105" s="14">
        <v>16.0</v>
      </c>
      <c r="AT105" s="14">
        <v>0.85</v>
      </c>
      <c r="AU105" s="14">
        <v>1700000.0</v>
      </c>
      <c r="AV105" s="15">
        <v>1.508</v>
      </c>
      <c r="AW105" s="15">
        <v>13.7</v>
      </c>
      <c r="AX105" s="15">
        <v>92000.0</v>
      </c>
      <c r="AY105" s="14">
        <v>0.641</v>
      </c>
      <c r="AZ105" s="14">
        <v>0.183</v>
      </c>
      <c r="BA105" s="14">
        <v>14.524</v>
      </c>
    </row>
    <row r="106" ht="14.25" customHeight="1">
      <c r="A106" s="10" t="s">
        <v>192</v>
      </c>
      <c r="B106" s="11" t="s">
        <v>89</v>
      </c>
      <c r="C106" s="11"/>
      <c r="D106" s="12"/>
      <c r="E106" s="11">
        <v>42935.0</v>
      </c>
      <c r="F106" s="12">
        <v>1.0</v>
      </c>
      <c r="G106" s="12"/>
      <c r="H106" s="13">
        <v>0.3958333333333333</v>
      </c>
      <c r="I106" s="13">
        <v>0.4791666666666666</v>
      </c>
      <c r="J106" s="18">
        <v>2.8</v>
      </c>
      <c r="K106" s="18">
        <v>0.09</v>
      </c>
      <c r="L106" s="14">
        <v>58.8</v>
      </c>
      <c r="M106" s="14">
        <v>57.1</v>
      </c>
      <c r="N106" s="14">
        <v>65.3</v>
      </c>
      <c r="O106" s="14">
        <v>63.8</v>
      </c>
      <c r="P106" s="14">
        <v>63.9</v>
      </c>
      <c r="Q106" s="14">
        <v>61.779999999999994</v>
      </c>
      <c r="R106" s="14">
        <v>7.43</v>
      </c>
      <c r="S106" s="14">
        <v>7.54</v>
      </c>
      <c r="T106" s="14">
        <v>7.61</v>
      </c>
      <c r="U106" s="14">
        <v>7.69</v>
      </c>
      <c r="V106" s="14">
        <v>7.75</v>
      </c>
      <c r="W106" s="14">
        <v>7.603999999999999</v>
      </c>
      <c r="X106" s="14">
        <v>18.1</v>
      </c>
      <c r="Y106" s="14">
        <v>18.6</v>
      </c>
      <c r="Z106" s="14">
        <v>20.0</v>
      </c>
      <c r="AA106" s="14">
        <v>20.5</v>
      </c>
      <c r="AB106" s="14">
        <v>21.6</v>
      </c>
      <c r="AC106" s="14">
        <v>19.76</v>
      </c>
      <c r="AD106" s="14">
        <v>292.0</v>
      </c>
      <c r="AE106" s="14">
        <v>316.0</v>
      </c>
      <c r="AF106" s="14">
        <v>317.0</v>
      </c>
      <c r="AG106" s="14">
        <v>317.0</v>
      </c>
      <c r="AH106" s="14">
        <v>325.0</v>
      </c>
      <c r="AI106" s="14">
        <v>313.4</v>
      </c>
      <c r="AJ106" s="14">
        <v>3.87</v>
      </c>
      <c r="AK106" s="14">
        <v>3.92</v>
      </c>
      <c r="AL106" s="14">
        <v>4.36</v>
      </c>
      <c r="AM106" s="14">
        <v>4.45</v>
      </c>
      <c r="AN106" s="14">
        <v>5.6</v>
      </c>
      <c r="AO106" s="14">
        <v>4.44</v>
      </c>
      <c r="AP106" s="14">
        <v>16.6</v>
      </c>
      <c r="AQ106" s="14">
        <v>134.0</v>
      </c>
      <c r="AR106" s="14">
        <v>11.0</v>
      </c>
      <c r="AS106" s="14">
        <v>14.0</v>
      </c>
      <c r="AT106" s="14">
        <v>0.71</v>
      </c>
      <c r="AU106" s="14">
        <v>1300000.0</v>
      </c>
      <c r="AV106" s="15">
        <v>0.614</v>
      </c>
      <c r="AW106" s="15">
        <v>7.9</v>
      </c>
      <c r="AX106" s="15">
        <v>1100.0</v>
      </c>
      <c r="AY106" s="14">
        <v>0.83</v>
      </c>
      <c r="AZ106" s="14">
        <v>0.112</v>
      </c>
      <c r="BA106" s="14">
        <v>8.842</v>
      </c>
    </row>
    <row r="107" ht="14.25" customHeight="1">
      <c r="A107" s="10" t="s">
        <v>193</v>
      </c>
      <c r="B107" s="11" t="s">
        <v>81</v>
      </c>
      <c r="C107" s="11"/>
      <c r="D107" s="12"/>
      <c r="E107" s="11">
        <v>42935.0</v>
      </c>
      <c r="F107" s="12">
        <v>1.0</v>
      </c>
      <c r="G107" s="12"/>
      <c r="H107" s="13">
        <v>0.5208333333333334</v>
      </c>
      <c r="I107" s="13">
        <v>0.6041666666666664</v>
      </c>
      <c r="J107" s="12">
        <v>3.0</v>
      </c>
      <c r="K107" s="12">
        <v>0.1</v>
      </c>
      <c r="L107" s="14">
        <v>84.9</v>
      </c>
      <c r="M107" s="14">
        <v>83.3</v>
      </c>
      <c r="N107" s="14">
        <v>84.3</v>
      </c>
      <c r="O107" s="14">
        <v>83.9</v>
      </c>
      <c r="P107" s="14">
        <v>85.2</v>
      </c>
      <c r="Q107" s="14">
        <v>84.32</v>
      </c>
      <c r="R107" s="14">
        <v>8.72</v>
      </c>
      <c r="S107" s="14">
        <v>8.68</v>
      </c>
      <c r="T107" s="14">
        <v>8.61</v>
      </c>
      <c r="U107" s="14">
        <v>8.76</v>
      </c>
      <c r="V107" s="14">
        <v>8.97</v>
      </c>
      <c r="W107" s="14">
        <v>8.748</v>
      </c>
      <c r="X107" s="14">
        <v>23.7</v>
      </c>
      <c r="Y107" s="14">
        <v>23.6</v>
      </c>
      <c r="Z107" s="14">
        <v>22.4</v>
      </c>
      <c r="AA107" s="14">
        <v>21.9</v>
      </c>
      <c r="AB107" s="14">
        <v>22.0</v>
      </c>
      <c r="AC107" s="14">
        <v>22.72</v>
      </c>
      <c r="AD107" s="14">
        <v>325.0</v>
      </c>
      <c r="AE107" s="14">
        <v>326.0</v>
      </c>
      <c r="AF107" s="14">
        <v>326.0</v>
      </c>
      <c r="AG107" s="14">
        <v>322.0</v>
      </c>
      <c r="AH107" s="14">
        <v>324.0</v>
      </c>
      <c r="AI107" s="14">
        <v>324.6</v>
      </c>
      <c r="AJ107" s="14">
        <v>7.57</v>
      </c>
      <c r="AK107" s="14">
        <v>8.4</v>
      </c>
      <c r="AL107" s="14">
        <v>6.9</v>
      </c>
      <c r="AM107" s="14">
        <v>7.72</v>
      </c>
      <c r="AN107" s="14">
        <v>7.14</v>
      </c>
      <c r="AO107" s="14">
        <v>7.545999999999999</v>
      </c>
      <c r="AP107" s="14">
        <v>44.0</v>
      </c>
      <c r="AQ107" s="14">
        <v>163.0</v>
      </c>
      <c r="AR107" s="14">
        <v>13.0</v>
      </c>
      <c r="AS107" s="14">
        <v>19.0</v>
      </c>
      <c r="AT107" s="14">
        <v>1.02</v>
      </c>
      <c r="AU107" s="14">
        <v>2000000.0</v>
      </c>
      <c r="AV107" s="15">
        <v>0.684</v>
      </c>
      <c r="AW107" s="15">
        <v>9.6</v>
      </c>
      <c r="AX107" s="15">
        <v>24000.0</v>
      </c>
      <c r="AY107" s="14">
        <v>0.826</v>
      </c>
      <c r="AZ107" s="14">
        <v>0.165</v>
      </c>
      <c r="BA107" s="14">
        <v>10.591</v>
      </c>
    </row>
    <row r="108" ht="14.25" customHeight="1">
      <c r="A108" s="10" t="s">
        <v>194</v>
      </c>
      <c r="B108" s="11" t="s">
        <v>87</v>
      </c>
      <c r="C108" s="11"/>
      <c r="D108" s="12"/>
      <c r="E108" s="11">
        <v>42935.0</v>
      </c>
      <c r="F108" s="12">
        <v>1.0</v>
      </c>
      <c r="G108" s="12"/>
      <c r="H108" s="13">
        <v>0.625</v>
      </c>
      <c r="I108" s="13">
        <v>0.708333333333333</v>
      </c>
      <c r="J108" s="18">
        <v>5.5</v>
      </c>
      <c r="K108" s="18">
        <v>0.51</v>
      </c>
      <c r="L108" s="14">
        <v>368.5</v>
      </c>
      <c r="M108" s="14">
        <v>369.8</v>
      </c>
      <c r="N108" s="14">
        <v>408.5</v>
      </c>
      <c r="O108" s="14">
        <v>418.0</v>
      </c>
      <c r="P108" s="14">
        <v>420.2</v>
      </c>
      <c r="Q108" s="14">
        <v>397.0</v>
      </c>
      <c r="R108" s="14">
        <v>7.16</v>
      </c>
      <c r="S108" s="14">
        <v>7.12</v>
      </c>
      <c r="T108" s="14">
        <v>7.13</v>
      </c>
      <c r="U108" s="14">
        <v>7.19</v>
      </c>
      <c r="V108" s="14">
        <v>7.21</v>
      </c>
      <c r="W108" s="14">
        <v>7.162000000000001</v>
      </c>
      <c r="X108" s="14">
        <v>17.7</v>
      </c>
      <c r="Y108" s="14">
        <v>18.2</v>
      </c>
      <c r="Z108" s="14">
        <v>18.3</v>
      </c>
      <c r="AA108" s="14">
        <v>18.3</v>
      </c>
      <c r="AB108" s="14">
        <v>18.5</v>
      </c>
      <c r="AC108" s="14">
        <v>18.2</v>
      </c>
      <c r="AD108" s="14">
        <v>320.0</v>
      </c>
      <c r="AE108" s="14">
        <v>328.0</v>
      </c>
      <c r="AF108" s="14">
        <v>343.0</v>
      </c>
      <c r="AG108" s="14">
        <v>353.0</v>
      </c>
      <c r="AH108" s="14">
        <v>359.0</v>
      </c>
      <c r="AI108" s="14">
        <v>340.6</v>
      </c>
      <c r="AJ108" s="14">
        <v>0.94</v>
      </c>
      <c r="AK108" s="14">
        <v>0.3</v>
      </c>
      <c r="AL108" s="14">
        <v>0.46</v>
      </c>
      <c r="AM108" s="14">
        <v>0.56</v>
      </c>
      <c r="AN108" s="14">
        <v>1.03</v>
      </c>
      <c r="AO108" s="14">
        <v>0.658</v>
      </c>
      <c r="AP108" s="14">
        <v>22.6</v>
      </c>
      <c r="AQ108" s="14">
        <v>196.0</v>
      </c>
      <c r="AR108" s="14">
        <v>44.4</v>
      </c>
      <c r="AS108" s="14">
        <v>15.0</v>
      </c>
      <c r="AT108" s="14">
        <v>1.1</v>
      </c>
      <c r="AU108" s="14">
        <v>1.1E7</v>
      </c>
      <c r="AV108" s="15">
        <v>2.048</v>
      </c>
      <c r="AW108" s="15">
        <v>18.1</v>
      </c>
      <c r="AX108" s="15">
        <v>3300.0</v>
      </c>
      <c r="AY108" s="14">
        <v>0.34</v>
      </c>
      <c r="AZ108" s="14">
        <v>0.01</v>
      </c>
      <c r="BA108" s="14">
        <v>18.450000000000003</v>
      </c>
    </row>
    <row r="109" ht="14.25" customHeight="1">
      <c r="A109" s="10" t="s">
        <v>195</v>
      </c>
      <c r="B109" s="11" t="s">
        <v>95</v>
      </c>
      <c r="C109" s="11"/>
      <c r="D109" s="12"/>
      <c r="E109" s="11">
        <v>42937.0</v>
      </c>
      <c r="F109" s="12">
        <v>1.0</v>
      </c>
      <c r="G109" s="12"/>
      <c r="H109" s="13">
        <v>0.2916666666666667</v>
      </c>
      <c r="I109" s="13">
        <v>0.37499999999999994</v>
      </c>
      <c r="J109" s="12"/>
      <c r="K109" s="12"/>
      <c r="L109" s="14">
        <v>1.88</v>
      </c>
      <c r="M109" s="14">
        <v>2.04</v>
      </c>
      <c r="N109" s="14">
        <v>2.04</v>
      </c>
      <c r="O109" s="14">
        <v>2.06</v>
      </c>
      <c r="P109" s="14">
        <v>2.21</v>
      </c>
      <c r="Q109" s="14">
        <v>2.0460000000000003</v>
      </c>
      <c r="R109" s="14">
        <v>7.17</v>
      </c>
      <c r="S109" s="14">
        <v>7.42</v>
      </c>
      <c r="T109" s="14">
        <v>7.45</v>
      </c>
      <c r="U109" s="14">
        <v>7.4</v>
      </c>
      <c r="V109" s="14">
        <v>7.63</v>
      </c>
      <c r="W109" s="14">
        <v>7.414</v>
      </c>
      <c r="X109" s="14">
        <v>15.2</v>
      </c>
      <c r="Y109" s="14">
        <v>14.8</v>
      </c>
      <c r="Z109" s="14">
        <v>15.1</v>
      </c>
      <c r="AA109" s="14">
        <v>15.2</v>
      </c>
      <c r="AB109" s="14">
        <v>15.3</v>
      </c>
      <c r="AC109" s="14">
        <v>15.12</v>
      </c>
      <c r="AD109" s="14">
        <v>67.7</v>
      </c>
      <c r="AE109" s="14">
        <v>105.5</v>
      </c>
      <c r="AF109" s="14">
        <v>92.9</v>
      </c>
      <c r="AG109" s="14">
        <v>95.3</v>
      </c>
      <c r="AH109" s="14">
        <v>155.5</v>
      </c>
      <c r="AI109" s="14">
        <v>103.38000000000002</v>
      </c>
      <c r="AJ109" s="14">
        <v>5.13</v>
      </c>
      <c r="AK109" s="14">
        <v>5.1</v>
      </c>
      <c r="AL109" s="14">
        <v>4.88</v>
      </c>
      <c r="AM109" s="14">
        <v>4.7</v>
      </c>
      <c r="AN109" s="14">
        <v>5.3</v>
      </c>
      <c r="AO109" s="14">
        <v>5.022</v>
      </c>
      <c r="AP109" s="14">
        <v>20.5</v>
      </c>
      <c r="AQ109" s="14">
        <v>291.0</v>
      </c>
      <c r="AR109" s="14">
        <v>11.5</v>
      </c>
      <c r="AS109" s="14">
        <v>8.0</v>
      </c>
      <c r="AT109" s="14">
        <v>0.47</v>
      </c>
      <c r="AU109" s="14">
        <v>1600000.0</v>
      </c>
      <c r="AV109" s="15">
        <v>0.595</v>
      </c>
      <c r="AW109" s="15">
        <v>5.8</v>
      </c>
      <c r="AX109" s="15">
        <v>11000.0</v>
      </c>
      <c r="AY109" s="14">
        <v>1.116</v>
      </c>
      <c r="AZ109" s="14">
        <v>0.049</v>
      </c>
      <c r="BA109" s="14">
        <v>6.965</v>
      </c>
    </row>
    <row r="110" ht="14.25" customHeight="1">
      <c r="A110" s="10" t="s">
        <v>196</v>
      </c>
      <c r="B110" s="11" t="s">
        <v>85</v>
      </c>
      <c r="C110" s="11"/>
      <c r="D110" s="12"/>
      <c r="E110" s="11">
        <v>42937.0</v>
      </c>
      <c r="F110" s="12">
        <v>1.0</v>
      </c>
      <c r="G110" s="12"/>
      <c r="H110" s="13">
        <v>0.3958333333333333</v>
      </c>
      <c r="I110" s="13">
        <v>0.4791666666666666</v>
      </c>
      <c r="J110" s="18">
        <v>5.0</v>
      </c>
      <c r="K110" s="18">
        <v>0.14</v>
      </c>
      <c r="L110" s="14">
        <v>228.8</v>
      </c>
      <c r="M110" s="14">
        <v>218.1</v>
      </c>
      <c r="N110" s="14">
        <v>243.2</v>
      </c>
      <c r="O110" s="14">
        <v>232.8</v>
      </c>
      <c r="P110" s="14">
        <v>223.7</v>
      </c>
      <c r="Q110" s="14">
        <v>229.32</v>
      </c>
      <c r="R110" s="14">
        <v>8.29</v>
      </c>
      <c r="S110" s="14">
        <v>8.26</v>
      </c>
      <c r="T110" s="14">
        <v>8.31</v>
      </c>
      <c r="U110" s="14">
        <v>8.34</v>
      </c>
      <c r="V110" s="14">
        <v>8.38</v>
      </c>
      <c r="W110" s="14">
        <v>8.316</v>
      </c>
      <c r="X110" s="14">
        <v>19.7</v>
      </c>
      <c r="Y110" s="14">
        <v>19.1</v>
      </c>
      <c r="Z110" s="14">
        <v>19.6</v>
      </c>
      <c r="AA110" s="14">
        <v>18.4</v>
      </c>
      <c r="AB110" s="14">
        <v>19.8</v>
      </c>
      <c r="AC110" s="14">
        <v>19.32</v>
      </c>
      <c r="AD110" s="14">
        <v>567.0</v>
      </c>
      <c r="AE110" s="14">
        <v>567.0</v>
      </c>
      <c r="AF110" s="14">
        <v>586.0</v>
      </c>
      <c r="AG110" s="14">
        <v>606.0</v>
      </c>
      <c r="AH110" s="14">
        <v>619.0</v>
      </c>
      <c r="AI110" s="14">
        <v>589.0</v>
      </c>
      <c r="AJ110" s="14">
        <v>0.36</v>
      </c>
      <c r="AK110" s="14">
        <v>0.41</v>
      </c>
      <c r="AL110" s="14">
        <v>0.58</v>
      </c>
      <c r="AM110" s="14">
        <v>0.94</v>
      </c>
      <c r="AN110" s="14">
        <v>0.71</v>
      </c>
      <c r="AO110" s="14">
        <v>0.6</v>
      </c>
      <c r="AP110" s="14">
        <v>253.0</v>
      </c>
      <c r="AQ110" s="14">
        <v>421.0</v>
      </c>
      <c r="AR110" s="14">
        <v>303.0</v>
      </c>
      <c r="AS110" s="14">
        <v>85.0</v>
      </c>
      <c r="AT110" s="14">
        <v>7.22</v>
      </c>
      <c r="AU110" s="14">
        <v>4.1E7</v>
      </c>
      <c r="AV110" s="15">
        <v>4.342</v>
      </c>
      <c r="AW110" s="15">
        <v>50.6</v>
      </c>
      <c r="AX110" s="15">
        <v>680000.0</v>
      </c>
      <c r="AY110" s="14">
        <v>1.064</v>
      </c>
      <c r="AZ110" s="14">
        <v>0.17</v>
      </c>
      <c r="BA110" s="14">
        <v>51.834</v>
      </c>
    </row>
    <row r="111" ht="14.25" customHeight="1">
      <c r="A111" s="10" t="s">
        <v>197</v>
      </c>
      <c r="B111" s="11" t="s">
        <v>97</v>
      </c>
      <c r="C111" s="11"/>
      <c r="D111" s="12"/>
      <c r="E111" s="11">
        <v>42937.0</v>
      </c>
      <c r="F111" s="12">
        <v>1.0</v>
      </c>
      <c r="G111" s="12"/>
      <c r="H111" s="13">
        <v>0.3125</v>
      </c>
      <c r="I111" s="13">
        <v>0.39583333333333326</v>
      </c>
      <c r="J111" s="12"/>
      <c r="K111" s="12"/>
      <c r="L111" s="14">
        <v>0.18</v>
      </c>
      <c r="M111" s="14">
        <v>0.15</v>
      </c>
      <c r="N111" s="14">
        <v>0.19</v>
      </c>
      <c r="O111" s="14">
        <v>0.16</v>
      </c>
      <c r="P111" s="14">
        <v>1.42</v>
      </c>
      <c r="Q111" s="14">
        <v>0.42000000000000004</v>
      </c>
      <c r="R111" s="14">
        <v>7.45</v>
      </c>
      <c r="S111" s="14">
        <v>7.46</v>
      </c>
      <c r="T111" s="14">
        <v>7.35</v>
      </c>
      <c r="U111" s="14">
        <v>8.14</v>
      </c>
      <c r="V111" s="14">
        <v>8.2</v>
      </c>
      <c r="W111" s="14">
        <v>7.719999999999999</v>
      </c>
      <c r="X111" s="14">
        <v>14.4</v>
      </c>
      <c r="Y111" s="14">
        <v>14.3</v>
      </c>
      <c r="Z111" s="14">
        <v>14.7</v>
      </c>
      <c r="AA111" s="14">
        <v>15.5</v>
      </c>
      <c r="AB111" s="14">
        <v>16.4</v>
      </c>
      <c r="AC111" s="14">
        <v>15.060000000000002</v>
      </c>
      <c r="AD111" s="14">
        <v>162.6</v>
      </c>
      <c r="AE111" s="14">
        <v>158.7</v>
      </c>
      <c r="AF111" s="14">
        <v>157.3</v>
      </c>
      <c r="AG111" s="14">
        <v>152.9</v>
      </c>
      <c r="AH111" s="14">
        <v>481.0</v>
      </c>
      <c r="AI111" s="14">
        <v>222.5</v>
      </c>
      <c r="AJ111" s="14">
        <v>7.02</v>
      </c>
      <c r="AK111" s="14">
        <v>6.81</v>
      </c>
      <c r="AL111" s="14">
        <v>5.99</v>
      </c>
      <c r="AM111" s="14">
        <v>7.6</v>
      </c>
      <c r="AN111" s="14">
        <v>4.86</v>
      </c>
      <c r="AO111" s="14">
        <v>6.456</v>
      </c>
      <c r="AP111" s="14">
        <v>61.4</v>
      </c>
      <c r="AQ111" s="14">
        <v>77.7</v>
      </c>
      <c r="AR111" s="14">
        <v>35.0</v>
      </c>
      <c r="AS111" s="14">
        <v>8.0</v>
      </c>
      <c r="AT111" s="14">
        <v>0.4</v>
      </c>
      <c r="AU111" s="14">
        <v>120000.0</v>
      </c>
      <c r="AV111" s="15">
        <v>0.091</v>
      </c>
      <c r="AW111" s="15">
        <v>21.7</v>
      </c>
      <c r="AX111" s="15">
        <v>400.0</v>
      </c>
      <c r="AY111" s="14">
        <v>0.977</v>
      </c>
      <c r="AZ111" s="14">
        <v>0.092</v>
      </c>
      <c r="BA111" s="14">
        <v>22.769</v>
      </c>
    </row>
    <row r="112" ht="14.25" customHeight="1">
      <c r="A112" s="10" t="s">
        <v>198</v>
      </c>
      <c r="B112" s="11" t="s">
        <v>63</v>
      </c>
      <c r="C112" s="11"/>
      <c r="D112" s="12"/>
      <c r="E112" s="11">
        <v>42937.0</v>
      </c>
      <c r="F112" s="12">
        <v>1.0</v>
      </c>
      <c r="G112" s="12"/>
      <c r="H112" s="13">
        <v>0.4166666666666667</v>
      </c>
      <c r="I112" s="13">
        <v>0.49999999999999994</v>
      </c>
      <c r="J112" s="12">
        <v>6.6</v>
      </c>
      <c r="K112" s="12">
        <v>0.17</v>
      </c>
      <c r="L112" s="14">
        <v>329.2</v>
      </c>
      <c r="M112" s="14">
        <v>338.4</v>
      </c>
      <c r="N112" s="14">
        <v>329.6</v>
      </c>
      <c r="O112" s="14">
        <v>320.6</v>
      </c>
      <c r="P112" s="14">
        <v>308.9</v>
      </c>
      <c r="Q112" s="14">
        <v>325.34</v>
      </c>
      <c r="R112" s="14">
        <v>8.19</v>
      </c>
      <c r="S112" s="14">
        <v>8.12</v>
      </c>
      <c r="T112" s="14">
        <v>8.13</v>
      </c>
      <c r="U112" s="14">
        <v>8.14</v>
      </c>
      <c r="V112" s="14">
        <v>8.15</v>
      </c>
      <c r="W112" s="14">
        <v>8.145999999999999</v>
      </c>
      <c r="X112" s="14">
        <v>21.3</v>
      </c>
      <c r="Y112" s="14">
        <v>21.7</v>
      </c>
      <c r="Z112" s="14">
        <v>22.2</v>
      </c>
      <c r="AA112" s="14">
        <v>22.9</v>
      </c>
      <c r="AB112" s="14">
        <v>23.2</v>
      </c>
      <c r="AC112" s="14">
        <v>22.259999999999998</v>
      </c>
      <c r="AD112" s="14">
        <v>561.0</v>
      </c>
      <c r="AE112" s="14">
        <v>557.0</v>
      </c>
      <c r="AF112" s="14">
        <v>540.0</v>
      </c>
      <c r="AG112" s="14">
        <v>558.0</v>
      </c>
      <c r="AH112" s="14">
        <v>580.0</v>
      </c>
      <c r="AI112" s="14">
        <v>559.2</v>
      </c>
      <c r="AJ112" s="14">
        <v>0.2</v>
      </c>
      <c r="AK112" s="14">
        <v>0.38</v>
      </c>
      <c r="AL112" s="14">
        <v>0.33</v>
      </c>
      <c r="AM112" s="14">
        <v>0.63</v>
      </c>
      <c r="AN112" s="14">
        <v>0.58</v>
      </c>
      <c r="AO112" s="14">
        <v>0.42400000000000004</v>
      </c>
      <c r="AP112" s="14">
        <v>5.3</v>
      </c>
      <c r="AQ112" s="14">
        <v>18.2</v>
      </c>
      <c r="AR112" s="14">
        <v>182.0</v>
      </c>
      <c r="AS112" s="14">
        <v>50.0</v>
      </c>
      <c r="AT112" s="14">
        <v>4.33</v>
      </c>
      <c r="AU112" s="14">
        <v>7.7E7</v>
      </c>
      <c r="AV112" s="15">
        <v>2.426</v>
      </c>
      <c r="AW112" s="15">
        <v>46.4</v>
      </c>
      <c r="AX112" s="15">
        <v>490000.0</v>
      </c>
      <c r="AY112" s="14">
        <v>0.847</v>
      </c>
      <c r="AZ112" s="14">
        <v>0.014</v>
      </c>
      <c r="BA112" s="14">
        <v>47.261</v>
      </c>
    </row>
    <row r="113" ht="14.25" customHeight="1">
      <c r="A113" s="10" t="s">
        <v>199</v>
      </c>
      <c r="B113" s="11" t="s">
        <v>74</v>
      </c>
      <c r="C113" s="11"/>
      <c r="D113" s="12"/>
      <c r="E113" s="11">
        <v>42941.0</v>
      </c>
      <c r="F113" s="12">
        <v>1.0</v>
      </c>
      <c r="G113" s="12"/>
      <c r="H113" s="13">
        <v>0.25</v>
      </c>
      <c r="I113" s="13">
        <v>0.33333333333333326</v>
      </c>
      <c r="J113" s="18">
        <v>1.1</v>
      </c>
      <c r="K113" s="18">
        <v>0.27</v>
      </c>
      <c r="L113" s="14">
        <v>93.2</v>
      </c>
      <c r="M113" s="14">
        <v>97.2</v>
      </c>
      <c r="N113" s="14">
        <v>94.1</v>
      </c>
      <c r="O113" s="14">
        <v>90.6</v>
      </c>
      <c r="P113" s="14">
        <v>101.6</v>
      </c>
      <c r="Q113" s="14">
        <v>95.34</v>
      </c>
      <c r="R113" s="14">
        <v>7.25</v>
      </c>
      <c r="S113" s="14">
        <v>7.39</v>
      </c>
      <c r="T113" s="14">
        <v>7.48</v>
      </c>
      <c r="U113" s="14">
        <v>7.94</v>
      </c>
      <c r="V113" s="14">
        <v>7.62</v>
      </c>
      <c r="W113" s="14">
        <v>7.536</v>
      </c>
      <c r="X113" s="14">
        <v>11.4</v>
      </c>
      <c r="Y113" s="14">
        <v>11.4</v>
      </c>
      <c r="Z113" s="14">
        <v>11.1</v>
      </c>
      <c r="AA113" s="14">
        <v>11.2</v>
      </c>
      <c r="AB113" s="14">
        <v>11.2</v>
      </c>
      <c r="AC113" s="14">
        <v>11.26</v>
      </c>
      <c r="AD113" s="14">
        <v>84.9</v>
      </c>
      <c r="AE113" s="14">
        <v>87.4</v>
      </c>
      <c r="AF113" s="14">
        <v>82.1</v>
      </c>
      <c r="AG113" s="14">
        <v>75.6</v>
      </c>
      <c r="AH113" s="14">
        <v>71.9</v>
      </c>
      <c r="AI113" s="14">
        <v>80.38</v>
      </c>
      <c r="AJ113" s="14">
        <v>6.48</v>
      </c>
      <c r="AK113" s="14">
        <v>5.47</v>
      </c>
      <c r="AL113" s="14">
        <v>6.01</v>
      </c>
      <c r="AM113" s="14">
        <v>5.82</v>
      </c>
      <c r="AN113" s="14">
        <v>6.08</v>
      </c>
      <c r="AO113" s="14">
        <v>5.9719999999999995</v>
      </c>
      <c r="AP113" s="14">
        <v>3.7</v>
      </c>
      <c r="AQ113" s="14">
        <v>14.6</v>
      </c>
      <c r="AR113" s="14">
        <v>265.0</v>
      </c>
      <c r="AS113" s="14">
        <v>8.0</v>
      </c>
      <c r="AT113" s="14">
        <v>0.4</v>
      </c>
      <c r="AU113" s="14">
        <v>250000.0</v>
      </c>
      <c r="AV113" s="15">
        <v>0.314</v>
      </c>
      <c r="AW113" s="19">
        <v>1.0</v>
      </c>
      <c r="AX113" s="15">
        <v>2000.0</v>
      </c>
      <c r="AY113" s="14">
        <v>1.365</v>
      </c>
      <c r="AZ113" s="14">
        <v>0.043</v>
      </c>
      <c r="BA113" s="14">
        <v>2.408</v>
      </c>
    </row>
    <row r="114" ht="14.25" customHeight="1">
      <c r="A114" s="10" t="s">
        <v>200</v>
      </c>
      <c r="B114" s="11" t="s">
        <v>102</v>
      </c>
      <c r="C114" s="11"/>
      <c r="D114" s="12"/>
      <c r="E114" s="11">
        <v>42941.0</v>
      </c>
      <c r="F114" s="12">
        <v>1.0</v>
      </c>
      <c r="G114" s="12"/>
      <c r="H114" s="13">
        <v>0.3541666666666667</v>
      </c>
      <c r="I114" s="13">
        <v>0.43749999999999994</v>
      </c>
      <c r="J114" s="18">
        <v>2.1</v>
      </c>
      <c r="K114" s="18">
        <v>0.16</v>
      </c>
      <c r="L114" s="14">
        <v>133.9</v>
      </c>
      <c r="M114" s="14">
        <v>134.0</v>
      </c>
      <c r="N114" s="14">
        <v>119.9</v>
      </c>
      <c r="O114" s="14">
        <v>122.1</v>
      </c>
      <c r="P114" s="14">
        <v>113.7</v>
      </c>
      <c r="Q114" s="14">
        <v>124.72</v>
      </c>
      <c r="R114" s="14">
        <v>7.74</v>
      </c>
      <c r="S114" s="14">
        <v>7.71</v>
      </c>
      <c r="T114" s="14">
        <v>7.78</v>
      </c>
      <c r="U114" s="14">
        <v>7.79</v>
      </c>
      <c r="V114" s="14">
        <v>7.78</v>
      </c>
      <c r="W114" s="14">
        <v>7.76</v>
      </c>
      <c r="X114" s="14">
        <v>12.1</v>
      </c>
      <c r="Y114" s="14">
        <v>12.1</v>
      </c>
      <c r="Z114" s="14">
        <v>12.1</v>
      </c>
      <c r="AA114" s="14">
        <v>12.2</v>
      </c>
      <c r="AB114" s="14">
        <v>11.7</v>
      </c>
      <c r="AC114" s="14">
        <v>12.040000000000001</v>
      </c>
      <c r="AD114" s="14">
        <v>140.7</v>
      </c>
      <c r="AE114" s="14">
        <v>139.2</v>
      </c>
      <c r="AF114" s="14">
        <v>135.4</v>
      </c>
      <c r="AG114" s="14">
        <v>143.1</v>
      </c>
      <c r="AH114" s="14">
        <v>137.6</v>
      </c>
      <c r="AI114" s="14">
        <v>139.2</v>
      </c>
      <c r="AJ114" s="14">
        <v>6.32</v>
      </c>
      <c r="AK114" s="14">
        <v>6.33</v>
      </c>
      <c r="AL114" s="14">
        <v>5.35</v>
      </c>
      <c r="AM114" s="14">
        <v>5.98</v>
      </c>
      <c r="AN114" s="14">
        <v>5.44</v>
      </c>
      <c r="AO114" s="14">
        <v>5.884</v>
      </c>
      <c r="AP114" s="14">
        <v>12.7</v>
      </c>
      <c r="AQ114" s="14">
        <v>22.0</v>
      </c>
      <c r="AR114" s="14">
        <v>324.0</v>
      </c>
      <c r="AS114" s="14">
        <v>6.0</v>
      </c>
      <c r="AT114" s="14">
        <v>0.4</v>
      </c>
      <c r="AU114" s="14">
        <v>2400000.0</v>
      </c>
      <c r="AV114" s="15">
        <v>0.551</v>
      </c>
      <c r="AW114" s="15">
        <v>4.9</v>
      </c>
      <c r="AX114" s="15">
        <v>13000.0</v>
      </c>
      <c r="AY114" s="14">
        <v>2.555</v>
      </c>
      <c r="AZ114" s="14">
        <v>0.092</v>
      </c>
      <c r="BA114" s="14">
        <v>7.547000000000001</v>
      </c>
    </row>
    <row r="115" ht="14.25" customHeight="1">
      <c r="A115" s="10" t="s">
        <v>201</v>
      </c>
      <c r="B115" s="11" t="s">
        <v>100</v>
      </c>
      <c r="C115" s="11"/>
      <c r="D115" s="12"/>
      <c r="E115" s="11">
        <v>42941.0</v>
      </c>
      <c r="F115" s="12">
        <v>1.0</v>
      </c>
      <c r="G115" s="12"/>
      <c r="H115" s="13">
        <v>0.4583333333333333</v>
      </c>
      <c r="I115" s="13">
        <v>0.5416666666666665</v>
      </c>
      <c r="J115" s="18">
        <v>1.0</v>
      </c>
      <c r="K115" s="18">
        <v>0.27</v>
      </c>
      <c r="L115" s="14">
        <v>163.6</v>
      </c>
      <c r="M115" s="14">
        <v>160.8</v>
      </c>
      <c r="N115" s="14">
        <v>134.1</v>
      </c>
      <c r="O115" s="14">
        <v>144.1</v>
      </c>
      <c r="P115" s="14">
        <v>142.2</v>
      </c>
      <c r="Q115" s="14">
        <v>148.95999999999998</v>
      </c>
      <c r="R115" s="14">
        <v>7.86</v>
      </c>
      <c r="S115" s="14">
        <v>7.79</v>
      </c>
      <c r="T115" s="14">
        <v>7.58</v>
      </c>
      <c r="U115" s="14">
        <v>7.46</v>
      </c>
      <c r="V115" s="14">
        <v>7.47</v>
      </c>
      <c r="W115" s="14">
        <v>7.632000000000001</v>
      </c>
      <c r="X115" s="14">
        <v>14.0</v>
      </c>
      <c r="Y115" s="14">
        <v>14.2</v>
      </c>
      <c r="Z115" s="14">
        <v>14.3</v>
      </c>
      <c r="AA115" s="14">
        <v>14.7</v>
      </c>
      <c r="AB115" s="14">
        <v>14.5</v>
      </c>
      <c r="AC115" s="14">
        <v>14.34</v>
      </c>
      <c r="AD115" s="14">
        <v>253.0</v>
      </c>
      <c r="AE115" s="14">
        <v>253.0</v>
      </c>
      <c r="AF115" s="14">
        <v>256.0</v>
      </c>
      <c r="AG115" s="14">
        <v>249.0</v>
      </c>
      <c r="AH115" s="14">
        <v>242.0</v>
      </c>
      <c r="AI115" s="14">
        <v>250.6</v>
      </c>
      <c r="AJ115" s="14">
        <v>3.08</v>
      </c>
      <c r="AK115" s="14">
        <v>3.04</v>
      </c>
      <c r="AL115" s="14">
        <v>2.59</v>
      </c>
      <c r="AM115" s="14">
        <v>2.86</v>
      </c>
      <c r="AN115" s="14">
        <v>2.51</v>
      </c>
      <c r="AO115" s="14">
        <v>2.816</v>
      </c>
      <c r="AP115" s="14">
        <v>18.4</v>
      </c>
      <c r="AQ115" s="14">
        <v>19.0</v>
      </c>
      <c r="AR115" s="14">
        <v>343.3</v>
      </c>
      <c r="AS115" s="14">
        <v>7.0</v>
      </c>
      <c r="AT115" s="14">
        <v>0.49</v>
      </c>
      <c r="AU115" s="14">
        <v>3300000.0</v>
      </c>
      <c r="AV115" s="15">
        <v>1.103</v>
      </c>
      <c r="AW115" s="15">
        <v>9.7</v>
      </c>
      <c r="AX115" s="15">
        <v>92000.0</v>
      </c>
      <c r="AY115" s="14">
        <v>1.334</v>
      </c>
      <c r="AZ115" s="14">
        <v>0.167</v>
      </c>
      <c r="BA115" s="14">
        <v>11.200999999999999</v>
      </c>
    </row>
    <row r="116" ht="14.25" customHeight="1">
      <c r="A116" s="10" t="s">
        <v>202</v>
      </c>
      <c r="B116" s="11" t="s">
        <v>91</v>
      </c>
      <c r="C116" s="11"/>
      <c r="D116" s="12"/>
      <c r="E116" s="11">
        <v>42941.0</v>
      </c>
      <c r="F116" s="12">
        <v>1.0</v>
      </c>
      <c r="G116" s="12"/>
      <c r="H116" s="13">
        <v>0.625</v>
      </c>
      <c r="I116" s="13">
        <v>0.708333333333333</v>
      </c>
      <c r="J116" s="18">
        <v>6.0</v>
      </c>
      <c r="K116" s="18">
        <v>0.43</v>
      </c>
      <c r="L116" s="14">
        <v>131.5</v>
      </c>
      <c r="M116" s="14">
        <v>110.7</v>
      </c>
      <c r="N116" s="14">
        <v>141.4</v>
      </c>
      <c r="O116" s="14">
        <v>123.6</v>
      </c>
      <c r="P116" s="14">
        <v>113.6</v>
      </c>
      <c r="Q116" s="14">
        <v>124.16000000000001</v>
      </c>
      <c r="R116" s="14">
        <v>7.34</v>
      </c>
      <c r="S116" s="14">
        <v>7.33</v>
      </c>
      <c r="T116" s="14">
        <v>7.34</v>
      </c>
      <c r="U116" s="14">
        <v>7.33</v>
      </c>
      <c r="V116" s="14">
        <v>7.35</v>
      </c>
      <c r="W116" s="14">
        <v>7.337999999999999</v>
      </c>
      <c r="X116" s="14">
        <v>17.3</v>
      </c>
      <c r="Y116" s="14">
        <v>17.3</v>
      </c>
      <c r="Z116" s="14">
        <v>17.3</v>
      </c>
      <c r="AA116" s="14">
        <v>17.3</v>
      </c>
      <c r="AB116" s="14">
        <v>17.4</v>
      </c>
      <c r="AC116" s="14">
        <v>17.32</v>
      </c>
      <c r="AD116" s="14">
        <v>476.0</v>
      </c>
      <c r="AE116" s="14">
        <v>475.0</v>
      </c>
      <c r="AF116" s="14">
        <v>477.0</v>
      </c>
      <c r="AG116" s="14">
        <v>477.0</v>
      </c>
      <c r="AH116" s="14">
        <v>479.0</v>
      </c>
      <c r="AI116" s="14">
        <v>476.8</v>
      </c>
      <c r="AJ116" s="14">
        <v>0.54</v>
      </c>
      <c r="AK116" s="14">
        <v>0.63</v>
      </c>
      <c r="AL116" s="14">
        <v>0.32</v>
      </c>
      <c r="AM116" s="14">
        <v>0.52</v>
      </c>
      <c r="AN116" s="14">
        <v>0.37</v>
      </c>
      <c r="AO116" s="14">
        <v>0.476</v>
      </c>
      <c r="AP116" s="14">
        <v>39.2</v>
      </c>
      <c r="AQ116" s="14">
        <v>83.5</v>
      </c>
      <c r="AR116" s="14">
        <v>27.1</v>
      </c>
      <c r="AS116" s="14">
        <v>7.0</v>
      </c>
      <c r="AT116" s="14">
        <v>2.06</v>
      </c>
      <c r="AU116" s="14">
        <v>8600000.0</v>
      </c>
      <c r="AV116" s="15">
        <v>2.416</v>
      </c>
      <c r="AW116" s="15">
        <v>22.0</v>
      </c>
      <c r="AX116" s="15">
        <v>78000.0</v>
      </c>
      <c r="AY116" s="14">
        <v>0.502</v>
      </c>
      <c r="AZ116" s="14">
        <v>0.01</v>
      </c>
      <c r="BA116" s="14">
        <v>22.512</v>
      </c>
    </row>
    <row r="117" ht="14.25" customHeight="1">
      <c r="A117" s="10" t="s">
        <v>203</v>
      </c>
      <c r="B117" s="11" t="s">
        <v>145</v>
      </c>
      <c r="C117" s="11"/>
      <c r="D117" s="12"/>
      <c r="E117" s="11">
        <v>42879.0</v>
      </c>
      <c r="F117" s="12">
        <v>1.0</v>
      </c>
      <c r="G117" s="12"/>
      <c r="H117" s="13">
        <v>0.3541666666666667</v>
      </c>
      <c r="I117" s="13">
        <v>0.43749999999999994</v>
      </c>
      <c r="J117" s="12">
        <v>0.3</v>
      </c>
      <c r="K117" s="12">
        <v>0.064</v>
      </c>
      <c r="L117" s="14">
        <v>2.03</v>
      </c>
      <c r="M117" s="14">
        <v>2.3</v>
      </c>
      <c r="N117" s="14">
        <v>2.4</v>
      </c>
      <c r="O117" s="14">
        <v>2.34</v>
      </c>
      <c r="P117" s="14">
        <v>2.44</v>
      </c>
      <c r="Q117" s="14">
        <v>2.302</v>
      </c>
      <c r="R117" s="14">
        <v>8.716</v>
      </c>
      <c r="S117" s="14">
        <v>8.607</v>
      </c>
      <c r="T117" s="14">
        <v>8.641</v>
      </c>
      <c r="U117" s="14">
        <v>8.7</v>
      </c>
      <c r="V117" s="14">
        <v>8.57</v>
      </c>
      <c r="W117" s="14">
        <v>8.6468</v>
      </c>
      <c r="X117" s="14">
        <v>14.4</v>
      </c>
      <c r="Y117" s="14">
        <v>14.2</v>
      </c>
      <c r="Z117" s="14">
        <v>13.7</v>
      </c>
      <c r="AA117" s="14">
        <v>16.3</v>
      </c>
      <c r="AB117" s="14">
        <v>16.2</v>
      </c>
      <c r="AC117" s="14">
        <v>14.959999999999999</v>
      </c>
      <c r="AD117" s="14">
        <v>1219.0</v>
      </c>
      <c r="AE117" s="14">
        <v>1087.0</v>
      </c>
      <c r="AF117" s="14">
        <v>1117.0</v>
      </c>
      <c r="AG117" s="14">
        <v>1118.0</v>
      </c>
      <c r="AH117" s="14">
        <v>1316.0</v>
      </c>
      <c r="AI117" s="14">
        <v>1171.4</v>
      </c>
      <c r="AJ117" s="14">
        <v>3.68</v>
      </c>
      <c r="AK117" s="14">
        <v>4.05</v>
      </c>
      <c r="AL117" s="14">
        <v>4.11</v>
      </c>
      <c r="AM117" s="14">
        <v>3.92</v>
      </c>
      <c r="AN117" s="14">
        <v>3.58</v>
      </c>
      <c r="AO117" s="14">
        <v>3.868</v>
      </c>
      <c r="AP117" s="14">
        <v>422.0</v>
      </c>
      <c r="AQ117" s="14">
        <v>664.055</v>
      </c>
      <c r="AR117" s="14">
        <v>746.7</v>
      </c>
      <c r="AS117" s="14">
        <v>110.0</v>
      </c>
      <c r="AT117" s="14">
        <v>1.34</v>
      </c>
      <c r="AU117" s="14">
        <v>2.4E7</v>
      </c>
      <c r="AV117" s="15">
        <v>2.926</v>
      </c>
      <c r="AW117" s="15">
        <v>73.3</v>
      </c>
      <c r="AX117" s="15">
        <v>4900000.0</v>
      </c>
      <c r="AY117" s="14">
        <v>1.969</v>
      </c>
      <c r="AZ117" s="14">
        <v>0.031</v>
      </c>
      <c r="BA117" s="14">
        <v>75.3</v>
      </c>
    </row>
    <row r="118" ht="14.25" customHeight="1">
      <c r="A118" s="10" t="s">
        <v>204</v>
      </c>
      <c r="B118" s="11" t="s">
        <v>138</v>
      </c>
      <c r="C118" s="11"/>
      <c r="D118" s="12"/>
      <c r="E118" s="11">
        <v>42879.0</v>
      </c>
      <c r="F118" s="12">
        <v>1.0</v>
      </c>
      <c r="G118" s="12"/>
      <c r="H118" s="13">
        <v>0.4583333333333333</v>
      </c>
      <c r="I118" s="13">
        <v>0.5416666666666665</v>
      </c>
      <c r="J118" s="12">
        <v>0.8</v>
      </c>
      <c r="K118" s="12">
        <v>0.124</v>
      </c>
      <c r="L118" s="14">
        <v>39.3</v>
      </c>
      <c r="M118" s="14">
        <v>36.9</v>
      </c>
      <c r="N118" s="14">
        <v>35.4</v>
      </c>
      <c r="O118" s="14">
        <v>34.5</v>
      </c>
      <c r="P118" s="14">
        <v>32.4</v>
      </c>
      <c r="Q118" s="14">
        <v>35.7</v>
      </c>
      <c r="R118" s="14">
        <v>8.233</v>
      </c>
      <c r="S118" s="14">
        <v>8.222</v>
      </c>
      <c r="T118" s="14">
        <v>8.214</v>
      </c>
      <c r="U118" s="14">
        <v>8.052</v>
      </c>
      <c r="V118" s="14">
        <v>8.073</v>
      </c>
      <c r="W118" s="14">
        <v>8.1588</v>
      </c>
      <c r="X118" s="14">
        <v>16.4</v>
      </c>
      <c r="Y118" s="14">
        <v>16.0</v>
      </c>
      <c r="Z118" s="14">
        <v>16.6</v>
      </c>
      <c r="AA118" s="14">
        <v>17.6</v>
      </c>
      <c r="AB118" s="14">
        <v>15.1</v>
      </c>
      <c r="AC118" s="14">
        <v>16.339999999999996</v>
      </c>
      <c r="AD118" s="14">
        <v>1095.0</v>
      </c>
      <c r="AE118" s="14">
        <v>1108.0</v>
      </c>
      <c r="AF118" s="14">
        <v>1105.0</v>
      </c>
      <c r="AG118" s="14">
        <v>1088.0</v>
      </c>
      <c r="AH118" s="14">
        <v>1060.0</v>
      </c>
      <c r="AI118" s="14">
        <v>1091.2</v>
      </c>
      <c r="AJ118" s="14">
        <v>3.91</v>
      </c>
      <c r="AK118" s="14">
        <v>4.01</v>
      </c>
      <c r="AL118" s="14">
        <v>4.27</v>
      </c>
      <c r="AM118" s="14">
        <v>4.38</v>
      </c>
      <c r="AN118" s="14">
        <v>4.91</v>
      </c>
      <c r="AO118" s="14">
        <v>4.296</v>
      </c>
      <c r="AP118" s="14">
        <v>296.0</v>
      </c>
      <c r="AQ118" s="14">
        <v>404.851</v>
      </c>
      <c r="AR118" s="14">
        <v>183.3</v>
      </c>
      <c r="AS118" s="14">
        <v>62.0</v>
      </c>
      <c r="AT118" s="14">
        <v>2.58</v>
      </c>
      <c r="AU118" s="14">
        <v>5.8E7</v>
      </c>
      <c r="AV118" s="15">
        <v>4.583</v>
      </c>
      <c r="AW118" s="15">
        <v>72.7</v>
      </c>
      <c r="AX118" s="15">
        <v>1.3E7</v>
      </c>
      <c r="AY118" s="14">
        <v>0.531</v>
      </c>
      <c r="AZ118" s="14">
        <v>0.012</v>
      </c>
      <c r="BA118" s="14">
        <v>73.24300000000001</v>
      </c>
    </row>
    <row r="119" ht="14.25" customHeight="1">
      <c r="A119" s="10" t="s">
        <v>205</v>
      </c>
      <c r="B119" s="11" t="s">
        <v>133</v>
      </c>
      <c r="C119" s="11"/>
      <c r="D119" s="12"/>
      <c r="E119" s="11">
        <v>42880.0</v>
      </c>
      <c r="F119" s="12">
        <v>1.0</v>
      </c>
      <c r="G119" s="12"/>
      <c r="H119" s="13">
        <v>0.2916666666666667</v>
      </c>
      <c r="I119" s="13">
        <v>0.37499999999999994</v>
      </c>
      <c r="J119" s="12">
        <v>4.0</v>
      </c>
      <c r="K119" s="12">
        <v>0.57</v>
      </c>
      <c r="L119" s="14">
        <v>377.9</v>
      </c>
      <c r="M119" s="14">
        <v>422.6</v>
      </c>
      <c r="N119" s="14">
        <v>413.2</v>
      </c>
      <c r="O119" s="14">
        <v>453.1</v>
      </c>
      <c r="P119" s="14">
        <v>403.3</v>
      </c>
      <c r="Q119" s="14">
        <v>414.0200000000001</v>
      </c>
      <c r="R119" s="14">
        <v>6.67</v>
      </c>
      <c r="S119" s="14">
        <v>6.96</v>
      </c>
      <c r="T119" s="14">
        <v>6.95</v>
      </c>
      <c r="U119" s="14">
        <v>6.6</v>
      </c>
      <c r="V119" s="14">
        <v>6.97</v>
      </c>
      <c r="W119" s="14">
        <v>6.83</v>
      </c>
      <c r="X119" s="14">
        <v>10.5</v>
      </c>
      <c r="Y119" s="14">
        <v>10.5</v>
      </c>
      <c r="Z119" s="14">
        <v>10.5</v>
      </c>
      <c r="AA119" s="14">
        <v>10.5</v>
      </c>
      <c r="AB119" s="14">
        <v>10.5</v>
      </c>
      <c r="AC119" s="14">
        <v>10.5</v>
      </c>
      <c r="AD119" s="14">
        <v>23.9</v>
      </c>
      <c r="AE119" s="14">
        <v>24.5</v>
      </c>
      <c r="AF119" s="14">
        <v>24.8</v>
      </c>
      <c r="AG119" s="14">
        <v>24.8</v>
      </c>
      <c r="AH119" s="14">
        <v>25.3</v>
      </c>
      <c r="AI119" s="14">
        <v>24.66</v>
      </c>
      <c r="AJ119" s="14">
        <v>7.74</v>
      </c>
      <c r="AK119" s="14">
        <v>7.17</v>
      </c>
      <c r="AL119" s="14">
        <v>7.24</v>
      </c>
      <c r="AM119" s="14">
        <v>7.02</v>
      </c>
      <c r="AN119" s="14">
        <v>7.85</v>
      </c>
      <c r="AO119" s="14">
        <v>7.403999999999999</v>
      </c>
      <c r="AP119" s="14">
        <v>2.0</v>
      </c>
      <c r="AQ119" s="14">
        <v>15.8</v>
      </c>
      <c r="AR119" s="14">
        <v>11.3</v>
      </c>
      <c r="AS119" s="14">
        <v>9.0</v>
      </c>
      <c r="AT119" s="14">
        <v>0.11</v>
      </c>
      <c r="AU119" s="14">
        <v>26000.0</v>
      </c>
      <c r="AV119" s="15">
        <v>0.105</v>
      </c>
      <c r="AW119" s="19">
        <v>1.0</v>
      </c>
      <c r="AX119" s="15">
        <v>4900.0</v>
      </c>
      <c r="AY119" s="14">
        <v>0.518</v>
      </c>
      <c r="AZ119" s="14">
        <v>0.011</v>
      </c>
      <c r="BA119" s="14">
        <v>1.529</v>
      </c>
    </row>
    <row r="120" ht="14.25" customHeight="1">
      <c r="A120" s="10" t="s">
        <v>206</v>
      </c>
      <c r="B120" s="11" t="s">
        <v>131</v>
      </c>
      <c r="C120" s="11"/>
      <c r="D120" s="12"/>
      <c r="E120" s="11">
        <v>42880.0</v>
      </c>
      <c r="F120" s="12">
        <v>1.0</v>
      </c>
      <c r="G120" s="12"/>
      <c r="H120" s="13">
        <v>0.3958333333333333</v>
      </c>
      <c r="I120" s="13">
        <v>0.4791666666666666</v>
      </c>
      <c r="J120" s="12">
        <v>3.5</v>
      </c>
      <c r="K120" s="12">
        <v>0.51</v>
      </c>
      <c r="L120" s="14">
        <v>477.8</v>
      </c>
      <c r="M120" s="14">
        <v>474.8</v>
      </c>
      <c r="N120" s="14">
        <v>467.3</v>
      </c>
      <c r="O120" s="14">
        <v>504.6</v>
      </c>
      <c r="P120" s="14">
        <v>462.3</v>
      </c>
      <c r="Q120" s="14">
        <v>477.36</v>
      </c>
      <c r="R120" s="14">
        <v>7.3</v>
      </c>
      <c r="S120" s="14">
        <v>7.32</v>
      </c>
      <c r="T120" s="14">
        <v>7.32</v>
      </c>
      <c r="U120" s="14">
        <v>7.04</v>
      </c>
      <c r="V120" s="14">
        <v>7.18</v>
      </c>
      <c r="W120" s="14">
        <v>7.231999999999999</v>
      </c>
      <c r="X120" s="14">
        <v>11.3</v>
      </c>
      <c r="Y120" s="14">
        <v>11.6</v>
      </c>
      <c r="Z120" s="14">
        <v>11.6</v>
      </c>
      <c r="AA120" s="14">
        <v>11.5</v>
      </c>
      <c r="AB120" s="14">
        <v>11.6</v>
      </c>
      <c r="AC120" s="14">
        <v>11.52</v>
      </c>
      <c r="AD120" s="14">
        <v>39.4</v>
      </c>
      <c r="AE120" s="14">
        <v>40.0</v>
      </c>
      <c r="AF120" s="14">
        <v>39.7</v>
      </c>
      <c r="AG120" s="14">
        <v>41.6</v>
      </c>
      <c r="AH120" s="14">
        <v>42.4</v>
      </c>
      <c r="AI120" s="14">
        <v>40.620000000000005</v>
      </c>
      <c r="AJ120" s="14">
        <v>7.49</v>
      </c>
      <c r="AK120" s="14">
        <v>6.75</v>
      </c>
      <c r="AL120" s="14">
        <v>6.61</v>
      </c>
      <c r="AM120" s="14">
        <v>6.81</v>
      </c>
      <c r="AN120" s="14">
        <v>6.5</v>
      </c>
      <c r="AO120" s="14">
        <v>6.831999999999999</v>
      </c>
      <c r="AP120" s="14">
        <v>2.0</v>
      </c>
      <c r="AQ120" s="14">
        <v>24.0</v>
      </c>
      <c r="AR120" s="14">
        <v>6.0</v>
      </c>
      <c r="AS120" s="14">
        <v>12.0</v>
      </c>
      <c r="AT120" s="14">
        <v>0.11</v>
      </c>
      <c r="AU120" s="14">
        <v>440000.0</v>
      </c>
      <c r="AV120" s="15">
        <v>0.207</v>
      </c>
      <c r="AW120" s="15">
        <v>1.4</v>
      </c>
      <c r="AX120" s="15">
        <v>11000.0</v>
      </c>
      <c r="AY120" s="14">
        <v>0.706</v>
      </c>
      <c r="AZ120" s="14">
        <v>0.021</v>
      </c>
      <c r="BA120" s="14">
        <v>2.127</v>
      </c>
    </row>
    <row r="121" ht="14.25" customHeight="1">
      <c r="A121" s="10" t="s">
        <v>207</v>
      </c>
      <c r="B121" s="11" t="s">
        <v>135</v>
      </c>
      <c r="C121" s="11"/>
      <c r="D121" s="12"/>
      <c r="E121" s="11">
        <v>42880.0</v>
      </c>
      <c r="F121" s="12">
        <v>1.0</v>
      </c>
      <c r="G121" s="12"/>
      <c r="H121" s="13">
        <v>0.5</v>
      </c>
      <c r="I121" s="13">
        <v>0.583333333333333</v>
      </c>
      <c r="J121" s="18">
        <v>3.5</v>
      </c>
      <c r="K121" s="18">
        <v>0.72</v>
      </c>
      <c r="L121" s="14">
        <v>519.7</v>
      </c>
      <c r="M121" s="14">
        <v>526.4</v>
      </c>
      <c r="N121" s="14">
        <v>536.7</v>
      </c>
      <c r="O121" s="14">
        <v>540.1</v>
      </c>
      <c r="P121" s="14">
        <v>519.6</v>
      </c>
      <c r="Q121" s="14">
        <v>528.5</v>
      </c>
      <c r="R121" s="14">
        <v>7.25</v>
      </c>
      <c r="S121" s="14">
        <v>7.39</v>
      </c>
      <c r="T121" s="14">
        <v>7.59</v>
      </c>
      <c r="U121" s="14">
        <v>7.23</v>
      </c>
      <c r="V121" s="14">
        <v>6.89</v>
      </c>
      <c r="W121" s="14">
        <v>7.2700000000000005</v>
      </c>
      <c r="X121" s="14">
        <v>13.0</v>
      </c>
      <c r="Y121" s="14">
        <v>13.3</v>
      </c>
      <c r="Z121" s="14">
        <v>13.6</v>
      </c>
      <c r="AA121" s="14">
        <v>13.3</v>
      </c>
      <c r="AB121" s="14">
        <v>13.2</v>
      </c>
      <c r="AC121" s="14">
        <v>13.280000000000001</v>
      </c>
      <c r="AD121" s="14">
        <v>93.8</v>
      </c>
      <c r="AE121" s="14">
        <v>96.9</v>
      </c>
      <c r="AF121" s="14">
        <v>94.4</v>
      </c>
      <c r="AG121" s="14">
        <v>109.2</v>
      </c>
      <c r="AH121" s="14">
        <v>100.5</v>
      </c>
      <c r="AI121" s="14">
        <v>98.96000000000001</v>
      </c>
      <c r="AJ121" s="14">
        <v>7.88</v>
      </c>
      <c r="AK121" s="14">
        <v>6.82</v>
      </c>
      <c r="AL121" s="14">
        <v>6.77</v>
      </c>
      <c r="AM121" s="14">
        <v>6.45</v>
      </c>
      <c r="AN121" s="14">
        <v>6.57</v>
      </c>
      <c r="AO121" s="14">
        <v>6.897999999999999</v>
      </c>
      <c r="AP121" s="14">
        <v>17.1</v>
      </c>
      <c r="AQ121" s="14">
        <v>40.0</v>
      </c>
      <c r="AR121" s="14">
        <v>13.3</v>
      </c>
      <c r="AS121" s="14">
        <v>15.0</v>
      </c>
      <c r="AT121" s="14">
        <v>0.94</v>
      </c>
      <c r="AU121" s="14">
        <v>3900000.0</v>
      </c>
      <c r="AV121" s="15">
        <v>0.631</v>
      </c>
      <c r="AW121" s="15">
        <v>4.5</v>
      </c>
      <c r="AX121" s="15">
        <v>94000.0</v>
      </c>
      <c r="AY121" s="14">
        <v>0.859</v>
      </c>
      <c r="AZ121" s="14">
        <v>0.047</v>
      </c>
      <c r="BA121" s="14">
        <v>5.406</v>
      </c>
    </row>
    <row r="122" ht="14.25" customHeight="1">
      <c r="A122" s="10" t="s">
        <v>208</v>
      </c>
      <c r="B122" s="11" t="s">
        <v>57</v>
      </c>
      <c r="C122" s="11"/>
      <c r="D122" s="12"/>
      <c r="E122" s="11">
        <v>42894.0</v>
      </c>
      <c r="F122" s="12">
        <v>1.0</v>
      </c>
      <c r="G122" s="12"/>
      <c r="H122" s="13">
        <v>0.2916666666666667</v>
      </c>
      <c r="I122" s="13">
        <v>0.37499999999999994</v>
      </c>
      <c r="J122" s="12">
        <v>1.2</v>
      </c>
      <c r="K122" s="12">
        <v>0.27</v>
      </c>
      <c r="L122" s="14">
        <v>47.9</v>
      </c>
      <c r="M122" s="14">
        <v>50.1</v>
      </c>
      <c r="N122" s="14">
        <v>49.5</v>
      </c>
      <c r="O122" s="14">
        <v>52.0</v>
      </c>
      <c r="P122" s="14">
        <v>51.9</v>
      </c>
      <c r="Q122" s="14">
        <v>50.28</v>
      </c>
      <c r="R122" s="14">
        <v>7.38</v>
      </c>
      <c r="S122" s="14">
        <v>7.43</v>
      </c>
      <c r="T122" s="14">
        <v>7.34</v>
      </c>
      <c r="U122" s="14">
        <v>7.42</v>
      </c>
      <c r="V122" s="14">
        <v>7.33</v>
      </c>
      <c r="W122" s="14">
        <v>7.38</v>
      </c>
      <c r="X122" s="14">
        <v>12.3</v>
      </c>
      <c r="Y122" s="14">
        <v>12.1</v>
      </c>
      <c r="Z122" s="14">
        <v>12.1</v>
      </c>
      <c r="AA122" s="14">
        <v>12.3</v>
      </c>
      <c r="AB122" s="14">
        <v>12.4</v>
      </c>
      <c r="AC122" s="14">
        <v>12.239999999999998</v>
      </c>
      <c r="AD122" s="14">
        <v>118.1</v>
      </c>
      <c r="AE122" s="14">
        <v>114.9</v>
      </c>
      <c r="AF122" s="14">
        <v>118.5</v>
      </c>
      <c r="AG122" s="14">
        <v>123.2</v>
      </c>
      <c r="AH122" s="14">
        <v>125.9</v>
      </c>
      <c r="AI122" s="14">
        <v>120.12</v>
      </c>
      <c r="AJ122" s="14">
        <v>5.82</v>
      </c>
      <c r="AK122" s="14">
        <v>5.37</v>
      </c>
      <c r="AL122" s="14">
        <v>5.92</v>
      </c>
      <c r="AM122" s="14">
        <v>6.01</v>
      </c>
      <c r="AN122" s="14">
        <v>6.05</v>
      </c>
      <c r="AO122" s="14">
        <v>5.834</v>
      </c>
      <c r="AP122" s="14">
        <v>8.2</v>
      </c>
      <c r="AQ122" s="14">
        <v>21.0</v>
      </c>
      <c r="AR122" s="14">
        <v>31.4</v>
      </c>
      <c r="AS122" s="14">
        <v>20.0</v>
      </c>
      <c r="AT122" s="14">
        <v>0.22</v>
      </c>
      <c r="AU122" s="14">
        <v>2400000.0</v>
      </c>
      <c r="AV122" s="15">
        <v>0.362</v>
      </c>
      <c r="AW122" s="15">
        <v>4.3</v>
      </c>
      <c r="AX122" s="15">
        <v>3300.0</v>
      </c>
      <c r="AY122" s="14">
        <v>0.708</v>
      </c>
      <c r="AZ122" s="14">
        <v>0.004</v>
      </c>
      <c r="BA122" s="14">
        <v>5.012</v>
      </c>
    </row>
    <row r="123" ht="14.25" customHeight="1">
      <c r="A123" s="10" t="s">
        <v>209</v>
      </c>
      <c r="B123" s="11" t="s">
        <v>53</v>
      </c>
      <c r="C123" s="11"/>
      <c r="D123" s="12"/>
      <c r="E123" s="11">
        <v>42894.0</v>
      </c>
      <c r="F123" s="12">
        <v>1.0</v>
      </c>
      <c r="G123" s="12"/>
      <c r="H123" s="13">
        <v>0.4166666666666667</v>
      </c>
      <c r="I123" s="13">
        <v>0.49999999999999994</v>
      </c>
      <c r="J123" s="12">
        <v>1.2</v>
      </c>
      <c r="K123" s="12">
        <v>0.15</v>
      </c>
      <c r="L123" s="14">
        <v>14.5</v>
      </c>
      <c r="M123" s="14">
        <v>14.4</v>
      </c>
      <c r="N123" s="14">
        <v>14.3</v>
      </c>
      <c r="O123" s="14">
        <v>14.6</v>
      </c>
      <c r="P123" s="14">
        <v>15.0</v>
      </c>
      <c r="Q123" s="14">
        <v>14.560000000000002</v>
      </c>
      <c r="R123" s="14">
        <v>7.88</v>
      </c>
      <c r="S123" s="14">
        <v>8.0</v>
      </c>
      <c r="T123" s="14">
        <v>8.01</v>
      </c>
      <c r="U123" s="14">
        <v>7.84</v>
      </c>
      <c r="V123" s="14">
        <v>8.02</v>
      </c>
      <c r="W123" s="14">
        <v>7.95</v>
      </c>
      <c r="X123" s="14">
        <v>14.5</v>
      </c>
      <c r="Y123" s="14">
        <v>14.4</v>
      </c>
      <c r="Z123" s="14">
        <v>14.3</v>
      </c>
      <c r="AA123" s="14">
        <v>14.6</v>
      </c>
      <c r="AB123" s="14">
        <v>15.0</v>
      </c>
      <c r="AC123" s="14">
        <v>14.560000000000002</v>
      </c>
      <c r="AD123" s="14">
        <v>280.0</v>
      </c>
      <c r="AE123" s="14">
        <v>284.0</v>
      </c>
      <c r="AF123" s="14">
        <v>286.0</v>
      </c>
      <c r="AG123" s="14">
        <v>291.0</v>
      </c>
      <c r="AH123" s="14">
        <v>294.0</v>
      </c>
      <c r="AI123" s="14">
        <v>287.0</v>
      </c>
      <c r="AJ123" s="14">
        <v>5.64</v>
      </c>
      <c r="AK123" s="14">
        <v>6.06</v>
      </c>
      <c r="AL123" s="14">
        <v>5.7</v>
      </c>
      <c r="AM123" s="14">
        <v>6.11</v>
      </c>
      <c r="AN123" s="14">
        <v>6.8</v>
      </c>
      <c r="AO123" s="14">
        <v>6.061999999999999</v>
      </c>
      <c r="AP123" s="14">
        <v>2.0</v>
      </c>
      <c r="AQ123" s="14">
        <v>60.8</v>
      </c>
      <c r="AR123" s="14">
        <v>44.0</v>
      </c>
      <c r="AS123" s="14">
        <v>14.0</v>
      </c>
      <c r="AT123" s="14">
        <v>0.72</v>
      </c>
      <c r="AU123" s="14">
        <v>2.0E7</v>
      </c>
      <c r="AV123" s="15">
        <v>1.651</v>
      </c>
      <c r="AW123" s="15">
        <v>14.2</v>
      </c>
      <c r="AX123" s="15">
        <v>54000.0</v>
      </c>
      <c r="AY123" s="14">
        <v>0.556</v>
      </c>
      <c r="AZ123" s="14">
        <v>0.146</v>
      </c>
      <c r="BA123" s="14">
        <v>14.902000000000001</v>
      </c>
    </row>
    <row r="124" ht="14.25" customHeight="1">
      <c r="A124" s="10" t="s">
        <v>210</v>
      </c>
      <c r="B124" s="11" t="s">
        <v>59</v>
      </c>
      <c r="C124" s="11"/>
      <c r="D124" s="12"/>
      <c r="E124" s="11">
        <v>42894.0</v>
      </c>
      <c r="F124" s="12">
        <v>1.0</v>
      </c>
      <c r="G124" s="12"/>
      <c r="H124" s="13">
        <v>0.5208333333333334</v>
      </c>
      <c r="I124" s="13">
        <v>0.6041666666666664</v>
      </c>
      <c r="J124" s="12">
        <v>1.84</v>
      </c>
      <c r="K124" s="12">
        <v>0.24</v>
      </c>
      <c r="L124" s="14">
        <v>89.3</v>
      </c>
      <c r="M124" s="14">
        <v>93.8</v>
      </c>
      <c r="N124" s="14">
        <v>84.7</v>
      </c>
      <c r="O124" s="14">
        <v>84.9</v>
      </c>
      <c r="P124" s="14">
        <v>89.6</v>
      </c>
      <c r="Q124" s="14">
        <v>88.46000000000001</v>
      </c>
      <c r="R124" s="14">
        <v>8.01</v>
      </c>
      <c r="S124" s="14">
        <v>8.06</v>
      </c>
      <c r="T124" s="14">
        <v>8.01</v>
      </c>
      <c r="U124" s="14">
        <v>7.95</v>
      </c>
      <c r="V124" s="14">
        <v>8.0</v>
      </c>
      <c r="W124" s="14">
        <v>8.006</v>
      </c>
      <c r="X124" s="14">
        <v>15.1</v>
      </c>
      <c r="Y124" s="14">
        <v>14.9</v>
      </c>
      <c r="Z124" s="14">
        <v>14.9</v>
      </c>
      <c r="AA124" s="14">
        <v>15.0</v>
      </c>
      <c r="AB124" s="14">
        <v>15.6</v>
      </c>
      <c r="AC124" s="14">
        <v>15.1</v>
      </c>
      <c r="AD124" s="14">
        <v>332.0</v>
      </c>
      <c r="AE124" s="14">
        <v>332.0</v>
      </c>
      <c r="AF124" s="14">
        <v>333.0</v>
      </c>
      <c r="AG124" s="14">
        <v>338.0</v>
      </c>
      <c r="AH124" s="14">
        <v>343.0</v>
      </c>
      <c r="AI124" s="14">
        <v>335.6</v>
      </c>
      <c r="AJ124" s="14">
        <v>5.04</v>
      </c>
      <c r="AK124" s="14">
        <v>6.51</v>
      </c>
      <c r="AL124" s="14">
        <v>6.15</v>
      </c>
      <c r="AM124" s="14">
        <v>6.43</v>
      </c>
      <c r="AN124" s="14">
        <v>5.43</v>
      </c>
      <c r="AO124" s="14">
        <v>5.912000000000001</v>
      </c>
      <c r="AP124" s="14">
        <v>2.0</v>
      </c>
      <c r="AQ124" s="14">
        <v>68.2</v>
      </c>
      <c r="AR124" s="14">
        <v>32.0</v>
      </c>
      <c r="AS124" s="14">
        <v>6.0</v>
      </c>
      <c r="AT124" s="14">
        <v>0.74</v>
      </c>
      <c r="AU124" s="14">
        <v>2.3E7</v>
      </c>
      <c r="AV124" s="15">
        <v>1.385</v>
      </c>
      <c r="AW124" s="15">
        <v>14.4</v>
      </c>
      <c r="AX124" s="15">
        <v>130000.0</v>
      </c>
      <c r="AY124" s="14">
        <v>0.88</v>
      </c>
      <c r="AZ124" s="14">
        <v>0.206</v>
      </c>
      <c r="BA124" s="14">
        <v>15.486</v>
      </c>
    </row>
    <row r="125" ht="14.25" customHeight="1">
      <c r="A125" s="10" t="s">
        <v>211</v>
      </c>
      <c r="B125" s="11" t="s">
        <v>55</v>
      </c>
      <c r="C125" s="11"/>
      <c r="D125" s="12"/>
      <c r="E125" s="11">
        <v>42894.0</v>
      </c>
      <c r="F125" s="12">
        <v>1.0</v>
      </c>
      <c r="G125" s="12"/>
      <c r="H125" s="13">
        <v>0.6458333333333334</v>
      </c>
      <c r="I125" s="13">
        <v>0.7291666666666664</v>
      </c>
      <c r="J125" s="12">
        <v>4.0</v>
      </c>
      <c r="K125" s="12">
        <v>0.16</v>
      </c>
      <c r="L125" s="14">
        <v>100.5</v>
      </c>
      <c r="M125" s="14">
        <v>98.5</v>
      </c>
      <c r="N125" s="14">
        <v>107.0</v>
      </c>
      <c r="O125" s="14" t="s">
        <v>161</v>
      </c>
      <c r="P125" s="14" t="s">
        <v>161</v>
      </c>
      <c r="Q125" s="14">
        <v>102.0</v>
      </c>
      <c r="R125" s="14">
        <v>7.79</v>
      </c>
      <c r="S125" s="14">
        <v>7.81</v>
      </c>
      <c r="T125" s="14">
        <v>7.8</v>
      </c>
      <c r="U125" s="14" t="s">
        <v>161</v>
      </c>
      <c r="V125" s="14" t="s">
        <v>161</v>
      </c>
      <c r="W125" s="14">
        <v>7.8</v>
      </c>
      <c r="X125" s="14">
        <v>16.1</v>
      </c>
      <c r="Y125" s="14">
        <v>16.0</v>
      </c>
      <c r="Z125" s="14">
        <v>15.4</v>
      </c>
      <c r="AA125" s="14" t="s">
        <v>161</v>
      </c>
      <c r="AB125" s="14" t="s">
        <v>161</v>
      </c>
      <c r="AC125" s="14">
        <v>15.833333333333334</v>
      </c>
      <c r="AD125" s="14">
        <v>475.0</v>
      </c>
      <c r="AE125" s="14">
        <v>460.0</v>
      </c>
      <c r="AF125" s="14">
        <v>439.0</v>
      </c>
      <c r="AG125" s="14" t="s">
        <v>161</v>
      </c>
      <c r="AH125" s="14" t="s">
        <v>161</v>
      </c>
      <c r="AI125" s="14">
        <v>458.0</v>
      </c>
      <c r="AJ125" s="14">
        <v>3.36</v>
      </c>
      <c r="AK125" s="14">
        <v>3.35</v>
      </c>
      <c r="AL125" s="14">
        <v>3.66</v>
      </c>
      <c r="AM125" s="14" t="s">
        <v>161</v>
      </c>
      <c r="AN125" s="14" t="s">
        <v>161</v>
      </c>
      <c r="AO125" s="14">
        <v>3.456666666666667</v>
      </c>
      <c r="AP125" s="14">
        <v>46.4</v>
      </c>
      <c r="AQ125" s="14">
        <v>194.0</v>
      </c>
      <c r="AR125" s="14">
        <v>43.3</v>
      </c>
      <c r="AS125" s="14">
        <v>23.0</v>
      </c>
      <c r="AT125" s="14">
        <v>2.89</v>
      </c>
      <c r="AU125" s="14">
        <v>5.8E7</v>
      </c>
      <c r="AV125" s="15">
        <v>2.035</v>
      </c>
      <c r="AW125" s="15">
        <v>20.7</v>
      </c>
      <c r="AX125" s="15">
        <v>2400000.0</v>
      </c>
      <c r="AY125" s="14">
        <v>0.577</v>
      </c>
      <c r="AZ125" s="14">
        <v>0.242</v>
      </c>
      <c r="BA125" s="14">
        <v>21.519</v>
      </c>
    </row>
    <row r="126" ht="14.25" customHeight="1">
      <c r="A126" s="10" t="s">
        <v>212</v>
      </c>
      <c r="B126" s="11" t="s">
        <v>104</v>
      </c>
      <c r="C126" s="11"/>
      <c r="D126" s="12"/>
      <c r="E126" s="11">
        <v>42895.0</v>
      </c>
      <c r="F126" s="12">
        <v>1.0</v>
      </c>
      <c r="G126" s="12"/>
      <c r="H126" s="13">
        <v>0.3333333333333333</v>
      </c>
      <c r="I126" s="13">
        <v>0.4166666666666666</v>
      </c>
      <c r="J126" s="12">
        <v>0.8</v>
      </c>
      <c r="K126" s="12">
        <v>0.34</v>
      </c>
      <c r="L126" s="14">
        <v>17.8</v>
      </c>
      <c r="M126" s="14">
        <v>17.0</v>
      </c>
      <c r="N126" s="14">
        <v>18.5</v>
      </c>
      <c r="O126" s="14">
        <v>19.0</v>
      </c>
      <c r="P126" s="14">
        <v>18.8</v>
      </c>
      <c r="Q126" s="14">
        <v>18.22</v>
      </c>
      <c r="R126" s="14">
        <v>11.24</v>
      </c>
      <c r="S126" s="14">
        <v>11.14</v>
      </c>
      <c r="T126" s="14">
        <v>10.27</v>
      </c>
      <c r="U126" s="14">
        <v>9.32</v>
      </c>
      <c r="V126" s="14">
        <v>9.08</v>
      </c>
      <c r="W126" s="14">
        <v>10.21</v>
      </c>
      <c r="X126" s="14">
        <v>18.6</v>
      </c>
      <c r="Y126" s="14">
        <v>19.1</v>
      </c>
      <c r="Z126" s="14">
        <v>19.8</v>
      </c>
      <c r="AA126" s="14">
        <v>18.2</v>
      </c>
      <c r="AB126" s="14">
        <v>17.3</v>
      </c>
      <c r="AC126" s="14">
        <v>18.6</v>
      </c>
      <c r="AD126" s="14">
        <v>689.0</v>
      </c>
      <c r="AE126" s="14">
        <v>641.0</v>
      </c>
      <c r="AF126" s="14">
        <v>510.0</v>
      </c>
      <c r="AG126" s="14">
        <v>486.0</v>
      </c>
      <c r="AH126" s="14">
        <v>478.0</v>
      </c>
      <c r="AI126" s="14">
        <v>560.8</v>
      </c>
      <c r="AJ126" s="14">
        <v>6.9</v>
      </c>
      <c r="AK126" s="14">
        <v>6.3</v>
      </c>
      <c r="AL126" s="14">
        <v>5.56</v>
      </c>
      <c r="AM126" s="14">
        <v>5.89</v>
      </c>
      <c r="AN126" s="14">
        <v>6.04</v>
      </c>
      <c r="AO126" s="14">
        <v>6.138</v>
      </c>
      <c r="AP126" s="14">
        <v>44.4</v>
      </c>
      <c r="AQ126" s="14">
        <v>70.2</v>
      </c>
      <c r="AR126" s="14">
        <v>184.0</v>
      </c>
      <c r="AS126" s="14">
        <v>17.0</v>
      </c>
      <c r="AT126" s="14">
        <v>2.67</v>
      </c>
      <c r="AU126" s="14">
        <v>240000.0</v>
      </c>
      <c r="AV126" s="15">
        <v>1.621</v>
      </c>
      <c r="AW126" s="15">
        <v>9.8</v>
      </c>
      <c r="AX126" s="15">
        <v>45000.0</v>
      </c>
      <c r="AY126" s="14">
        <v>0.1</v>
      </c>
      <c r="AZ126" s="14">
        <v>0.409</v>
      </c>
      <c r="BA126" s="14">
        <v>10.309000000000001</v>
      </c>
    </row>
    <row r="127" ht="14.25" customHeight="1">
      <c r="A127" s="10" t="s">
        <v>213</v>
      </c>
      <c r="B127" s="11" t="s">
        <v>106</v>
      </c>
      <c r="C127" s="11"/>
      <c r="D127" s="12"/>
      <c r="E127" s="11">
        <v>42895.0</v>
      </c>
      <c r="F127" s="12">
        <v>1.0</v>
      </c>
      <c r="G127" s="12"/>
      <c r="H127" s="13">
        <v>0.4375</v>
      </c>
      <c r="I127" s="13">
        <v>0.5208333333333333</v>
      </c>
      <c r="J127" s="12">
        <v>0.8</v>
      </c>
      <c r="K127" s="12">
        <v>0.34</v>
      </c>
      <c r="L127" s="14">
        <v>80.0</v>
      </c>
      <c r="M127" s="14">
        <v>71.2</v>
      </c>
      <c r="N127" s="14">
        <v>69.1</v>
      </c>
      <c r="O127" s="14">
        <v>68.0</v>
      </c>
      <c r="P127" s="14">
        <v>67.3</v>
      </c>
      <c r="Q127" s="14">
        <v>71.11999999999999</v>
      </c>
      <c r="R127" s="14">
        <v>9.25</v>
      </c>
      <c r="S127" s="14">
        <v>9.23</v>
      </c>
      <c r="T127" s="14">
        <v>8.99</v>
      </c>
      <c r="U127" s="14">
        <v>8.58</v>
      </c>
      <c r="V127" s="14">
        <v>8.52</v>
      </c>
      <c r="W127" s="14">
        <v>8.913999999999998</v>
      </c>
      <c r="X127" s="14">
        <v>21.6</v>
      </c>
      <c r="Y127" s="14">
        <v>22.8</v>
      </c>
      <c r="Z127" s="14">
        <v>21.9</v>
      </c>
      <c r="AA127" s="14">
        <v>21.8</v>
      </c>
      <c r="AB127" s="14">
        <v>21.3</v>
      </c>
      <c r="AC127" s="14">
        <v>21.880000000000003</v>
      </c>
      <c r="AD127" s="14">
        <v>588.0</v>
      </c>
      <c r="AE127" s="14">
        <v>577.0</v>
      </c>
      <c r="AF127" s="14">
        <v>598.0</v>
      </c>
      <c r="AG127" s="14">
        <v>584.0</v>
      </c>
      <c r="AH127" s="14">
        <v>585.0</v>
      </c>
      <c r="AI127" s="14">
        <v>586.4</v>
      </c>
      <c r="AJ127" s="14">
        <v>5.1</v>
      </c>
      <c r="AK127" s="14">
        <v>4.96</v>
      </c>
      <c r="AL127" s="14">
        <v>3.9</v>
      </c>
      <c r="AM127" s="14">
        <v>5.38</v>
      </c>
      <c r="AN127" s="14">
        <v>5.07</v>
      </c>
      <c r="AO127" s="14">
        <v>4.882</v>
      </c>
      <c r="AP127" s="14">
        <v>151.0</v>
      </c>
      <c r="AQ127" s="14">
        <v>264.497</v>
      </c>
      <c r="AR127" s="14">
        <v>260.0</v>
      </c>
      <c r="AS127" s="14">
        <v>6.0</v>
      </c>
      <c r="AT127" s="14">
        <v>3.49</v>
      </c>
      <c r="AU127" s="14">
        <v>2.4E7</v>
      </c>
      <c r="AV127" s="15">
        <v>3.045</v>
      </c>
      <c r="AW127" s="15">
        <v>24.6</v>
      </c>
      <c r="AX127" s="15">
        <v>1600000.0</v>
      </c>
      <c r="AY127" s="14">
        <v>2.299</v>
      </c>
      <c r="AZ127" s="14">
        <v>0.373</v>
      </c>
      <c r="BA127" s="14">
        <v>27.272000000000002</v>
      </c>
    </row>
    <row r="128" ht="14.25" customHeight="1">
      <c r="A128" s="10" t="s">
        <v>214</v>
      </c>
      <c r="B128" s="11" t="s">
        <v>126</v>
      </c>
      <c r="C128" s="11"/>
      <c r="D128" s="12"/>
      <c r="E128" s="11">
        <v>42895.0</v>
      </c>
      <c r="F128" s="12">
        <v>1.0</v>
      </c>
      <c r="G128" s="12"/>
      <c r="H128" s="13">
        <v>0.5416666666666666</v>
      </c>
      <c r="I128" s="13">
        <v>0.6249999999999997</v>
      </c>
      <c r="J128" s="12">
        <v>0.75</v>
      </c>
      <c r="K128" s="12">
        <v>0.16</v>
      </c>
      <c r="L128" s="14">
        <v>7.6</v>
      </c>
      <c r="M128" s="14">
        <v>7.46</v>
      </c>
      <c r="N128" s="14">
        <v>7.09</v>
      </c>
      <c r="O128" s="14">
        <v>7.9</v>
      </c>
      <c r="P128" s="14">
        <v>7.72</v>
      </c>
      <c r="Q128" s="14">
        <v>7.553999999999999</v>
      </c>
      <c r="R128" s="14">
        <v>7.91</v>
      </c>
      <c r="S128" s="14">
        <v>7.95</v>
      </c>
      <c r="T128" s="14">
        <v>7.98</v>
      </c>
      <c r="U128" s="14">
        <v>8.01</v>
      </c>
      <c r="V128" s="14">
        <v>8.03</v>
      </c>
      <c r="W128" s="14">
        <v>7.976000000000001</v>
      </c>
      <c r="X128" s="14">
        <v>17.0</v>
      </c>
      <c r="Y128" s="14">
        <v>17.5</v>
      </c>
      <c r="Z128" s="14">
        <v>19.5</v>
      </c>
      <c r="AA128" s="14">
        <v>19.8</v>
      </c>
      <c r="AB128" s="14">
        <v>18.8</v>
      </c>
      <c r="AC128" s="14">
        <v>18.52</v>
      </c>
      <c r="AD128" s="14">
        <v>386.0</v>
      </c>
      <c r="AE128" s="14">
        <v>391.0</v>
      </c>
      <c r="AF128" s="14">
        <v>415.0</v>
      </c>
      <c r="AG128" s="14">
        <v>421.0</v>
      </c>
      <c r="AH128" s="14">
        <v>436.0</v>
      </c>
      <c r="AI128" s="14">
        <v>409.8</v>
      </c>
      <c r="AJ128" s="14">
        <v>5.31</v>
      </c>
      <c r="AK128" s="14">
        <v>5.22</v>
      </c>
      <c r="AL128" s="14">
        <v>5.45</v>
      </c>
      <c r="AM128" s="14">
        <v>5.07</v>
      </c>
      <c r="AN128" s="14">
        <v>4.97</v>
      </c>
      <c r="AO128" s="14">
        <v>5.204</v>
      </c>
      <c r="AP128" s="14">
        <v>2.0</v>
      </c>
      <c r="AQ128" s="14">
        <v>10.0</v>
      </c>
      <c r="AR128" s="14">
        <v>122.0</v>
      </c>
      <c r="AS128" s="14">
        <v>14.0</v>
      </c>
      <c r="AT128" s="14">
        <v>0.46</v>
      </c>
      <c r="AU128" s="14">
        <v>9100000.0</v>
      </c>
      <c r="AV128" s="15">
        <v>1.692</v>
      </c>
      <c r="AW128" s="15">
        <v>14.3</v>
      </c>
      <c r="AX128" s="15">
        <v>130000.0</v>
      </c>
      <c r="AY128" s="14">
        <v>2.276</v>
      </c>
      <c r="AZ128" s="14">
        <v>0.366</v>
      </c>
      <c r="BA128" s="14">
        <v>16.942</v>
      </c>
    </row>
    <row r="129" ht="14.25" customHeight="1">
      <c r="A129" s="10" t="s">
        <v>215</v>
      </c>
      <c r="B129" s="11" t="s">
        <v>91</v>
      </c>
      <c r="C129" s="11"/>
      <c r="D129" s="12"/>
      <c r="E129" s="11">
        <v>42908.0</v>
      </c>
      <c r="F129" s="12">
        <v>1.0</v>
      </c>
      <c r="G129" s="12"/>
      <c r="H129" s="13">
        <v>0.4166666666666667</v>
      </c>
      <c r="I129" s="13">
        <v>0.49999999999999994</v>
      </c>
      <c r="J129" s="12">
        <v>6.9</v>
      </c>
      <c r="K129" s="12">
        <v>0.6</v>
      </c>
      <c r="L129" s="14">
        <v>511.0</v>
      </c>
      <c r="M129" s="14">
        <v>489.0</v>
      </c>
      <c r="N129" s="14">
        <v>534.0</v>
      </c>
      <c r="O129" s="14">
        <v>531.0</v>
      </c>
      <c r="P129" s="14">
        <v>549.0</v>
      </c>
      <c r="Q129" s="14">
        <v>522.8</v>
      </c>
      <c r="R129" s="14">
        <v>7.23</v>
      </c>
      <c r="S129" s="14">
        <v>7.24</v>
      </c>
      <c r="T129" s="14">
        <v>7.22</v>
      </c>
      <c r="U129" s="14">
        <v>7.2</v>
      </c>
      <c r="V129" s="14">
        <v>7.17</v>
      </c>
      <c r="W129" s="14">
        <v>7.212000000000001</v>
      </c>
      <c r="X129" s="14">
        <v>17.1</v>
      </c>
      <c r="Y129" s="14">
        <v>17.0</v>
      </c>
      <c r="Z129" s="14">
        <v>17.1</v>
      </c>
      <c r="AA129" s="14">
        <v>17.5</v>
      </c>
      <c r="AB129" s="14">
        <v>17.2</v>
      </c>
      <c r="AC129" s="14">
        <v>17.18</v>
      </c>
      <c r="AD129" s="14">
        <v>433.0</v>
      </c>
      <c r="AE129" s="14">
        <v>435.0</v>
      </c>
      <c r="AF129" s="14">
        <v>436.0</v>
      </c>
      <c r="AG129" s="14">
        <v>436.0</v>
      </c>
      <c r="AH129" s="14">
        <v>438.0</v>
      </c>
      <c r="AI129" s="14">
        <v>435.6</v>
      </c>
      <c r="AJ129" s="14">
        <v>0.47</v>
      </c>
      <c r="AK129" s="14">
        <v>0.45</v>
      </c>
      <c r="AL129" s="14">
        <v>0.38</v>
      </c>
      <c r="AM129" s="14">
        <v>0.52</v>
      </c>
      <c r="AN129" s="14">
        <v>0.47</v>
      </c>
      <c r="AO129" s="14">
        <v>0.458</v>
      </c>
      <c r="AP129" s="14">
        <v>31.5</v>
      </c>
      <c r="AQ129" s="14">
        <v>106.87</v>
      </c>
      <c r="AR129" s="14">
        <v>22.5</v>
      </c>
      <c r="AS129" s="14">
        <v>8.0</v>
      </c>
      <c r="AT129" s="14">
        <v>1.59</v>
      </c>
      <c r="AU129" s="14">
        <v>2400000.0</v>
      </c>
      <c r="AV129" s="15">
        <v>1.744</v>
      </c>
      <c r="AW129" s="15">
        <v>16.4</v>
      </c>
      <c r="AX129" s="15">
        <v>3500000.0</v>
      </c>
      <c r="AY129" s="14">
        <v>0.222</v>
      </c>
      <c r="AZ129" s="14">
        <v>0.007</v>
      </c>
      <c r="BA129" s="14">
        <v>16.629</v>
      </c>
    </row>
    <row r="130" ht="14.25" customHeight="1">
      <c r="A130" s="10" t="s">
        <v>216</v>
      </c>
      <c r="B130" s="11" t="s">
        <v>95</v>
      </c>
      <c r="C130" s="11"/>
      <c r="D130" s="12"/>
      <c r="E130" s="11">
        <v>42909.0</v>
      </c>
      <c r="F130" s="12">
        <v>1.0</v>
      </c>
      <c r="G130" s="12" t="s">
        <v>217</v>
      </c>
      <c r="H130" s="13">
        <v>0.25</v>
      </c>
      <c r="I130" s="13">
        <v>0.33333333333333326</v>
      </c>
      <c r="J130" s="12"/>
      <c r="K130" s="12"/>
      <c r="L130" s="14">
        <v>3.36</v>
      </c>
      <c r="M130" s="14">
        <v>2.94</v>
      </c>
      <c r="N130" s="14">
        <v>3.25</v>
      </c>
      <c r="O130" s="14">
        <v>2.94</v>
      </c>
      <c r="P130" s="14">
        <v>3.12</v>
      </c>
      <c r="Q130" s="14">
        <v>3.122</v>
      </c>
      <c r="R130" s="14">
        <v>7.37</v>
      </c>
      <c r="S130" s="14">
        <v>7.5</v>
      </c>
      <c r="T130" s="14">
        <v>7.45</v>
      </c>
      <c r="U130" s="14">
        <v>7.58</v>
      </c>
      <c r="V130" s="14">
        <v>7.63</v>
      </c>
      <c r="W130" s="14">
        <v>7.506</v>
      </c>
      <c r="X130" s="14">
        <v>15.3</v>
      </c>
      <c r="Y130" s="14">
        <v>15.0</v>
      </c>
      <c r="Z130" s="14">
        <v>15.0</v>
      </c>
      <c r="AA130" s="14">
        <v>15.1</v>
      </c>
      <c r="AB130" s="14">
        <v>17.2</v>
      </c>
      <c r="AC130" s="14">
        <v>15.52</v>
      </c>
      <c r="AD130" s="14">
        <v>78.7</v>
      </c>
      <c r="AE130" s="14">
        <v>120.0</v>
      </c>
      <c r="AF130" s="14">
        <v>131.2</v>
      </c>
      <c r="AG130" s="14">
        <v>102.3</v>
      </c>
      <c r="AH130" s="14">
        <v>98.6</v>
      </c>
      <c r="AI130" s="14">
        <v>106.16</v>
      </c>
      <c r="AJ130" s="14">
        <v>4.96</v>
      </c>
      <c r="AK130" s="14">
        <v>5.82</v>
      </c>
      <c r="AL130" s="14">
        <v>5.43</v>
      </c>
      <c r="AM130" s="14">
        <v>5.16</v>
      </c>
      <c r="AN130" s="14">
        <v>5.78</v>
      </c>
      <c r="AO130" s="14">
        <v>5.430000000000001</v>
      </c>
      <c r="AP130" s="14">
        <v>7.8</v>
      </c>
      <c r="AQ130" s="14">
        <v>10.0</v>
      </c>
      <c r="AR130" s="14">
        <v>4.0</v>
      </c>
      <c r="AS130" s="14">
        <v>6.0</v>
      </c>
      <c r="AT130" s="14">
        <v>0.42</v>
      </c>
      <c r="AU130" s="14">
        <v>720000.0</v>
      </c>
      <c r="AV130" s="15">
        <v>0.467</v>
      </c>
      <c r="AW130" s="15">
        <v>2.9</v>
      </c>
      <c r="AX130" s="15">
        <v>680.0</v>
      </c>
      <c r="AY130" s="14">
        <v>1.684</v>
      </c>
      <c r="AZ130" s="14">
        <v>0.088</v>
      </c>
      <c r="BA130" s="14">
        <v>4.672</v>
      </c>
    </row>
    <row r="131" ht="14.25" customHeight="1">
      <c r="A131" s="10" t="s">
        <v>218</v>
      </c>
      <c r="B131" s="11" t="s">
        <v>85</v>
      </c>
      <c r="C131" s="11"/>
      <c r="D131" s="12"/>
      <c r="E131" s="11">
        <v>42909.0</v>
      </c>
      <c r="F131" s="12">
        <v>1.0</v>
      </c>
      <c r="G131" s="12"/>
      <c r="H131" s="13">
        <v>0.3541666666666667</v>
      </c>
      <c r="I131" s="13">
        <v>0.43749999999999994</v>
      </c>
      <c r="J131" s="18">
        <v>5.8</v>
      </c>
      <c r="K131" s="18">
        <v>0.192</v>
      </c>
      <c r="L131" s="14">
        <v>327.4</v>
      </c>
      <c r="M131" s="14">
        <v>326.5</v>
      </c>
      <c r="N131" s="14">
        <v>336.4</v>
      </c>
      <c r="O131" s="14">
        <v>321.6</v>
      </c>
      <c r="P131" s="14">
        <v>255.8</v>
      </c>
      <c r="Q131" s="14">
        <v>313.54</v>
      </c>
      <c r="R131" s="14">
        <v>8.45</v>
      </c>
      <c r="S131" s="14">
        <v>8.32</v>
      </c>
      <c r="T131" s="14">
        <v>8.27</v>
      </c>
      <c r="U131" s="14">
        <v>8.19</v>
      </c>
      <c r="V131" s="14">
        <v>8.17</v>
      </c>
      <c r="W131" s="14">
        <v>8.28</v>
      </c>
      <c r="X131" s="14">
        <v>19.3</v>
      </c>
      <c r="Y131" s="14">
        <v>19.5</v>
      </c>
      <c r="Z131" s="14">
        <v>19.6</v>
      </c>
      <c r="AA131" s="14">
        <v>19.4</v>
      </c>
      <c r="AB131" s="14">
        <v>19.9</v>
      </c>
      <c r="AC131" s="14">
        <v>19.54</v>
      </c>
      <c r="AD131" s="14">
        <v>482.0</v>
      </c>
      <c r="AE131" s="14">
        <v>489.0</v>
      </c>
      <c r="AF131" s="14">
        <v>482.0</v>
      </c>
      <c r="AG131" s="14">
        <v>500.0</v>
      </c>
      <c r="AH131" s="14">
        <v>513.0</v>
      </c>
      <c r="AI131" s="14">
        <v>493.2</v>
      </c>
      <c r="AJ131" s="14">
        <v>2.25</v>
      </c>
      <c r="AK131" s="14">
        <v>2.36</v>
      </c>
      <c r="AL131" s="14">
        <v>1.72</v>
      </c>
      <c r="AM131" s="14">
        <v>1.75</v>
      </c>
      <c r="AN131" s="14">
        <v>1.96</v>
      </c>
      <c r="AO131" s="14">
        <v>2.008</v>
      </c>
      <c r="AP131" s="14">
        <v>240.0</v>
      </c>
      <c r="AQ131" s="14">
        <v>343.66</v>
      </c>
      <c r="AR131" s="14">
        <v>94.0</v>
      </c>
      <c r="AS131" s="14">
        <v>45.0</v>
      </c>
      <c r="AT131" s="14">
        <v>3.82</v>
      </c>
      <c r="AU131" s="14">
        <v>3.3E7</v>
      </c>
      <c r="AV131" s="15">
        <v>3.994</v>
      </c>
      <c r="AW131" s="15">
        <v>39.3</v>
      </c>
      <c r="AX131" s="15">
        <v>1700000.0</v>
      </c>
      <c r="AY131" s="14">
        <v>1.131</v>
      </c>
      <c r="AZ131" s="14">
        <v>0.092</v>
      </c>
      <c r="BA131" s="14">
        <v>40.522999999999996</v>
      </c>
    </row>
    <row r="132" ht="14.25" customHeight="1">
      <c r="A132" s="10" t="s">
        <v>219</v>
      </c>
      <c r="B132" s="11" t="s">
        <v>97</v>
      </c>
      <c r="C132" s="11"/>
      <c r="D132" s="12"/>
      <c r="E132" s="11">
        <v>42909.0</v>
      </c>
      <c r="F132" s="12">
        <v>1.0</v>
      </c>
      <c r="G132" s="12"/>
      <c r="H132" s="13">
        <v>0.2708333333333333</v>
      </c>
      <c r="I132" s="13">
        <v>0.3541666666666666</v>
      </c>
      <c r="J132" s="18">
        <v>1.6</v>
      </c>
      <c r="K132" s="18">
        <v>0.11</v>
      </c>
      <c r="L132" s="14">
        <v>57.5</v>
      </c>
      <c r="M132" s="14">
        <v>55.3</v>
      </c>
      <c r="N132" s="14">
        <v>72.3</v>
      </c>
      <c r="O132" s="14">
        <v>70.1</v>
      </c>
      <c r="P132" s="14">
        <v>64.4</v>
      </c>
      <c r="Q132" s="14">
        <v>63.92</v>
      </c>
      <c r="R132" s="14">
        <v>7.25</v>
      </c>
      <c r="S132" s="14">
        <v>7.13</v>
      </c>
      <c r="T132" s="14">
        <v>7.93</v>
      </c>
      <c r="U132" s="14">
        <v>7.97</v>
      </c>
      <c r="V132" s="14">
        <v>8.56</v>
      </c>
      <c r="W132" s="14">
        <v>7.767999999999999</v>
      </c>
      <c r="X132" s="14">
        <v>14.8</v>
      </c>
      <c r="Y132" s="14">
        <v>15.4</v>
      </c>
      <c r="Z132" s="14">
        <v>16.2</v>
      </c>
      <c r="AA132" s="14">
        <v>17.0</v>
      </c>
      <c r="AB132" s="14">
        <v>17.8</v>
      </c>
      <c r="AC132" s="14">
        <v>16.240000000000002</v>
      </c>
      <c r="AD132" s="14">
        <v>150.8</v>
      </c>
      <c r="AE132" s="14">
        <v>213.0</v>
      </c>
      <c r="AF132" s="14">
        <v>319.0</v>
      </c>
      <c r="AG132" s="14">
        <v>381.0</v>
      </c>
      <c r="AH132" s="14">
        <v>385.0</v>
      </c>
      <c r="AI132" s="14">
        <v>289.76</v>
      </c>
      <c r="AJ132" s="14">
        <v>4.52</v>
      </c>
      <c r="AK132" s="14">
        <v>4.37</v>
      </c>
      <c r="AL132" s="14">
        <v>3.2</v>
      </c>
      <c r="AM132" s="14">
        <v>3.15</v>
      </c>
      <c r="AN132" s="14">
        <v>2.55</v>
      </c>
      <c r="AO132" s="14">
        <v>3.558</v>
      </c>
      <c r="AP132" s="14">
        <v>85.0</v>
      </c>
      <c r="AQ132" s="14">
        <v>162.282</v>
      </c>
      <c r="AR132" s="14">
        <v>76.2</v>
      </c>
      <c r="AS132" s="14">
        <v>15.0</v>
      </c>
      <c r="AT132" s="14">
        <v>0.71</v>
      </c>
      <c r="AU132" s="14">
        <v>1.9E7</v>
      </c>
      <c r="AV132" s="15">
        <v>2.9</v>
      </c>
      <c r="AW132" s="15">
        <v>21.8</v>
      </c>
      <c r="AX132" s="15">
        <v>210000.0</v>
      </c>
      <c r="AY132" s="14">
        <v>0.835</v>
      </c>
      <c r="AZ132" s="14">
        <v>0.079</v>
      </c>
      <c r="BA132" s="14">
        <v>22.714000000000002</v>
      </c>
    </row>
    <row r="133" ht="14.25" customHeight="1">
      <c r="A133" s="10" t="s">
        <v>220</v>
      </c>
      <c r="B133" s="11" t="s">
        <v>63</v>
      </c>
      <c r="C133" s="11"/>
      <c r="D133" s="12"/>
      <c r="E133" s="11">
        <v>42909.0</v>
      </c>
      <c r="F133" s="12">
        <v>1.0</v>
      </c>
      <c r="G133" s="12"/>
      <c r="H133" s="13">
        <v>0.375</v>
      </c>
      <c r="I133" s="13">
        <v>0.45833333333333326</v>
      </c>
      <c r="J133" s="18">
        <v>7.5</v>
      </c>
      <c r="K133" s="18">
        <v>0.18</v>
      </c>
      <c r="L133" s="14">
        <v>385.9</v>
      </c>
      <c r="M133" s="14">
        <v>403.1</v>
      </c>
      <c r="N133" s="14">
        <v>458.4</v>
      </c>
      <c r="O133" s="14">
        <v>390.9</v>
      </c>
      <c r="P133" s="14">
        <v>393.5</v>
      </c>
      <c r="Q133" s="14">
        <v>406.36</v>
      </c>
      <c r="R133" s="14">
        <v>8.37</v>
      </c>
      <c r="S133" s="14">
        <v>8.41</v>
      </c>
      <c r="T133" s="14">
        <v>8.27</v>
      </c>
      <c r="U133" s="14">
        <v>8.25</v>
      </c>
      <c r="V133" s="14">
        <v>8.22</v>
      </c>
      <c r="W133" s="14">
        <v>8.303999999999998</v>
      </c>
      <c r="X133" s="14">
        <v>20.3</v>
      </c>
      <c r="Y133" s="14">
        <v>20.5</v>
      </c>
      <c r="Z133" s="14">
        <v>20.2</v>
      </c>
      <c r="AA133" s="14">
        <v>20.7</v>
      </c>
      <c r="AB133" s="14">
        <v>21.9</v>
      </c>
      <c r="AC133" s="14">
        <v>20.72</v>
      </c>
      <c r="AD133" s="14">
        <v>460.0</v>
      </c>
      <c r="AE133" s="14">
        <v>435.0</v>
      </c>
      <c r="AF133" s="14">
        <v>461.0</v>
      </c>
      <c r="AG133" s="14">
        <v>497.0</v>
      </c>
      <c r="AH133" s="14">
        <v>508.0</v>
      </c>
      <c r="AI133" s="14">
        <v>472.2</v>
      </c>
      <c r="AJ133" s="14">
        <v>1.16</v>
      </c>
      <c r="AK133" s="14">
        <v>1.18</v>
      </c>
      <c r="AL133" s="14">
        <v>1.28</v>
      </c>
      <c r="AM133" s="14">
        <v>1.1</v>
      </c>
      <c r="AN133" s="14">
        <v>1.42</v>
      </c>
      <c r="AO133" s="14">
        <v>1.2280000000000002</v>
      </c>
      <c r="AP133" s="14">
        <v>183.0</v>
      </c>
      <c r="AQ133" s="14">
        <v>279.706</v>
      </c>
      <c r="AR133" s="14">
        <v>46.9</v>
      </c>
      <c r="AS133" s="14">
        <v>40.0</v>
      </c>
      <c r="AT133" s="14">
        <v>2.79</v>
      </c>
      <c r="AU133" s="14">
        <v>6.5E7</v>
      </c>
      <c r="AV133" s="15">
        <v>3.819</v>
      </c>
      <c r="AW133" s="15">
        <v>33.9</v>
      </c>
      <c r="AX133" s="15">
        <v>1700000.0</v>
      </c>
      <c r="AY133" s="14">
        <v>1.193</v>
      </c>
      <c r="AZ133" s="14">
        <v>0.126</v>
      </c>
      <c r="BA133" s="14">
        <v>35.218999999999994</v>
      </c>
    </row>
    <row r="134" ht="14.25" customHeight="1">
      <c r="A134" s="10" t="s">
        <v>221</v>
      </c>
      <c r="B134" s="16" t="s">
        <v>93</v>
      </c>
      <c r="C134" s="11"/>
      <c r="D134" s="12"/>
      <c r="E134" s="11">
        <v>42852.0</v>
      </c>
      <c r="F134" s="12">
        <v>1.0</v>
      </c>
      <c r="G134" s="12"/>
      <c r="H134" s="13">
        <v>0.4583333333333333</v>
      </c>
      <c r="I134" s="13">
        <v>0.5416666666666665</v>
      </c>
      <c r="J134" s="18">
        <v>2.6</v>
      </c>
      <c r="K134" s="18">
        <v>0.168</v>
      </c>
      <c r="L134" s="14">
        <v>87.3</v>
      </c>
      <c r="M134" s="14">
        <v>95.7</v>
      </c>
      <c r="N134" s="14">
        <v>91.3</v>
      </c>
      <c r="O134" s="14">
        <v>97.4</v>
      </c>
      <c r="P134" s="14">
        <v>101.8</v>
      </c>
      <c r="Q134" s="14">
        <v>94.70000000000002</v>
      </c>
      <c r="R134" s="14">
        <v>8.05</v>
      </c>
      <c r="S134" s="14">
        <v>7.89</v>
      </c>
      <c r="T134" s="14">
        <v>7.82</v>
      </c>
      <c r="U134" s="14">
        <v>7.73</v>
      </c>
      <c r="V134" s="14">
        <v>7.67</v>
      </c>
      <c r="W134" s="14">
        <v>7.832000000000001</v>
      </c>
      <c r="X134" s="14">
        <v>19.3</v>
      </c>
      <c r="Y134" s="14">
        <v>18.6</v>
      </c>
      <c r="Z134" s="14">
        <v>18.7</v>
      </c>
      <c r="AA134" s="14">
        <v>19.3</v>
      </c>
      <c r="AB134" s="14">
        <v>18.7</v>
      </c>
      <c r="AC134" s="14">
        <v>18.92</v>
      </c>
      <c r="AD134" s="14">
        <v>902.0</v>
      </c>
      <c r="AE134" s="14">
        <v>900.0</v>
      </c>
      <c r="AF134" s="14">
        <v>878.0</v>
      </c>
      <c r="AG134" s="14">
        <v>858.0</v>
      </c>
      <c r="AH134" s="14">
        <v>850.0</v>
      </c>
      <c r="AI134" s="14">
        <v>877.6</v>
      </c>
      <c r="AJ134" s="14">
        <v>3.36</v>
      </c>
      <c r="AK134" s="14">
        <v>3.17</v>
      </c>
      <c r="AL134" s="14">
        <v>2.36</v>
      </c>
      <c r="AM134" s="14">
        <v>2.44</v>
      </c>
      <c r="AN134" s="14">
        <v>2.91</v>
      </c>
      <c r="AO134" s="14">
        <v>2.848</v>
      </c>
      <c r="AP134" s="14">
        <v>200.0</v>
      </c>
      <c r="AQ134" s="14">
        <v>436.0</v>
      </c>
      <c r="AR134" s="14">
        <v>133.0</v>
      </c>
      <c r="AS134" s="14">
        <v>63.0</v>
      </c>
      <c r="AT134" s="14">
        <v>2.84</v>
      </c>
      <c r="AU134" s="14">
        <v>2.4E7</v>
      </c>
      <c r="AV134" s="15">
        <v>6.832</v>
      </c>
      <c r="AW134" s="15">
        <v>53.9</v>
      </c>
      <c r="AX134" s="15">
        <v>3.5E7</v>
      </c>
      <c r="AY134" s="14">
        <v>0.219</v>
      </c>
      <c r="AZ134" s="14">
        <v>0.004</v>
      </c>
      <c r="BA134" s="14">
        <v>54.123</v>
      </c>
    </row>
    <row r="135" ht="14.25" customHeight="1">
      <c r="A135" s="10" t="s">
        <v>222</v>
      </c>
      <c r="B135" s="16" t="s">
        <v>79</v>
      </c>
      <c r="C135" s="11"/>
      <c r="D135" s="12"/>
      <c r="E135" s="17">
        <v>42852.0</v>
      </c>
      <c r="F135" s="18">
        <v>1.0</v>
      </c>
      <c r="G135" s="18"/>
      <c r="H135" s="13">
        <v>0.4166666666666667</v>
      </c>
      <c r="I135" s="13">
        <v>0.49999999999999994</v>
      </c>
      <c r="J135" s="18">
        <v>1.3</v>
      </c>
      <c r="K135" s="18">
        <v>0.09</v>
      </c>
      <c r="L135" s="15">
        <v>3.3</v>
      </c>
      <c r="M135" s="15">
        <v>4.1</v>
      </c>
      <c r="N135" s="15">
        <v>8.1</v>
      </c>
      <c r="O135" s="15">
        <v>9.9</v>
      </c>
      <c r="P135" s="15">
        <v>8.5</v>
      </c>
      <c r="Q135" s="15">
        <v>6.779999999999999</v>
      </c>
      <c r="R135" s="15">
        <v>7.69</v>
      </c>
      <c r="S135" s="15">
        <v>7.63</v>
      </c>
      <c r="T135" s="15">
        <v>7.69</v>
      </c>
      <c r="U135" s="15">
        <v>7.6</v>
      </c>
      <c r="V135" s="15">
        <v>7.66</v>
      </c>
      <c r="W135" s="15">
        <v>7.653999999999999</v>
      </c>
      <c r="X135" s="15">
        <v>12.7</v>
      </c>
      <c r="Y135" s="15">
        <v>12.8</v>
      </c>
      <c r="Z135" s="15">
        <v>13.6</v>
      </c>
      <c r="AA135" s="15">
        <v>14.4</v>
      </c>
      <c r="AB135" s="15">
        <v>15.0</v>
      </c>
      <c r="AC135" s="15">
        <v>13.7</v>
      </c>
      <c r="AD135" s="15">
        <v>288.0</v>
      </c>
      <c r="AE135" s="15">
        <v>305.0</v>
      </c>
      <c r="AF135" s="15">
        <v>305.0</v>
      </c>
      <c r="AG135" s="15">
        <v>334.0</v>
      </c>
      <c r="AH135" s="15">
        <v>310.0</v>
      </c>
      <c r="AI135" s="15">
        <v>308.4</v>
      </c>
      <c r="AJ135" s="15">
        <v>0.03</v>
      </c>
      <c r="AK135" s="15">
        <v>0.02</v>
      </c>
      <c r="AL135" s="15">
        <v>0.01</v>
      </c>
      <c r="AM135" s="15">
        <v>0.21</v>
      </c>
      <c r="AN135" s="15">
        <v>0.08</v>
      </c>
      <c r="AO135" s="15">
        <v>0.07</v>
      </c>
      <c r="AP135" s="15">
        <v>56.0</v>
      </c>
      <c r="AQ135" s="15">
        <v>139.0</v>
      </c>
      <c r="AR135" s="15">
        <v>31.3</v>
      </c>
      <c r="AS135" s="15">
        <v>18.0</v>
      </c>
      <c r="AT135" s="15">
        <v>2.56</v>
      </c>
      <c r="AU135" s="15">
        <v>1.7E7</v>
      </c>
      <c r="AV135" s="15">
        <v>2.429</v>
      </c>
      <c r="AW135" s="15">
        <v>20.6</v>
      </c>
      <c r="AX135" s="15">
        <v>200000.0</v>
      </c>
      <c r="AY135" s="15">
        <v>0.1</v>
      </c>
      <c r="AZ135" s="15">
        <v>0.031</v>
      </c>
      <c r="BA135" s="15">
        <v>20.731</v>
      </c>
    </row>
    <row r="136" ht="14.25" customHeight="1">
      <c r="A136" s="10" t="s">
        <v>223</v>
      </c>
      <c r="B136" s="11" t="s">
        <v>83</v>
      </c>
      <c r="C136" s="11"/>
      <c r="D136" s="12"/>
      <c r="E136" s="11">
        <v>42852.0</v>
      </c>
      <c r="F136" s="12">
        <v>1.0</v>
      </c>
      <c r="G136" s="12"/>
      <c r="H136" s="13">
        <v>0.5416666666666666</v>
      </c>
      <c r="I136" s="13">
        <v>0.6249999999999997</v>
      </c>
      <c r="J136" s="18">
        <v>4.2</v>
      </c>
      <c r="K136" s="18">
        <v>0.29</v>
      </c>
      <c r="L136" s="14">
        <v>414.8</v>
      </c>
      <c r="M136" s="14">
        <v>404.7</v>
      </c>
      <c r="N136" s="14">
        <v>391.9</v>
      </c>
      <c r="O136" s="14">
        <v>409.5</v>
      </c>
      <c r="P136" s="14">
        <v>372.0</v>
      </c>
      <c r="Q136" s="14">
        <v>398.58000000000004</v>
      </c>
      <c r="R136" s="14">
        <v>7.58</v>
      </c>
      <c r="S136" s="14">
        <v>7.75</v>
      </c>
      <c r="T136" s="14">
        <v>7.6</v>
      </c>
      <c r="U136" s="14">
        <v>7.62</v>
      </c>
      <c r="V136" s="14">
        <v>7.6</v>
      </c>
      <c r="W136" s="14">
        <v>7.63</v>
      </c>
      <c r="X136" s="14">
        <v>19.5</v>
      </c>
      <c r="Y136" s="14">
        <v>19.1</v>
      </c>
      <c r="Z136" s="14">
        <v>18.8</v>
      </c>
      <c r="AA136" s="14">
        <v>18.8</v>
      </c>
      <c r="AB136" s="14">
        <v>18.9</v>
      </c>
      <c r="AC136" s="14">
        <v>19.02</v>
      </c>
      <c r="AD136" s="14">
        <v>676.0</v>
      </c>
      <c r="AE136" s="14">
        <v>677.0</v>
      </c>
      <c r="AF136" s="14">
        <v>677.0</v>
      </c>
      <c r="AG136" s="14">
        <v>677.0</v>
      </c>
      <c r="AH136" s="14">
        <v>645.0</v>
      </c>
      <c r="AI136" s="14">
        <v>670.4</v>
      </c>
      <c r="AJ136" s="14">
        <v>1.47</v>
      </c>
      <c r="AK136" s="14">
        <v>1.23</v>
      </c>
      <c r="AL136" s="14">
        <v>0.8</v>
      </c>
      <c r="AM136" s="14">
        <v>1.01</v>
      </c>
      <c r="AN136" s="14">
        <v>0.9</v>
      </c>
      <c r="AO136" s="14">
        <v>1.082</v>
      </c>
      <c r="AP136" s="14">
        <v>188.0</v>
      </c>
      <c r="AQ136" s="14">
        <v>278.0</v>
      </c>
      <c r="AR136" s="14">
        <v>206.0</v>
      </c>
      <c r="AS136" s="14">
        <v>60.0</v>
      </c>
      <c r="AT136" s="14">
        <v>2.83</v>
      </c>
      <c r="AU136" s="14">
        <v>2.4E7</v>
      </c>
      <c r="AV136" s="15">
        <v>5.146</v>
      </c>
      <c r="AW136" s="15">
        <v>46.3</v>
      </c>
      <c r="AX136" s="15">
        <v>1.7E7</v>
      </c>
      <c r="AY136" s="14">
        <v>0.377</v>
      </c>
      <c r="AZ136" s="14">
        <v>0.008</v>
      </c>
      <c r="BA136" s="14">
        <v>46.685</v>
      </c>
    </row>
    <row r="137" ht="14.25" customHeight="1">
      <c r="A137" s="10" t="s">
        <v>224</v>
      </c>
      <c r="B137" s="11" t="s">
        <v>61</v>
      </c>
      <c r="C137" s="11"/>
      <c r="D137" s="12"/>
      <c r="E137" s="11">
        <v>42852.0</v>
      </c>
      <c r="F137" s="12">
        <v>1.0</v>
      </c>
      <c r="G137" s="12"/>
      <c r="H137" s="13">
        <v>0.6666666666666666</v>
      </c>
      <c r="I137" s="13">
        <v>0.7499999999999997</v>
      </c>
      <c r="J137" s="12">
        <v>12.3</v>
      </c>
      <c r="K137" s="12">
        <v>0.06</v>
      </c>
      <c r="L137" s="14">
        <v>368.5</v>
      </c>
      <c r="M137" s="14">
        <v>343.4</v>
      </c>
      <c r="N137" s="14">
        <v>310.7</v>
      </c>
      <c r="O137" s="14">
        <v>337.9</v>
      </c>
      <c r="P137" s="14">
        <v>319.3</v>
      </c>
      <c r="Q137" s="14">
        <v>335.96</v>
      </c>
      <c r="R137" s="14">
        <v>7.69</v>
      </c>
      <c r="S137" s="14">
        <v>7.75</v>
      </c>
      <c r="T137" s="14">
        <v>7.73</v>
      </c>
      <c r="U137" s="14">
        <v>7.78</v>
      </c>
      <c r="V137" s="14">
        <v>7.75</v>
      </c>
      <c r="W137" s="14">
        <v>7.74</v>
      </c>
      <c r="X137" s="14">
        <v>19.0</v>
      </c>
      <c r="Y137" s="14">
        <v>18.7</v>
      </c>
      <c r="Z137" s="14">
        <v>17.2</v>
      </c>
      <c r="AA137" s="14">
        <v>17.8</v>
      </c>
      <c r="AB137" s="14">
        <v>17.5</v>
      </c>
      <c r="AC137" s="14">
        <v>18.04</v>
      </c>
      <c r="AD137" s="14">
        <v>705.0</v>
      </c>
      <c r="AE137" s="14">
        <v>721.0</v>
      </c>
      <c r="AF137" s="14">
        <v>728.0</v>
      </c>
      <c r="AG137" s="14">
        <v>713.0</v>
      </c>
      <c r="AH137" s="14">
        <v>706.0</v>
      </c>
      <c r="AI137" s="14">
        <v>714.6</v>
      </c>
      <c r="AJ137" s="14">
        <v>0.17</v>
      </c>
      <c r="AK137" s="14">
        <v>0.1</v>
      </c>
      <c r="AL137" s="14">
        <v>0.08</v>
      </c>
      <c r="AM137" s="14">
        <v>0.23</v>
      </c>
      <c r="AN137" s="14">
        <v>0.13</v>
      </c>
      <c r="AO137" s="14">
        <v>0.14200000000000002</v>
      </c>
      <c r="AP137" s="14">
        <v>208.0</v>
      </c>
      <c r="AQ137" s="14">
        <v>238.0</v>
      </c>
      <c r="AR137" s="14">
        <v>92.9</v>
      </c>
      <c r="AS137" s="14">
        <v>52.0</v>
      </c>
      <c r="AT137" s="14">
        <v>2.84</v>
      </c>
      <c r="AU137" s="14">
        <v>2.4E7</v>
      </c>
      <c r="AV137" s="15">
        <v>5.844</v>
      </c>
      <c r="AW137" s="15">
        <v>41.0</v>
      </c>
      <c r="AX137" s="15">
        <v>2600000.0</v>
      </c>
      <c r="AY137" s="14">
        <v>0.136</v>
      </c>
      <c r="AZ137" s="14">
        <v>0.004</v>
      </c>
      <c r="BA137" s="14">
        <v>41.14</v>
      </c>
    </row>
    <row r="138" ht="14.25" customHeight="1">
      <c r="A138" s="10" t="s">
        <v>225</v>
      </c>
      <c r="B138" s="11" t="s">
        <v>67</v>
      </c>
      <c r="C138" s="11"/>
      <c r="D138" s="12"/>
      <c r="E138" s="11">
        <v>42859.0</v>
      </c>
      <c r="F138" s="12">
        <v>1.0</v>
      </c>
      <c r="G138" s="12"/>
      <c r="H138" s="13">
        <v>0.2708333333333333</v>
      </c>
      <c r="I138" s="13">
        <v>0.3541666666666666</v>
      </c>
      <c r="J138" s="18">
        <v>1.9</v>
      </c>
      <c r="K138" s="18">
        <v>0.096</v>
      </c>
      <c r="L138" s="14">
        <v>86.3</v>
      </c>
      <c r="M138" s="14">
        <v>88.5</v>
      </c>
      <c r="N138" s="14">
        <v>89.3</v>
      </c>
      <c r="O138" s="14">
        <v>95.8</v>
      </c>
      <c r="P138" s="14">
        <v>82.7</v>
      </c>
      <c r="Q138" s="14">
        <v>88.52000000000001</v>
      </c>
      <c r="R138" s="14">
        <v>7.89</v>
      </c>
      <c r="S138" s="14">
        <v>7.87</v>
      </c>
      <c r="T138" s="14">
        <v>8.02</v>
      </c>
      <c r="U138" s="14">
        <v>7.89</v>
      </c>
      <c r="V138" s="14">
        <v>7.9</v>
      </c>
      <c r="W138" s="14">
        <v>7.914</v>
      </c>
      <c r="X138" s="14">
        <v>12.4</v>
      </c>
      <c r="Y138" s="14">
        <v>12.6</v>
      </c>
      <c r="Z138" s="14">
        <v>12.5</v>
      </c>
      <c r="AA138" s="14">
        <v>12.6</v>
      </c>
      <c r="AB138" s="14">
        <v>12.6</v>
      </c>
      <c r="AC138" s="14">
        <v>12.540000000000001</v>
      </c>
      <c r="AD138" s="14">
        <v>250.0</v>
      </c>
      <c r="AE138" s="14">
        <v>241.0</v>
      </c>
      <c r="AF138" s="14">
        <v>237.0</v>
      </c>
      <c r="AG138" s="14">
        <v>229.0</v>
      </c>
      <c r="AH138" s="14">
        <v>225.0</v>
      </c>
      <c r="AI138" s="14">
        <v>236.4</v>
      </c>
      <c r="AJ138" s="14">
        <v>5.28</v>
      </c>
      <c r="AK138" s="14">
        <v>5.38</v>
      </c>
      <c r="AL138" s="14">
        <v>5.44</v>
      </c>
      <c r="AM138" s="14">
        <v>5.23</v>
      </c>
      <c r="AN138" s="14">
        <v>5.01</v>
      </c>
      <c r="AO138" s="14">
        <v>5.268000000000001</v>
      </c>
      <c r="AP138" s="14">
        <v>12.7</v>
      </c>
      <c r="AQ138" s="14">
        <v>69.0</v>
      </c>
      <c r="AR138" s="14">
        <v>8.0</v>
      </c>
      <c r="AS138" s="14">
        <v>11.0</v>
      </c>
      <c r="AT138" s="14">
        <v>0.63</v>
      </c>
      <c r="AU138" s="14">
        <v>2.0E7</v>
      </c>
      <c r="AV138" s="15">
        <v>0.498</v>
      </c>
      <c r="AW138" s="15">
        <v>5.6</v>
      </c>
      <c r="AX138" s="15">
        <v>2000.0</v>
      </c>
      <c r="AY138" s="14">
        <v>1.319</v>
      </c>
      <c r="AZ138" s="14">
        <v>0.112</v>
      </c>
      <c r="BA138" s="14">
        <v>7.031</v>
      </c>
    </row>
    <row r="139" ht="14.25" customHeight="1">
      <c r="A139" s="10" t="s">
        <v>226</v>
      </c>
      <c r="B139" s="11" t="s">
        <v>77</v>
      </c>
      <c r="C139" s="11"/>
      <c r="D139" s="12"/>
      <c r="E139" s="11">
        <v>42859.0</v>
      </c>
      <c r="F139" s="12">
        <v>1.0</v>
      </c>
      <c r="G139" s="12"/>
      <c r="H139" s="13">
        <v>0.3680555555555556</v>
      </c>
      <c r="I139" s="13">
        <v>0.45138888888888884</v>
      </c>
      <c r="J139" s="18">
        <v>2.4</v>
      </c>
      <c r="K139" s="18">
        <v>0.112</v>
      </c>
      <c r="L139" s="14">
        <v>177.3</v>
      </c>
      <c r="M139" s="14">
        <v>175.9</v>
      </c>
      <c r="N139" s="14">
        <v>181.6</v>
      </c>
      <c r="O139" s="14">
        <v>173.4</v>
      </c>
      <c r="P139" s="14">
        <v>191.4</v>
      </c>
      <c r="Q139" s="14">
        <v>179.92000000000002</v>
      </c>
      <c r="R139" s="14">
        <v>7.22</v>
      </c>
      <c r="S139" s="14">
        <v>7.25</v>
      </c>
      <c r="T139" s="14">
        <v>7.27</v>
      </c>
      <c r="U139" s="14">
        <v>7.23</v>
      </c>
      <c r="V139" s="14">
        <v>7.23</v>
      </c>
      <c r="W139" s="14">
        <v>7.24</v>
      </c>
      <c r="X139" s="14">
        <v>15.9</v>
      </c>
      <c r="Y139" s="14">
        <v>15.8</v>
      </c>
      <c r="Z139" s="14">
        <v>16.6</v>
      </c>
      <c r="AA139" s="14">
        <v>18.6</v>
      </c>
      <c r="AB139" s="14">
        <v>17.3</v>
      </c>
      <c r="AC139" s="14">
        <v>16.84</v>
      </c>
      <c r="AD139" s="14">
        <v>272.0</v>
      </c>
      <c r="AE139" s="14">
        <v>263.0</v>
      </c>
      <c r="AF139" s="14">
        <v>261.0</v>
      </c>
      <c r="AG139" s="14">
        <v>251.0</v>
      </c>
      <c r="AH139" s="14">
        <v>260.0</v>
      </c>
      <c r="AI139" s="14">
        <v>261.4</v>
      </c>
      <c r="AJ139" s="14">
        <v>2.84</v>
      </c>
      <c r="AK139" s="14">
        <v>2.68</v>
      </c>
      <c r="AL139" s="14">
        <v>3.06</v>
      </c>
      <c r="AM139" s="14">
        <v>3.74</v>
      </c>
      <c r="AN139" s="14">
        <v>2.77</v>
      </c>
      <c r="AO139" s="14">
        <v>3.018</v>
      </c>
      <c r="AP139" s="14">
        <v>47.2</v>
      </c>
      <c r="AQ139" s="14">
        <v>129.0</v>
      </c>
      <c r="AR139" s="14">
        <v>28.3</v>
      </c>
      <c r="AS139" s="14">
        <v>27.0</v>
      </c>
      <c r="AT139" s="14">
        <v>1.67</v>
      </c>
      <c r="AU139" s="14">
        <v>1.7E7</v>
      </c>
      <c r="AV139" s="19">
        <v>0.06</v>
      </c>
      <c r="AW139" s="15">
        <v>14.2</v>
      </c>
      <c r="AX139" s="15">
        <v>33000.0</v>
      </c>
      <c r="AY139" s="14">
        <v>0.1</v>
      </c>
      <c r="AZ139" s="14">
        <v>0.01</v>
      </c>
      <c r="BA139" s="14">
        <v>14.309999999999999</v>
      </c>
    </row>
    <row r="140" ht="14.25" customHeight="1">
      <c r="A140" s="10" t="s">
        <v>227</v>
      </c>
      <c r="B140" s="11" t="s">
        <v>65</v>
      </c>
      <c r="C140" s="11"/>
      <c r="D140" s="12"/>
      <c r="E140" s="11">
        <v>42859.0</v>
      </c>
      <c r="F140" s="12">
        <v>1.0</v>
      </c>
      <c r="G140" s="12"/>
      <c r="H140" s="13">
        <v>0.4895833333333333</v>
      </c>
      <c r="I140" s="13">
        <v>0.5729166666666664</v>
      </c>
      <c r="J140" s="18">
        <v>5.9</v>
      </c>
      <c r="K140" s="18">
        <v>0.144</v>
      </c>
      <c r="L140" s="14">
        <v>255.9</v>
      </c>
      <c r="M140" s="14">
        <v>243.0</v>
      </c>
      <c r="N140" s="14">
        <v>255.0</v>
      </c>
      <c r="O140" s="14">
        <v>241.3</v>
      </c>
      <c r="P140" s="14">
        <v>227.4</v>
      </c>
      <c r="Q140" s="14">
        <v>244.52000000000004</v>
      </c>
      <c r="R140" s="14">
        <v>7.67</v>
      </c>
      <c r="S140" s="14">
        <v>7.7</v>
      </c>
      <c r="T140" s="14">
        <v>7.83</v>
      </c>
      <c r="U140" s="14">
        <v>7.79</v>
      </c>
      <c r="V140" s="14">
        <v>7.8</v>
      </c>
      <c r="W140" s="14">
        <v>7.758</v>
      </c>
      <c r="X140" s="14">
        <v>20.1</v>
      </c>
      <c r="Y140" s="14">
        <v>22.3</v>
      </c>
      <c r="Z140" s="14">
        <v>22.2</v>
      </c>
      <c r="AA140" s="14">
        <v>20.8</v>
      </c>
      <c r="AB140" s="14">
        <v>20.3</v>
      </c>
      <c r="AC140" s="14">
        <v>21.14</v>
      </c>
      <c r="AD140" s="14">
        <v>283.0</v>
      </c>
      <c r="AE140" s="14">
        <v>273.0</v>
      </c>
      <c r="AF140" s="14">
        <v>282.0</v>
      </c>
      <c r="AG140" s="14">
        <v>287.0</v>
      </c>
      <c r="AH140" s="14">
        <v>291.0</v>
      </c>
      <c r="AI140" s="14">
        <v>283.2</v>
      </c>
      <c r="AJ140" s="14">
        <v>2.91</v>
      </c>
      <c r="AK140" s="14">
        <v>3.29</v>
      </c>
      <c r="AL140" s="14">
        <v>4.0</v>
      </c>
      <c r="AM140" s="14">
        <v>2.88</v>
      </c>
      <c r="AN140" s="14">
        <v>3.1</v>
      </c>
      <c r="AO140" s="14">
        <v>3.2359999999999998</v>
      </c>
      <c r="AP140" s="14">
        <v>25.4</v>
      </c>
      <c r="AQ140" s="14">
        <v>89.3</v>
      </c>
      <c r="AR140" s="14">
        <v>7.3</v>
      </c>
      <c r="AS140" s="14">
        <v>10.0</v>
      </c>
      <c r="AT140" s="14">
        <v>1.72</v>
      </c>
      <c r="AU140" s="14">
        <v>2.4E7</v>
      </c>
      <c r="AV140" s="15">
        <v>0.4</v>
      </c>
      <c r="AW140" s="15">
        <v>13.8</v>
      </c>
      <c r="AX140" s="15">
        <v>33000.0</v>
      </c>
      <c r="AY140" s="14">
        <v>0.176</v>
      </c>
      <c r="AZ140" s="14">
        <v>0.249</v>
      </c>
      <c r="BA140" s="14">
        <v>14.225000000000001</v>
      </c>
    </row>
    <row r="141" ht="14.25" customHeight="1">
      <c r="A141" s="10" t="s">
        <v>228</v>
      </c>
      <c r="B141" s="11" t="s">
        <v>70</v>
      </c>
      <c r="C141" s="11"/>
      <c r="D141" s="12"/>
      <c r="E141" s="11">
        <v>42859.0</v>
      </c>
      <c r="F141" s="12">
        <v>1.0</v>
      </c>
      <c r="G141" s="12"/>
      <c r="H141" s="13">
        <v>0.5902777777777778</v>
      </c>
      <c r="I141" s="13">
        <v>0.6736111111111108</v>
      </c>
      <c r="J141" s="12">
        <v>5.3</v>
      </c>
      <c r="K141" s="12">
        <v>0.12</v>
      </c>
      <c r="L141" s="14">
        <v>252.0</v>
      </c>
      <c r="M141" s="14">
        <v>243.4</v>
      </c>
      <c r="N141" s="14">
        <v>246.3</v>
      </c>
      <c r="O141" s="14">
        <v>251.8</v>
      </c>
      <c r="P141" s="14">
        <v>260.8</v>
      </c>
      <c r="Q141" s="14">
        <v>250.85999999999999</v>
      </c>
      <c r="R141" s="14">
        <v>7.55</v>
      </c>
      <c r="S141" s="14">
        <v>7.6</v>
      </c>
      <c r="T141" s="14">
        <v>7.54</v>
      </c>
      <c r="U141" s="14">
        <v>7.56</v>
      </c>
      <c r="V141" s="14">
        <v>7.67</v>
      </c>
      <c r="W141" s="14">
        <v>7.583999999999999</v>
      </c>
      <c r="X141" s="14">
        <v>21.6</v>
      </c>
      <c r="Y141" s="14">
        <v>21.0</v>
      </c>
      <c r="Z141" s="14">
        <v>23.4</v>
      </c>
      <c r="AA141" s="14">
        <v>23.8</v>
      </c>
      <c r="AB141" s="14">
        <v>21.3</v>
      </c>
      <c r="AC141" s="14">
        <v>22.22</v>
      </c>
      <c r="AD141" s="14">
        <v>334.0</v>
      </c>
      <c r="AE141" s="14">
        <v>339.0</v>
      </c>
      <c r="AF141" s="14">
        <v>339.0</v>
      </c>
      <c r="AG141" s="14">
        <v>344.0</v>
      </c>
      <c r="AH141" s="14">
        <v>365.0</v>
      </c>
      <c r="AI141" s="14">
        <v>344.2</v>
      </c>
      <c r="AJ141" s="14">
        <v>1.74</v>
      </c>
      <c r="AK141" s="14">
        <v>2.24</v>
      </c>
      <c r="AL141" s="14">
        <v>2.12</v>
      </c>
      <c r="AM141" s="14">
        <v>2.13</v>
      </c>
      <c r="AN141" s="14">
        <v>2.13</v>
      </c>
      <c r="AO141" s="14">
        <v>2.072</v>
      </c>
      <c r="AP141" s="14">
        <v>42.6</v>
      </c>
      <c r="AQ141" s="14">
        <v>129.0</v>
      </c>
      <c r="AR141" s="14">
        <v>23.7</v>
      </c>
      <c r="AS141" s="14">
        <v>12.0</v>
      </c>
      <c r="AT141" s="14">
        <v>2.3</v>
      </c>
      <c r="AU141" s="14">
        <v>2.4E7</v>
      </c>
      <c r="AV141" s="15">
        <v>1.298</v>
      </c>
      <c r="AW141" s="15">
        <v>17.9</v>
      </c>
      <c r="AX141" s="15">
        <v>240000.0</v>
      </c>
      <c r="AY141" s="14">
        <v>0.1</v>
      </c>
      <c r="AZ141" s="14">
        <v>0.008</v>
      </c>
      <c r="BA141" s="14">
        <v>18.008</v>
      </c>
    </row>
    <row r="142" ht="14.25" customHeight="1">
      <c r="A142" s="10" t="s">
        <v>229</v>
      </c>
      <c r="B142" s="11" t="s">
        <v>118</v>
      </c>
      <c r="C142" s="11"/>
      <c r="D142" s="12"/>
      <c r="E142" s="11">
        <v>42859.0</v>
      </c>
      <c r="F142" s="12">
        <v>1.0</v>
      </c>
      <c r="G142" s="12"/>
      <c r="H142" s="13">
        <v>0.3541666666666667</v>
      </c>
      <c r="I142" s="13">
        <v>0.43749999999999994</v>
      </c>
      <c r="J142" s="18">
        <v>1.0</v>
      </c>
      <c r="K142" s="18">
        <v>0.06</v>
      </c>
      <c r="L142" s="14">
        <v>11.8</v>
      </c>
      <c r="M142" s="14">
        <v>12.0</v>
      </c>
      <c r="N142" s="14">
        <v>12.4</v>
      </c>
      <c r="O142" s="14">
        <v>12.0</v>
      </c>
      <c r="P142" s="14">
        <v>11.3</v>
      </c>
      <c r="Q142" s="14">
        <v>11.9</v>
      </c>
      <c r="R142" s="14">
        <v>7.69</v>
      </c>
      <c r="S142" s="14">
        <v>7.68</v>
      </c>
      <c r="T142" s="14">
        <v>7.57</v>
      </c>
      <c r="U142" s="14">
        <v>7.5</v>
      </c>
      <c r="V142" s="14">
        <v>7.46</v>
      </c>
      <c r="W142" s="14">
        <v>7.58</v>
      </c>
      <c r="X142" s="14">
        <v>15.9</v>
      </c>
      <c r="Y142" s="14">
        <v>16.0</v>
      </c>
      <c r="Z142" s="14">
        <v>17.2</v>
      </c>
      <c r="AA142" s="14">
        <v>15.8</v>
      </c>
      <c r="AB142" s="14">
        <v>15.8</v>
      </c>
      <c r="AC142" s="14">
        <v>16.139999999999997</v>
      </c>
      <c r="AD142" s="14">
        <v>270.0</v>
      </c>
      <c r="AE142" s="14">
        <v>253.0</v>
      </c>
      <c r="AF142" s="14">
        <v>235.0</v>
      </c>
      <c r="AG142" s="14">
        <v>253.0</v>
      </c>
      <c r="AH142" s="14">
        <v>227.0</v>
      </c>
      <c r="AI142" s="14">
        <v>247.6</v>
      </c>
      <c r="AJ142" s="14">
        <v>4.58</v>
      </c>
      <c r="AK142" s="14">
        <v>4.08</v>
      </c>
      <c r="AL142" s="14">
        <v>4.47</v>
      </c>
      <c r="AM142" s="14">
        <v>3.5</v>
      </c>
      <c r="AN142" s="14">
        <v>3.28</v>
      </c>
      <c r="AO142" s="14">
        <v>3.982</v>
      </c>
      <c r="AP142" s="14">
        <v>22.8</v>
      </c>
      <c r="AQ142" s="14">
        <v>57.3</v>
      </c>
      <c r="AR142" s="14">
        <v>5.0</v>
      </c>
      <c r="AS142" s="14">
        <v>10.0</v>
      </c>
      <c r="AT142" s="14">
        <v>0.97</v>
      </c>
      <c r="AU142" s="14">
        <v>2.4E7</v>
      </c>
      <c r="AV142" s="15">
        <v>0.375</v>
      </c>
      <c r="AW142" s="15">
        <v>8.9</v>
      </c>
      <c r="AX142" s="15">
        <v>7800.0</v>
      </c>
      <c r="AY142" s="14">
        <v>0.714</v>
      </c>
      <c r="AZ142" s="14">
        <v>0.083</v>
      </c>
      <c r="BA142" s="14">
        <v>9.697000000000001</v>
      </c>
    </row>
    <row r="143" ht="14.25" customHeight="1">
      <c r="A143" s="10" t="s">
        <v>230</v>
      </c>
      <c r="B143" s="11" t="s">
        <v>120</v>
      </c>
      <c r="C143" s="11"/>
      <c r="D143" s="12"/>
      <c r="E143" s="11">
        <v>42859.0</v>
      </c>
      <c r="F143" s="12">
        <v>1.0</v>
      </c>
      <c r="G143" s="12"/>
      <c r="H143" s="13">
        <v>0.4513888888888889</v>
      </c>
      <c r="I143" s="13">
        <v>0.5347222222222221</v>
      </c>
      <c r="J143" s="18">
        <v>0.7</v>
      </c>
      <c r="K143" s="18">
        <v>0.12</v>
      </c>
      <c r="L143" s="14">
        <v>18.7</v>
      </c>
      <c r="M143" s="14">
        <v>21.4</v>
      </c>
      <c r="N143" s="14">
        <v>21.4</v>
      </c>
      <c r="O143" s="14">
        <v>20.8</v>
      </c>
      <c r="P143" s="14">
        <v>24.7</v>
      </c>
      <c r="Q143" s="14">
        <v>21.4</v>
      </c>
      <c r="R143" s="14">
        <v>8.32</v>
      </c>
      <c r="S143" s="14">
        <v>8.46</v>
      </c>
      <c r="T143" s="14">
        <v>8.48</v>
      </c>
      <c r="U143" s="14">
        <v>8.53</v>
      </c>
      <c r="V143" s="14">
        <v>8.66</v>
      </c>
      <c r="W143" s="14">
        <v>8.49</v>
      </c>
      <c r="X143" s="14">
        <v>19.8</v>
      </c>
      <c r="Y143" s="14">
        <v>21.9</v>
      </c>
      <c r="Z143" s="14">
        <v>20.7</v>
      </c>
      <c r="AA143" s="14">
        <v>20.9</v>
      </c>
      <c r="AB143" s="14">
        <v>21.8</v>
      </c>
      <c r="AC143" s="14">
        <v>21.020000000000003</v>
      </c>
      <c r="AD143" s="14">
        <v>297.0</v>
      </c>
      <c r="AE143" s="14">
        <v>269.0</v>
      </c>
      <c r="AF143" s="14">
        <v>298.0</v>
      </c>
      <c r="AG143" s="14">
        <v>308.0</v>
      </c>
      <c r="AH143" s="14">
        <v>226.0</v>
      </c>
      <c r="AI143" s="14">
        <v>279.6</v>
      </c>
      <c r="AJ143" s="14">
        <v>5.16</v>
      </c>
      <c r="AK143" s="14">
        <v>0.8</v>
      </c>
      <c r="AL143" s="14">
        <v>3.17</v>
      </c>
      <c r="AM143" s="14">
        <v>4.04</v>
      </c>
      <c r="AN143" s="14">
        <v>5.08</v>
      </c>
      <c r="AO143" s="14">
        <v>3.65</v>
      </c>
      <c r="AP143" s="14">
        <v>13.4</v>
      </c>
      <c r="AQ143" s="14">
        <v>65.2</v>
      </c>
      <c r="AR143" s="14">
        <v>8.0</v>
      </c>
      <c r="AS143" s="14">
        <v>10.0</v>
      </c>
      <c r="AT143" s="14">
        <v>0.87</v>
      </c>
      <c r="AU143" s="14">
        <v>460000.0</v>
      </c>
      <c r="AV143" s="15">
        <v>0.834</v>
      </c>
      <c r="AW143" s="15">
        <v>1.1</v>
      </c>
      <c r="AX143" s="15">
        <v>24000.0</v>
      </c>
      <c r="AY143" s="14">
        <v>0.651</v>
      </c>
      <c r="AZ143" s="14">
        <v>0.185</v>
      </c>
      <c r="BA143" s="14">
        <v>1.9360000000000002</v>
      </c>
    </row>
    <row r="144" ht="14.25" customHeight="1">
      <c r="A144" s="10" t="s">
        <v>231</v>
      </c>
      <c r="B144" s="11" t="s">
        <v>116</v>
      </c>
      <c r="C144" s="11"/>
      <c r="D144" s="12"/>
      <c r="E144" s="11">
        <v>42859.0</v>
      </c>
      <c r="F144" s="12">
        <v>1.0</v>
      </c>
      <c r="G144" s="12"/>
      <c r="H144" s="13">
        <v>0.576388888888889</v>
      </c>
      <c r="I144" s="13">
        <v>0.659722222222222</v>
      </c>
      <c r="J144" s="12">
        <v>0.8</v>
      </c>
      <c r="K144" s="12">
        <v>0.136</v>
      </c>
      <c r="L144" s="14">
        <v>31.1</v>
      </c>
      <c r="M144" s="14">
        <v>32.7</v>
      </c>
      <c r="N144" s="14">
        <v>34.1</v>
      </c>
      <c r="O144" s="14">
        <v>32.1</v>
      </c>
      <c r="P144" s="14">
        <v>26.6</v>
      </c>
      <c r="Q144" s="14">
        <v>31.32</v>
      </c>
      <c r="R144" s="14">
        <v>8.7</v>
      </c>
      <c r="S144" s="14">
        <v>8.46</v>
      </c>
      <c r="T144" s="14">
        <v>8.49</v>
      </c>
      <c r="U144" s="14">
        <v>8.32</v>
      </c>
      <c r="V144" s="14">
        <v>8.39</v>
      </c>
      <c r="W144" s="14">
        <v>8.472</v>
      </c>
      <c r="X144" s="14">
        <v>22.7</v>
      </c>
      <c r="Y144" s="14">
        <v>23.2</v>
      </c>
      <c r="Z144" s="14">
        <v>24.3</v>
      </c>
      <c r="AA144" s="14">
        <v>24.4</v>
      </c>
      <c r="AB144" s="14">
        <v>24.7</v>
      </c>
      <c r="AC144" s="14">
        <v>23.86</v>
      </c>
      <c r="AD144" s="14">
        <v>312.0</v>
      </c>
      <c r="AE144" s="14">
        <v>335.0</v>
      </c>
      <c r="AF144" s="14">
        <v>344.0</v>
      </c>
      <c r="AG144" s="14">
        <v>368.0</v>
      </c>
      <c r="AH144" s="14">
        <v>353.0</v>
      </c>
      <c r="AI144" s="14">
        <v>342.4</v>
      </c>
      <c r="AJ144" s="14">
        <v>6.32</v>
      </c>
      <c r="AK144" s="14">
        <v>6.07</v>
      </c>
      <c r="AL144" s="14">
        <v>4.26</v>
      </c>
      <c r="AM144" s="14">
        <v>7.54</v>
      </c>
      <c r="AN144" s="14">
        <v>5.64</v>
      </c>
      <c r="AO144" s="14">
        <v>5.965999999999999</v>
      </c>
      <c r="AP144" s="14">
        <v>12.6</v>
      </c>
      <c r="AQ144" s="14">
        <v>62.9</v>
      </c>
      <c r="AR144" s="14">
        <v>8.7</v>
      </c>
      <c r="AS144" s="14">
        <v>11.0</v>
      </c>
      <c r="AT144" s="14">
        <v>1.15</v>
      </c>
      <c r="AU144" s="14">
        <v>2400000.0</v>
      </c>
      <c r="AV144" s="15">
        <v>0.21</v>
      </c>
      <c r="AW144" s="15">
        <v>10.7</v>
      </c>
      <c r="AX144" s="15">
        <v>200.0</v>
      </c>
      <c r="AY144" s="14">
        <v>1.077</v>
      </c>
      <c r="AZ144" s="14">
        <v>0.305</v>
      </c>
      <c r="BA144" s="14">
        <v>12.081999999999999</v>
      </c>
    </row>
    <row r="145" ht="14.25" customHeight="1">
      <c r="A145" s="10" t="s">
        <v>232</v>
      </c>
      <c r="B145" s="11" t="s">
        <v>129</v>
      </c>
      <c r="C145" s="11"/>
      <c r="D145" s="12"/>
      <c r="E145" s="11">
        <v>42859.0</v>
      </c>
      <c r="F145" s="12">
        <v>1.0</v>
      </c>
      <c r="G145" s="12"/>
      <c r="H145" s="13">
        <v>0.6597222222222222</v>
      </c>
      <c r="I145" s="13">
        <v>0.7430555555555552</v>
      </c>
      <c r="J145" s="18">
        <v>4.7</v>
      </c>
      <c r="K145" s="18">
        <v>0.1</v>
      </c>
      <c r="L145" s="14">
        <v>55.8</v>
      </c>
      <c r="M145" s="14">
        <v>59.9</v>
      </c>
      <c r="N145" s="14">
        <v>55.6</v>
      </c>
      <c r="O145" s="14">
        <v>61.1</v>
      </c>
      <c r="P145" s="14" t="s">
        <v>161</v>
      </c>
      <c r="Q145" s="14">
        <v>58.099999999999994</v>
      </c>
      <c r="R145" s="14">
        <v>7.8</v>
      </c>
      <c r="S145" s="14">
        <v>7.68</v>
      </c>
      <c r="T145" s="14">
        <v>7.7</v>
      </c>
      <c r="U145" s="14">
        <v>7.78</v>
      </c>
      <c r="V145" s="14" t="s">
        <v>161</v>
      </c>
      <c r="W145" s="14">
        <v>7.74</v>
      </c>
      <c r="X145" s="14">
        <v>20.8</v>
      </c>
      <c r="Y145" s="14">
        <v>22.4</v>
      </c>
      <c r="Z145" s="14">
        <v>21.3</v>
      </c>
      <c r="AA145" s="14">
        <v>20.7</v>
      </c>
      <c r="AB145" s="14" t="s">
        <v>161</v>
      </c>
      <c r="AC145" s="14">
        <v>21.3</v>
      </c>
      <c r="AD145" s="14">
        <v>455.0</v>
      </c>
      <c r="AE145" s="14">
        <v>453.0</v>
      </c>
      <c r="AF145" s="14">
        <v>469.0</v>
      </c>
      <c r="AG145" s="14">
        <v>469.0</v>
      </c>
      <c r="AH145" s="14" t="s">
        <v>161</v>
      </c>
      <c r="AI145" s="14">
        <v>461.5</v>
      </c>
      <c r="AJ145" s="14">
        <v>1.35</v>
      </c>
      <c r="AK145" s="14">
        <v>1.64</v>
      </c>
      <c r="AL145" s="14">
        <v>1.6</v>
      </c>
      <c r="AM145" s="14">
        <v>1.58</v>
      </c>
      <c r="AN145" s="14" t="s">
        <v>161</v>
      </c>
      <c r="AO145" s="14">
        <v>1.5425</v>
      </c>
      <c r="AP145" s="14">
        <v>64.8</v>
      </c>
      <c r="AQ145" s="14">
        <v>184.0</v>
      </c>
      <c r="AR145" s="14">
        <v>11.3</v>
      </c>
      <c r="AS145" s="14">
        <v>26.0</v>
      </c>
      <c r="AT145" s="14">
        <v>6.15</v>
      </c>
      <c r="AU145" s="14">
        <v>2.4E7</v>
      </c>
      <c r="AV145" s="15">
        <v>4.128</v>
      </c>
      <c r="AW145" s="15">
        <v>20.2</v>
      </c>
      <c r="AX145" s="15">
        <v>110000.0</v>
      </c>
      <c r="AY145" s="14">
        <v>0.171</v>
      </c>
      <c r="AZ145" s="14">
        <v>0.015</v>
      </c>
      <c r="BA145" s="14">
        <v>20.386</v>
      </c>
    </row>
    <row r="146" ht="14.25" customHeight="1">
      <c r="A146" s="10" t="s">
        <v>233</v>
      </c>
      <c r="B146" s="11" t="s">
        <v>67</v>
      </c>
      <c r="C146" s="11"/>
      <c r="D146" s="12"/>
      <c r="E146" s="11">
        <v>43138.0</v>
      </c>
      <c r="F146" s="12">
        <v>1.0</v>
      </c>
      <c r="G146" s="12"/>
      <c r="H146" s="13">
        <v>0.4791666666666667</v>
      </c>
      <c r="I146" s="13">
        <v>0.5625</v>
      </c>
      <c r="J146" s="12">
        <v>2.0</v>
      </c>
      <c r="K146" s="12">
        <v>0.1</v>
      </c>
      <c r="L146" s="14">
        <v>102.5</v>
      </c>
      <c r="M146" s="14">
        <v>99.9</v>
      </c>
      <c r="N146" s="14">
        <v>101.1</v>
      </c>
      <c r="O146" s="14">
        <v>105.8</v>
      </c>
      <c r="P146" s="14">
        <v>113.3</v>
      </c>
      <c r="Q146" s="14">
        <v>104.52000000000001</v>
      </c>
      <c r="R146" s="14">
        <v>7.92</v>
      </c>
      <c r="S146" s="14">
        <v>7.84</v>
      </c>
      <c r="T146" s="14">
        <v>7.86</v>
      </c>
      <c r="U146" s="14">
        <v>7.92</v>
      </c>
      <c r="V146" s="14">
        <v>7.93</v>
      </c>
      <c r="W146" s="14">
        <v>7.894</v>
      </c>
      <c r="X146" s="14">
        <v>15.9</v>
      </c>
      <c r="Y146" s="14">
        <v>15.0</v>
      </c>
      <c r="Z146" s="14">
        <v>15.2</v>
      </c>
      <c r="AA146" s="14">
        <v>15.2</v>
      </c>
      <c r="AB146" s="14">
        <v>15.6</v>
      </c>
      <c r="AC146" s="14">
        <v>15.379999999999999</v>
      </c>
      <c r="AD146" s="14">
        <v>218.0</v>
      </c>
      <c r="AE146" s="14">
        <v>219.0</v>
      </c>
      <c r="AF146" s="14">
        <v>218.0</v>
      </c>
      <c r="AG146" s="14">
        <v>222.0</v>
      </c>
      <c r="AH146" s="14">
        <v>227.0</v>
      </c>
      <c r="AI146" s="14">
        <v>220.8</v>
      </c>
      <c r="AJ146" s="14">
        <v>5.17</v>
      </c>
      <c r="AK146" s="14">
        <v>5.51</v>
      </c>
      <c r="AL146" s="14">
        <v>6.85</v>
      </c>
      <c r="AM146" s="14">
        <v>6.6</v>
      </c>
      <c r="AN146" s="14">
        <v>6.23</v>
      </c>
      <c r="AO146" s="14">
        <v>6.072000000000001</v>
      </c>
      <c r="AP146" s="14">
        <v>9.9</v>
      </c>
      <c r="AQ146" s="14">
        <v>28.8</v>
      </c>
      <c r="AR146" s="14">
        <v>22.0</v>
      </c>
      <c r="AS146" s="14">
        <v>17.0</v>
      </c>
      <c r="AT146" s="14">
        <v>0.4</v>
      </c>
      <c r="AU146" s="14">
        <v>1600000.0</v>
      </c>
      <c r="AV146" s="20">
        <v>0.828</v>
      </c>
      <c r="AW146" s="20">
        <v>7.6</v>
      </c>
      <c r="AX146" s="15">
        <v>540000.0</v>
      </c>
      <c r="AY146" s="14">
        <v>1.74</v>
      </c>
      <c r="AZ146" s="14">
        <v>0.5</v>
      </c>
      <c r="BA146" s="14">
        <v>9.84</v>
      </c>
    </row>
    <row r="147" ht="14.25" customHeight="1">
      <c r="A147" s="10" t="s">
        <v>234</v>
      </c>
      <c r="B147" s="11" t="s">
        <v>95</v>
      </c>
      <c r="C147" s="11"/>
      <c r="D147" s="12"/>
      <c r="E147" s="11">
        <v>43138.0</v>
      </c>
      <c r="F147" s="12">
        <v>1.0</v>
      </c>
      <c r="G147" s="12"/>
      <c r="H147" s="13">
        <v>0.5833333333333334</v>
      </c>
      <c r="I147" s="13">
        <v>0.6666666666666666</v>
      </c>
      <c r="J147" s="12"/>
      <c r="K147" s="12"/>
      <c r="L147" s="14">
        <v>2.78</v>
      </c>
      <c r="M147" s="14">
        <v>3.92</v>
      </c>
      <c r="N147" s="14">
        <v>3.2</v>
      </c>
      <c r="O147" s="14">
        <v>2.59</v>
      </c>
      <c r="P147" s="14">
        <v>3.36</v>
      </c>
      <c r="Q147" s="14">
        <v>3.1699999999999995</v>
      </c>
      <c r="R147" s="14">
        <v>7.32</v>
      </c>
      <c r="S147" s="14">
        <v>7.14</v>
      </c>
      <c r="T147" s="14">
        <v>7.27</v>
      </c>
      <c r="U147" s="14">
        <v>7.28</v>
      </c>
      <c r="V147" s="14">
        <v>7.12</v>
      </c>
      <c r="W147" s="14">
        <v>7.226000000000001</v>
      </c>
      <c r="X147" s="14">
        <v>15.9</v>
      </c>
      <c r="Y147" s="14">
        <v>16.4</v>
      </c>
      <c r="Z147" s="14">
        <v>15.8</v>
      </c>
      <c r="AA147" s="14">
        <v>15.8</v>
      </c>
      <c r="AB147" s="14">
        <v>15.6</v>
      </c>
      <c r="AC147" s="14">
        <v>15.899999999999997</v>
      </c>
      <c r="AD147" s="14">
        <v>125.3</v>
      </c>
      <c r="AE147" s="14">
        <v>114.1</v>
      </c>
      <c r="AF147" s="14">
        <v>124.1</v>
      </c>
      <c r="AG147" s="14">
        <v>118.4</v>
      </c>
      <c r="AH147" s="14">
        <v>118.2</v>
      </c>
      <c r="AI147" s="14">
        <v>120.02000000000001</v>
      </c>
      <c r="AJ147" s="14">
        <v>5.26</v>
      </c>
      <c r="AK147" s="14">
        <v>6.03</v>
      </c>
      <c r="AL147" s="14">
        <v>5.48</v>
      </c>
      <c r="AM147" s="14">
        <v>5.56</v>
      </c>
      <c r="AN147" s="14">
        <v>5.41</v>
      </c>
      <c r="AO147" s="14">
        <v>5.548</v>
      </c>
      <c r="AP147" s="14">
        <v>11.2</v>
      </c>
      <c r="AQ147" s="14">
        <v>13.2</v>
      </c>
      <c r="AR147" s="14">
        <v>9.0</v>
      </c>
      <c r="AS147" s="14">
        <v>12.0</v>
      </c>
      <c r="AT147" s="14">
        <v>0.67</v>
      </c>
      <c r="AU147" s="14">
        <v>7000000.0</v>
      </c>
      <c r="AV147" s="20">
        <v>0.507</v>
      </c>
      <c r="AW147" s="20">
        <v>3.6</v>
      </c>
      <c r="AX147" s="15">
        <v>460000.0</v>
      </c>
      <c r="AY147" s="14">
        <v>6.85</v>
      </c>
      <c r="AZ147" s="14">
        <v>0.5</v>
      </c>
      <c r="BA147" s="14">
        <v>10.95</v>
      </c>
    </row>
    <row r="148" ht="14.25" customHeight="1">
      <c r="A148" s="10" t="s">
        <v>235</v>
      </c>
      <c r="B148" s="11" t="s">
        <v>106</v>
      </c>
      <c r="C148" s="11"/>
      <c r="D148" s="12"/>
      <c r="E148" s="11">
        <v>43138.0</v>
      </c>
      <c r="F148" s="12">
        <v>1.0</v>
      </c>
      <c r="G148" s="12"/>
      <c r="H148" s="13">
        <v>0.25</v>
      </c>
      <c r="I148" s="13">
        <v>0.3333333333333333</v>
      </c>
      <c r="J148" s="21">
        <v>1.25</v>
      </c>
      <c r="K148" s="22">
        <v>0.13</v>
      </c>
      <c r="L148" s="14">
        <v>42.5</v>
      </c>
      <c r="M148" s="14">
        <v>37.7</v>
      </c>
      <c r="N148" s="14">
        <v>37.0</v>
      </c>
      <c r="O148" s="14">
        <v>44.1</v>
      </c>
      <c r="P148" s="14">
        <v>43.7</v>
      </c>
      <c r="Q148" s="14">
        <v>41.0</v>
      </c>
      <c r="R148" s="14">
        <v>8.48</v>
      </c>
      <c r="S148" s="14">
        <v>8.54</v>
      </c>
      <c r="T148" s="14">
        <v>8.59</v>
      </c>
      <c r="U148" s="14">
        <v>9.18</v>
      </c>
      <c r="V148" s="14">
        <v>11.08</v>
      </c>
      <c r="W148" s="14">
        <v>9.174</v>
      </c>
      <c r="X148" s="14">
        <v>15.4</v>
      </c>
      <c r="Y148" s="14">
        <v>15.4</v>
      </c>
      <c r="Z148" s="14">
        <v>15.5</v>
      </c>
      <c r="AA148" s="14">
        <v>15.4</v>
      </c>
      <c r="AB148" s="14">
        <v>15.6</v>
      </c>
      <c r="AC148" s="14">
        <v>15.459999999999999</v>
      </c>
      <c r="AD148" s="14">
        <v>649.0</v>
      </c>
      <c r="AE148" s="14">
        <v>658.0</v>
      </c>
      <c r="AF148" s="14">
        <v>667.0</v>
      </c>
      <c r="AG148" s="14">
        <v>664.0</v>
      </c>
      <c r="AH148" s="14">
        <v>707.0</v>
      </c>
      <c r="AI148" s="14">
        <v>669.0</v>
      </c>
      <c r="AJ148" s="14">
        <v>3.48</v>
      </c>
      <c r="AK148" s="14">
        <v>3.8</v>
      </c>
      <c r="AL148" s="14">
        <v>3.96</v>
      </c>
      <c r="AM148" s="14">
        <v>3.63</v>
      </c>
      <c r="AN148" s="14">
        <v>4.26</v>
      </c>
      <c r="AO148" s="14">
        <v>3.825999999999999</v>
      </c>
      <c r="AP148" s="14">
        <v>97.2</v>
      </c>
      <c r="AQ148" s="14">
        <v>502.0</v>
      </c>
      <c r="AR148" s="14">
        <v>4700.0</v>
      </c>
      <c r="AS148" s="14">
        <v>43.0</v>
      </c>
      <c r="AT148" s="14">
        <v>1.73</v>
      </c>
      <c r="AU148" s="14">
        <v>4.1E7</v>
      </c>
      <c r="AV148" s="20">
        <v>4.61</v>
      </c>
      <c r="AW148" s="20">
        <v>45.2</v>
      </c>
      <c r="AX148" s="15">
        <v>1.3E7</v>
      </c>
      <c r="AY148" s="14">
        <v>0.5</v>
      </c>
      <c r="AZ148" s="14">
        <v>0.5</v>
      </c>
      <c r="BA148" s="14">
        <v>46.2</v>
      </c>
    </row>
    <row r="149" ht="14.25" customHeight="1">
      <c r="A149" s="10" t="s">
        <v>236</v>
      </c>
      <c r="B149" s="11" t="s">
        <v>126</v>
      </c>
      <c r="C149" s="11"/>
      <c r="D149" s="12"/>
      <c r="E149" s="11">
        <v>43138.0</v>
      </c>
      <c r="F149" s="12">
        <v>1.0</v>
      </c>
      <c r="G149" s="12"/>
      <c r="H149" s="13">
        <v>0.3541666666666667</v>
      </c>
      <c r="I149" s="13">
        <v>0.4375</v>
      </c>
      <c r="J149" s="12"/>
      <c r="K149" s="12"/>
      <c r="L149" s="14">
        <v>4.86</v>
      </c>
      <c r="M149" s="14">
        <v>3.33</v>
      </c>
      <c r="N149" s="14">
        <v>3.12</v>
      </c>
      <c r="O149" s="14">
        <v>5.09</v>
      </c>
      <c r="P149" s="14">
        <v>5.47</v>
      </c>
      <c r="Q149" s="14">
        <v>4.3740000000000006</v>
      </c>
      <c r="R149" s="14">
        <v>7.94</v>
      </c>
      <c r="S149" s="14">
        <v>7.9</v>
      </c>
      <c r="T149" s="14">
        <v>7.78</v>
      </c>
      <c r="U149" s="14">
        <v>7.77</v>
      </c>
      <c r="V149" s="14">
        <v>7.7</v>
      </c>
      <c r="W149" s="14">
        <v>7.8180000000000005</v>
      </c>
      <c r="X149" s="14">
        <v>15.4</v>
      </c>
      <c r="Y149" s="14">
        <v>15.4</v>
      </c>
      <c r="Z149" s="14">
        <v>15.5</v>
      </c>
      <c r="AA149" s="14">
        <v>15.7</v>
      </c>
      <c r="AB149" s="14">
        <v>15.9</v>
      </c>
      <c r="AC149" s="14">
        <v>15.580000000000002</v>
      </c>
      <c r="AD149" s="14">
        <v>358.0</v>
      </c>
      <c r="AE149" s="14">
        <v>377.0</v>
      </c>
      <c r="AF149" s="14">
        <v>377.0</v>
      </c>
      <c r="AG149" s="14">
        <v>388.0</v>
      </c>
      <c r="AH149" s="14">
        <v>372.0</v>
      </c>
      <c r="AI149" s="14">
        <v>374.4</v>
      </c>
      <c r="AJ149" s="14">
        <v>5.18</v>
      </c>
      <c r="AK149" s="14">
        <v>5.15</v>
      </c>
      <c r="AL149" s="14">
        <v>4.8</v>
      </c>
      <c r="AM149" s="14">
        <v>5.23</v>
      </c>
      <c r="AN149" s="14">
        <v>5.05</v>
      </c>
      <c r="AO149" s="14">
        <v>5.082</v>
      </c>
      <c r="AP149" s="14">
        <v>25.6</v>
      </c>
      <c r="AQ149" s="14">
        <v>43.0</v>
      </c>
      <c r="AR149" s="14">
        <v>92.0</v>
      </c>
      <c r="AS149" s="14">
        <v>10.0</v>
      </c>
      <c r="AT149" s="14">
        <v>0.4</v>
      </c>
      <c r="AU149" s="14">
        <v>2400000.0</v>
      </c>
      <c r="AV149" s="20">
        <v>1.17</v>
      </c>
      <c r="AW149" s="20">
        <v>6.6</v>
      </c>
      <c r="AX149" s="15">
        <v>1600000.0</v>
      </c>
      <c r="AY149" s="14">
        <v>14.0</v>
      </c>
      <c r="AZ149" s="14">
        <v>1.07</v>
      </c>
      <c r="BA149" s="14">
        <v>21.67</v>
      </c>
    </row>
    <row r="150" ht="14.25" customHeight="1">
      <c r="A150" s="10" t="s">
        <v>237</v>
      </c>
      <c r="B150" s="11" t="s">
        <v>104</v>
      </c>
      <c r="C150" s="11"/>
      <c r="D150" s="12"/>
      <c r="E150" s="11">
        <v>43138.0</v>
      </c>
      <c r="F150" s="12">
        <v>1.0</v>
      </c>
      <c r="G150" s="12"/>
      <c r="H150" s="13">
        <v>0.4583333333333333</v>
      </c>
      <c r="I150" s="13">
        <v>0.5416666666666666</v>
      </c>
      <c r="J150" s="21">
        <v>0.7</v>
      </c>
      <c r="K150" s="22">
        <v>0.14</v>
      </c>
      <c r="L150" s="14">
        <v>8.4</v>
      </c>
      <c r="M150" s="14">
        <v>10.9</v>
      </c>
      <c r="N150" s="14">
        <v>11.4</v>
      </c>
      <c r="O150" s="14">
        <v>11.7</v>
      </c>
      <c r="P150" s="14">
        <v>12.4</v>
      </c>
      <c r="Q150" s="14">
        <v>10.96</v>
      </c>
      <c r="R150" s="14">
        <v>11.9</v>
      </c>
      <c r="S150" s="14">
        <v>10.2</v>
      </c>
      <c r="T150" s="14">
        <v>10.12</v>
      </c>
      <c r="U150" s="14">
        <v>11.6</v>
      </c>
      <c r="V150" s="14">
        <v>11.2</v>
      </c>
      <c r="W150" s="14">
        <v>11.004</v>
      </c>
      <c r="X150" s="14">
        <v>17.0</v>
      </c>
      <c r="Y150" s="14">
        <v>16.5</v>
      </c>
      <c r="Z150" s="14">
        <v>17.7</v>
      </c>
      <c r="AA150" s="14">
        <v>17.5</v>
      </c>
      <c r="AB150" s="14">
        <v>17.7</v>
      </c>
      <c r="AC150" s="14">
        <v>17.28</v>
      </c>
      <c r="AD150" s="14">
        <v>977.0</v>
      </c>
      <c r="AE150" s="14">
        <v>462.0</v>
      </c>
      <c r="AF150" s="14">
        <v>468.0</v>
      </c>
      <c r="AG150" s="14">
        <v>909.0</v>
      </c>
      <c r="AH150" s="14">
        <v>872.0</v>
      </c>
      <c r="AI150" s="14">
        <v>737.6</v>
      </c>
      <c r="AJ150" s="14">
        <v>5.23</v>
      </c>
      <c r="AK150" s="14">
        <v>4.6</v>
      </c>
      <c r="AL150" s="14">
        <v>5.07</v>
      </c>
      <c r="AM150" s="14">
        <v>5.61</v>
      </c>
      <c r="AN150" s="14">
        <v>5.35</v>
      </c>
      <c r="AO150" s="14">
        <v>5.172</v>
      </c>
      <c r="AP150" s="14">
        <v>55.4</v>
      </c>
      <c r="AQ150" s="14">
        <v>102.0</v>
      </c>
      <c r="AR150" s="14">
        <v>180.0</v>
      </c>
      <c r="AS150" s="14">
        <v>56.0</v>
      </c>
      <c r="AT150" s="14">
        <v>1.51</v>
      </c>
      <c r="AU150" s="14">
        <v>8200000.0</v>
      </c>
      <c r="AV150" s="20">
        <v>1.309</v>
      </c>
      <c r="AW150" s="20">
        <v>10.7</v>
      </c>
      <c r="AX150" s="15">
        <v>454000.0</v>
      </c>
      <c r="AY150" s="14">
        <v>16.59</v>
      </c>
      <c r="AZ150" s="14">
        <v>2.32</v>
      </c>
      <c r="BA150" s="14">
        <v>29.61</v>
      </c>
    </row>
    <row r="151" ht="14.25" customHeight="1">
      <c r="A151" s="10" t="s">
        <v>238</v>
      </c>
      <c r="B151" s="11" t="s">
        <v>116</v>
      </c>
      <c r="C151" s="11"/>
      <c r="D151" s="12"/>
      <c r="E151" s="11">
        <v>43131.0</v>
      </c>
      <c r="F151" s="12">
        <v>1.0</v>
      </c>
      <c r="G151" s="12"/>
      <c r="H151" s="13">
        <v>0.2604166666666667</v>
      </c>
      <c r="I151" s="13">
        <v>0.34375</v>
      </c>
      <c r="J151" s="21">
        <v>4.0</v>
      </c>
      <c r="K151" s="22">
        <v>0.1</v>
      </c>
      <c r="L151" s="14">
        <v>37.7</v>
      </c>
      <c r="M151" s="14">
        <v>37.1</v>
      </c>
      <c r="N151" s="14">
        <v>41.0</v>
      </c>
      <c r="O151" s="14">
        <v>41.2</v>
      </c>
      <c r="P151" s="14">
        <v>41.9</v>
      </c>
      <c r="Q151" s="14">
        <v>39.78</v>
      </c>
      <c r="R151" s="14">
        <v>7.19</v>
      </c>
      <c r="S151" s="14">
        <v>7.29</v>
      </c>
      <c r="T151" s="14">
        <v>7.34</v>
      </c>
      <c r="U151" s="14">
        <v>7.43</v>
      </c>
      <c r="V151" s="14">
        <v>7.57</v>
      </c>
      <c r="W151" s="14">
        <v>7.364</v>
      </c>
      <c r="X151" s="14">
        <v>13.0</v>
      </c>
      <c r="Y151" s="14">
        <v>13.1</v>
      </c>
      <c r="Z151" s="14">
        <v>13.3</v>
      </c>
      <c r="AA151" s="14">
        <v>13.9</v>
      </c>
      <c r="AB151" s="14">
        <v>14.5</v>
      </c>
      <c r="AC151" s="14">
        <v>13.560000000000002</v>
      </c>
      <c r="AD151" s="14">
        <v>353.0</v>
      </c>
      <c r="AE151" s="14">
        <v>354.0</v>
      </c>
      <c r="AF151" s="14">
        <v>357.0</v>
      </c>
      <c r="AG151" s="14">
        <v>348.0</v>
      </c>
      <c r="AH151" s="14">
        <v>342.0</v>
      </c>
      <c r="AI151" s="14">
        <v>350.8</v>
      </c>
      <c r="AJ151" s="14">
        <v>0.98</v>
      </c>
      <c r="AK151" s="14">
        <v>1.07</v>
      </c>
      <c r="AL151" s="14">
        <v>1.06</v>
      </c>
      <c r="AM151" s="14">
        <v>1.37</v>
      </c>
      <c r="AN151" s="14">
        <v>1.51</v>
      </c>
      <c r="AO151" s="14">
        <v>1.198</v>
      </c>
      <c r="AP151" s="14">
        <v>33.6</v>
      </c>
      <c r="AQ151" s="14">
        <v>113.0</v>
      </c>
      <c r="AR151" s="14">
        <v>12.5</v>
      </c>
      <c r="AS151" s="14">
        <v>7.0</v>
      </c>
      <c r="AT151" s="14">
        <v>0.98</v>
      </c>
      <c r="AU151" s="14">
        <v>2.4E7</v>
      </c>
      <c r="AV151" s="20">
        <v>1.715</v>
      </c>
      <c r="AW151" s="20">
        <v>14.5</v>
      </c>
      <c r="AX151" s="15">
        <v>4900000.0</v>
      </c>
      <c r="AY151" s="14">
        <v>0.5</v>
      </c>
      <c r="AZ151" s="14">
        <v>0.5</v>
      </c>
      <c r="BA151" s="14">
        <v>15.5</v>
      </c>
    </row>
    <row r="152" ht="14.25" customHeight="1">
      <c r="A152" s="10" t="s">
        <v>239</v>
      </c>
      <c r="B152" s="11" t="s">
        <v>118</v>
      </c>
      <c r="C152" s="11"/>
      <c r="D152" s="12"/>
      <c r="E152" s="11">
        <v>43131.0</v>
      </c>
      <c r="F152" s="12">
        <v>1.0</v>
      </c>
      <c r="G152" s="12"/>
      <c r="H152" s="13">
        <v>0.3958333333333333</v>
      </c>
      <c r="I152" s="13">
        <v>0.4791666666666667</v>
      </c>
      <c r="J152" s="12">
        <v>1.2</v>
      </c>
      <c r="K152" s="12">
        <v>0.06</v>
      </c>
      <c r="L152" s="14">
        <v>15.3</v>
      </c>
      <c r="M152" s="14">
        <v>16.7</v>
      </c>
      <c r="N152" s="14">
        <v>16.1</v>
      </c>
      <c r="O152" s="14">
        <v>19.4</v>
      </c>
      <c r="P152" s="14">
        <v>15.6</v>
      </c>
      <c r="Q152" s="14">
        <v>16.619999999999997</v>
      </c>
      <c r="R152" s="14">
        <v>7.08</v>
      </c>
      <c r="S152" s="14">
        <v>6.67</v>
      </c>
      <c r="T152" s="14">
        <v>6.93</v>
      </c>
      <c r="U152" s="14">
        <v>6.95</v>
      </c>
      <c r="V152" s="14">
        <v>6.89</v>
      </c>
      <c r="W152" s="14">
        <v>6.903999999999999</v>
      </c>
      <c r="X152" s="14">
        <v>14.9</v>
      </c>
      <c r="Y152" s="14">
        <v>14.8</v>
      </c>
      <c r="Z152" s="14">
        <v>14.9</v>
      </c>
      <c r="AA152" s="14">
        <v>15.0</v>
      </c>
      <c r="AB152" s="14">
        <v>14.8</v>
      </c>
      <c r="AC152" s="14">
        <v>14.88</v>
      </c>
      <c r="AD152" s="14">
        <v>147.8</v>
      </c>
      <c r="AE152" s="14">
        <v>168.2</v>
      </c>
      <c r="AF152" s="14">
        <v>187.9</v>
      </c>
      <c r="AG152" s="14">
        <v>191.1</v>
      </c>
      <c r="AH152" s="14">
        <v>170.6</v>
      </c>
      <c r="AI152" s="14">
        <v>173.12</v>
      </c>
      <c r="AJ152" s="14">
        <v>4.35</v>
      </c>
      <c r="AK152" s="14">
        <v>4.26</v>
      </c>
      <c r="AL152" s="14">
        <v>3.77</v>
      </c>
      <c r="AM152" s="14">
        <v>3.42</v>
      </c>
      <c r="AN152" s="14">
        <v>4.02</v>
      </c>
      <c r="AO152" s="14">
        <v>3.964</v>
      </c>
      <c r="AP152" s="14">
        <v>12.4</v>
      </c>
      <c r="AQ152" s="14">
        <v>21.6</v>
      </c>
      <c r="AR152" s="14">
        <v>4.0</v>
      </c>
      <c r="AS152" s="14">
        <v>6.0</v>
      </c>
      <c r="AT152" s="14">
        <v>0.48</v>
      </c>
      <c r="AU152" s="14">
        <v>9800000.0</v>
      </c>
      <c r="AV152" s="20">
        <v>0.308</v>
      </c>
      <c r="AW152" s="20">
        <v>4.9</v>
      </c>
      <c r="AX152" s="15">
        <v>11000.0</v>
      </c>
      <c r="AY152" s="14">
        <v>2.65</v>
      </c>
      <c r="AZ152" s="14">
        <v>0.5</v>
      </c>
      <c r="BA152" s="14">
        <v>8.05</v>
      </c>
    </row>
    <row r="153" ht="14.25" customHeight="1">
      <c r="A153" s="10" t="s">
        <v>240</v>
      </c>
      <c r="B153" s="11" t="s">
        <v>120</v>
      </c>
      <c r="C153" s="11"/>
      <c r="D153" s="12"/>
      <c r="E153" s="11">
        <v>43131.0</v>
      </c>
      <c r="F153" s="12">
        <v>1.0</v>
      </c>
      <c r="G153" s="12"/>
      <c r="H153" s="13">
        <v>0.4861111111111111</v>
      </c>
      <c r="I153" s="13">
        <v>0.5694444444444444</v>
      </c>
      <c r="J153" s="21">
        <v>2.5</v>
      </c>
      <c r="K153" s="22">
        <v>0.08</v>
      </c>
      <c r="L153" s="14">
        <v>48.2</v>
      </c>
      <c r="M153" s="14">
        <v>50.4</v>
      </c>
      <c r="N153" s="14">
        <v>51.6</v>
      </c>
      <c r="O153" s="14">
        <v>47.8</v>
      </c>
      <c r="P153" s="14">
        <v>46.2</v>
      </c>
      <c r="Q153" s="14">
        <v>48.839999999999996</v>
      </c>
      <c r="R153" s="14">
        <v>7.85</v>
      </c>
      <c r="S153" s="14">
        <v>8.0</v>
      </c>
      <c r="T153" s="14">
        <v>8.05</v>
      </c>
      <c r="U153" s="14">
        <v>7.99</v>
      </c>
      <c r="V153" s="14">
        <v>7.96</v>
      </c>
      <c r="W153" s="14">
        <v>7.970000000000001</v>
      </c>
      <c r="X153" s="14">
        <v>22.9</v>
      </c>
      <c r="Y153" s="14">
        <v>23.4</v>
      </c>
      <c r="Z153" s="14">
        <v>24.2</v>
      </c>
      <c r="AA153" s="14">
        <v>23.9</v>
      </c>
      <c r="AB153" s="14">
        <v>24.0</v>
      </c>
      <c r="AC153" s="14">
        <v>23.68</v>
      </c>
      <c r="AD153" s="14">
        <v>476.0</v>
      </c>
      <c r="AE153" s="14">
        <v>470.0</v>
      </c>
      <c r="AF153" s="14">
        <v>469.0</v>
      </c>
      <c r="AG153" s="14">
        <v>441.0</v>
      </c>
      <c r="AH153" s="14">
        <v>434.0</v>
      </c>
      <c r="AI153" s="14">
        <v>458.0</v>
      </c>
      <c r="AJ153" s="14">
        <v>1.74</v>
      </c>
      <c r="AK153" s="14">
        <v>1.82</v>
      </c>
      <c r="AL153" s="14">
        <v>1.71</v>
      </c>
      <c r="AM153" s="14">
        <v>2.03</v>
      </c>
      <c r="AN153" s="14">
        <v>2.0</v>
      </c>
      <c r="AO153" s="14">
        <v>1.8599999999999999</v>
      </c>
      <c r="AP153" s="14">
        <v>86.0</v>
      </c>
      <c r="AQ153" s="14">
        <v>209.0</v>
      </c>
      <c r="AR153" s="14">
        <v>48.0</v>
      </c>
      <c r="AS153" s="14">
        <v>33.0</v>
      </c>
      <c r="AT153" s="14">
        <v>2.91</v>
      </c>
      <c r="AU153" s="14">
        <v>1.8E7</v>
      </c>
      <c r="AV153" s="20">
        <v>2.443</v>
      </c>
      <c r="AW153" s="20">
        <v>25.7</v>
      </c>
      <c r="AX153" s="15">
        <v>2700000.0</v>
      </c>
      <c r="AY153" s="14">
        <v>0.5</v>
      </c>
      <c r="AZ153" s="14">
        <v>0.5</v>
      </c>
      <c r="BA153" s="14">
        <v>26.7</v>
      </c>
    </row>
    <row r="154" ht="14.25" customHeight="1">
      <c r="A154" s="10" t="s">
        <v>241</v>
      </c>
      <c r="B154" s="11" t="s">
        <v>87</v>
      </c>
      <c r="C154" s="11"/>
      <c r="D154" s="12"/>
      <c r="E154" s="11">
        <v>43131.0</v>
      </c>
      <c r="F154" s="12">
        <v>1.0</v>
      </c>
      <c r="G154" s="12"/>
      <c r="H154" s="13">
        <v>0.25</v>
      </c>
      <c r="I154" s="13">
        <v>0.3333333333333333</v>
      </c>
      <c r="J154" s="22">
        <v>6.24</v>
      </c>
      <c r="K154" s="22">
        <v>0.52</v>
      </c>
      <c r="L154" s="14">
        <v>333.0</v>
      </c>
      <c r="M154" s="14">
        <v>349.0</v>
      </c>
      <c r="N154" s="14">
        <v>312.0</v>
      </c>
      <c r="O154" s="14">
        <v>311.0</v>
      </c>
      <c r="P154" s="14">
        <v>355.0</v>
      </c>
      <c r="Q154" s="14">
        <v>332.0</v>
      </c>
      <c r="R154" s="14">
        <v>7.22</v>
      </c>
      <c r="S154" s="14">
        <v>7.24</v>
      </c>
      <c r="T154" s="14">
        <v>7.23</v>
      </c>
      <c r="U154" s="14">
        <v>7.25</v>
      </c>
      <c r="V154" s="14">
        <v>7.21</v>
      </c>
      <c r="W154" s="14">
        <v>7.2299999999999995</v>
      </c>
      <c r="X154" s="14">
        <v>15.7</v>
      </c>
      <c r="Y154" s="14">
        <v>15.3</v>
      </c>
      <c r="Z154" s="14">
        <v>15.3</v>
      </c>
      <c r="AA154" s="14">
        <v>15.0</v>
      </c>
      <c r="AB154" s="14">
        <v>15.4</v>
      </c>
      <c r="AC154" s="14">
        <v>15.34</v>
      </c>
      <c r="AD154" s="14">
        <v>482.0</v>
      </c>
      <c r="AE154" s="14">
        <v>481.0</v>
      </c>
      <c r="AF154" s="14">
        <v>479.0</v>
      </c>
      <c r="AG154" s="14">
        <v>479.0</v>
      </c>
      <c r="AH154" s="14">
        <v>471.0</v>
      </c>
      <c r="AI154" s="14">
        <v>478.4</v>
      </c>
      <c r="AJ154" s="14">
        <v>0.97</v>
      </c>
      <c r="AK154" s="14">
        <v>0.98</v>
      </c>
      <c r="AL154" s="14">
        <v>0.95</v>
      </c>
      <c r="AM154" s="14">
        <v>1.82</v>
      </c>
      <c r="AN154" s="14">
        <v>1.02</v>
      </c>
      <c r="AO154" s="14">
        <v>1.1480000000000001</v>
      </c>
      <c r="AP154" s="14">
        <v>50.2</v>
      </c>
      <c r="AQ154" s="14">
        <v>170.0</v>
      </c>
      <c r="AR154" s="14">
        <v>42.0</v>
      </c>
      <c r="AS154" s="14">
        <v>18.0</v>
      </c>
      <c r="AT154" s="14">
        <v>2.39</v>
      </c>
      <c r="AU154" s="14">
        <v>2.3E7</v>
      </c>
      <c r="AV154" s="20">
        <v>3.247</v>
      </c>
      <c r="AW154" s="20">
        <v>23.2</v>
      </c>
      <c r="AX154" s="15">
        <v>3300000.0</v>
      </c>
      <c r="AY154" s="14">
        <v>19.23</v>
      </c>
      <c r="AZ154" s="14">
        <v>0.77</v>
      </c>
      <c r="BA154" s="14">
        <v>43.2</v>
      </c>
    </row>
    <row r="155" ht="14.25" customHeight="1">
      <c r="A155" s="10" t="s">
        <v>242</v>
      </c>
      <c r="B155" s="11" t="s">
        <v>81</v>
      </c>
      <c r="C155" s="11"/>
      <c r="D155" s="12"/>
      <c r="E155" s="11">
        <v>43131.0</v>
      </c>
      <c r="F155" s="12">
        <v>1.0</v>
      </c>
      <c r="G155" s="12"/>
      <c r="H155" s="13">
        <v>0.3541666666666667</v>
      </c>
      <c r="I155" s="13">
        <v>0.4375</v>
      </c>
      <c r="J155" s="21">
        <v>3.0</v>
      </c>
      <c r="K155" s="22">
        <v>0.11</v>
      </c>
      <c r="L155" s="14">
        <v>140.1</v>
      </c>
      <c r="M155" s="14">
        <v>140.8</v>
      </c>
      <c r="N155" s="14">
        <v>151.7</v>
      </c>
      <c r="O155" s="14">
        <v>147.7</v>
      </c>
      <c r="P155" s="14">
        <v>149.3</v>
      </c>
      <c r="Q155" s="14">
        <v>145.92</v>
      </c>
      <c r="R155" s="14">
        <v>7.66</v>
      </c>
      <c r="S155" s="14">
        <v>7.75</v>
      </c>
      <c r="T155" s="14">
        <v>7.77</v>
      </c>
      <c r="U155" s="14">
        <v>7.85</v>
      </c>
      <c r="V155" s="14">
        <v>7.87</v>
      </c>
      <c r="W155" s="14">
        <v>7.779999999999999</v>
      </c>
      <c r="X155" s="14">
        <v>16.2</v>
      </c>
      <c r="Y155" s="14">
        <v>16.1</v>
      </c>
      <c r="Z155" s="14">
        <v>17.3</v>
      </c>
      <c r="AA155" s="14">
        <v>18.3</v>
      </c>
      <c r="AB155" s="14">
        <v>18.6</v>
      </c>
      <c r="AC155" s="14">
        <v>17.3</v>
      </c>
      <c r="AD155" s="14">
        <v>363.0</v>
      </c>
      <c r="AE155" s="14">
        <v>365.0</v>
      </c>
      <c r="AF155" s="14">
        <v>364.0</v>
      </c>
      <c r="AG155" s="14">
        <v>391.0</v>
      </c>
      <c r="AH155" s="14">
        <v>389.0</v>
      </c>
      <c r="AI155" s="14">
        <v>374.4</v>
      </c>
      <c r="AJ155" s="14">
        <v>3.08</v>
      </c>
      <c r="AK155" s="14">
        <v>2.97</v>
      </c>
      <c r="AL155" s="14">
        <v>3.15</v>
      </c>
      <c r="AM155" s="14">
        <v>3.38</v>
      </c>
      <c r="AN155" s="14">
        <v>3.24</v>
      </c>
      <c r="AO155" s="14">
        <v>3.1640000000000006</v>
      </c>
      <c r="AP155" s="14">
        <v>22.2</v>
      </c>
      <c r="AQ155" s="14">
        <v>61.5</v>
      </c>
      <c r="AR155" s="14">
        <v>11.0</v>
      </c>
      <c r="AS155" s="14">
        <v>6.0</v>
      </c>
      <c r="AT155" s="14">
        <v>0.77</v>
      </c>
      <c r="AU155" s="14">
        <v>5500000.0</v>
      </c>
      <c r="AV155" s="20">
        <v>0.747</v>
      </c>
      <c r="AW155" s="20">
        <v>11.1</v>
      </c>
      <c r="AX155" s="15">
        <v>1600000.0</v>
      </c>
      <c r="AY155" s="14">
        <v>0.59</v>
      </c>
      <c r="AZ155" s="14">
        <v>0.5</v>
      </c>
      <c r="BA155" s="14">
        <v>12.19</v>
      </c>
    </row>
    <row r="156" ht="14.25" customHeight="1">
      <c r="A156" s="10" t="s">
        <v>243</v>
      </c>
      <c r="B156" s="11" t="s">
        <v>89</v>
      </c>
      <c r="C156" s="11"/>
      <c r="D156" s="12"/>
      <c r="E156" s="11">
        <v>43131.0</v>
      </c>
      <c r="F156" s="12">
        <v>1.0</v>
      </c>
      <c r="G156" s="12"/>
      <c r="H156" s="13">
        <v>0.4791666666666667</v>
      </c>
      <c r="I156" s="13">
        <v>0.5625</v>
      </c>
      <c r="J156" s="21">
        <v>6.0</v>
      </c>
      <c r="K156" s="22">
        <v>0.14</v>
      </c>
      <c r="L156" s="14">
        <v>123.5</v>
      </c>
      <c r="M156" s="14">
        <v>120.2</v>
      </c>
      <c r="N156" s="14">
        <v>117.1</v>
      </c>
      <c r="O156" s="14">
        <v>122.2</v>
      </c>
      <c r="P156" s="14">
        <v>126.9</v>
      </c>
      <c r="Q156" s="14">
        <v>121.97999999999999</v>
      </c>
      <c r="R156" s="14">
        <v>7.72</v>
      </c>
      <c r="S156" s="14">
        <v>8.13</v>
      </c>
      <c r="T156" s="14">
        <v>7.94</v>
      </c>
      <c r="U156" s="14">
        <v>8.14</v>
      </c>
      <c r="V156" s="14">
        <v>8.11</v>
      </c>
      <c r="W156" s="14">
        <v>8.008000000000001</v>
      </c>
      <c r="X156" s="14">
        <v>20.5</v>
      </c>
      <c r="Y156" s="14">
        <v>22.5</v>
      </c>
      <c r="Z156" s="14">
        <v>22.3</v>
      </c>
      <c r="AA156" s="14">
        <v>23.8</v>
      </c>
      <c r="AB156" s="14">
        <v>22.7</v>
      </c>
      <c r="AC156" s="14">
        <v>22.36</v>
      </c>
      <c r="AD156" s="14">
        <v>329.0</v>
      </c>
      <c r="AE156" s="14">
        <v>322.0</v>
      </c>
      <c r="AF156" s="14">
        <v>328.0</v>
      </c>
      <c r="AG156" s="14">
        <v>318.0</v>
      </c>
      <c r="AH156" s="14">
        <v>332.0</v>
      </c>
      <c r="AI156" s="14">
        <v>325.8</v>
      </c>
      <c r="AJ156" s="14">
        <v>4.61</v>
      </c>
      <c r="AK156" s="14">
        <v>5.29</v>
      </c>
      <c r="AL156" s="14">
        <v>5.1</v>
      </c>
      <c r="AM156" s="14">
        <v>4.99</v>
      </c>
      <c r="AN156" s="14">
        <v>5.22</v>
      </c>
      <c r="AO156" s="14">
        <v>5.042</v>
      </c>
      <c r="AP156" s="14">
        <v>22.8</v>
      </c>
      <c r="AQ156" s="14">
        <v>57.0</v>
      </c>
      <c r="AR156" s="14">
        <v>4.0</v>
      </c>
      <c r="AS156" s="14">
        <v>6.0</v>
      </c>
      <c r="AT156" s="14">
        <v>4.24</v>
      </c>
      <c r="AU156" s="14">
        <v>7300000.0</v>
      </c>
      <c r="AV156" s="20">
        <v>0.679</v>
      </c>
      <c r="AW156" s="20">
        <v>9.1</v>
      </c>
      <c r="AX156" s="15">
        <v>390000.0</v>
      </c>
      <c r="AY156" s="14">
        <v>3.15</v>
      </c>
      <c r="AZ156" s="14">
        <v>0.5</v>
      </c>
      <c r="BA156" s="14">
        <v>12.75</v>
      </c>
    </row>
    <row r="157" ht="14.25" customHeight="1">
      <c r="A157" s="10" t="s">
        <v>244</v>
      </c>
      <c r="B157" s="11" t="s">
        <v>70</v>
      </c>
      <c r="C157" s="11"/>
      <c r="D157" s="12"/>
      <c r="E157" s="11">
        <v>43132.0</v>
      </c>
      <c r="F157" s="12">
        <v>1.0</v>
      </c>
      <c r="G157" s="12"/>
      <c r="H157" s="13">
        <v>0.2916666666666667</v>
      </c>
      <c r="I157" s="13">
        <v>0.375</v>
      </c>
      <c r="J157" s="21">
        <v>7.0</v>
      </c>
      <c r="K157" s="22">
        <v>0.14</v>
      </c>
      <c r="L157" s="14">
        <v>253.5</v>
      </c>
      <c r="M157" s="14">
        <v>262.7</v>
      </c>
      <c r="N157" s="14">
        <v>252.1</v>
      </c>
      <c r="O157" s="14">
        <v>288.3</v>
      </c>
      <c r="P157" s="14">
        <v>282.9</v>
      </c>
      <c r="Q157" s="14">
        <v>267.9</v>
      </c>
      <c r="R157" s="14">
        <v>7.18</v>
      </c>
      <c r="S157" s="14">
        <v>7.45</v>
      </c>
      <c r="T157" s="14">
        <v>7.65</v>
      </c>
      <c r="U157" s="14">
        <v>7.81</v>
      </c>
      <c r="V157" s="14">
        <v>7.88</v>
      </c>
      <c r="W157" s="14">
        <v>7.593999999999999</v>
      </c>
      <c r="X157" s="14">
        <v>14.2</v>
      </c>
      <c r="Y157" s="14">
        <v>14.8</v>
      </c>
      <c r="Z157" s="14">
        <v>15.0</v>
      </c>
      <c r="AA157" s="14">
        <v>16.5</v>
      </c>
      <c r="AB157" s="14">
        <v>17.5</v>
      </c>
      <c r="AC157" s="14">
        <v>15.6</v>
      </c>
      <c r="AD157" s="14">
        <v>332.0</v>
      </c>
      <c r="AE157" s="14">
        <v>348.0</v>
      </c>
      <c r="AF157" s="14">
        <v>380.0</v>
      </c>
      <c r="AG157" s="14">
        <v>407.0</v>
      </c>
      <c r="AH157" s="14">
        <v>423.0</v>
      </c>
      <c r="AI157" s="14">
        <v>378.0</v>
      </c>
      <c r="AJ157" s="14">
        <v>0.96</v>
      </c>
      <c r="AK157" s="14">
        <v>0.66</v>
      </c>
      <c r="AL157" s="14">
        <v>0.49</v>
      </c>
      <c r="AM157" s="14">
        <v>0.75</v>
      </c>
      <c r="AN157" s="14">
        <v>0.62</v>
      </c>
      <c r="AO157" s="14">
        <v>0.6960000000000001</v>
      </c>
      <c r="AP157" s="14">
        <v>73.4</v>
      </c>
      <c r="AQ157" s="14">
        <v>122.0</v>
      </c>
      <c r="AR157" s="14">
        <v>58.0</v>
      </c>
      <c r="AS157" s="14">
        <v>33.0</v>
      </c>
      <c r="AT157" s="14">
        <v>1.24</v>
      </c>
      <c r="AU157" s="14">
        <v>3.3E7</v>
      </c>
      <c r="AV157" s="20">
        <v>3.56</v>
      </c>
      <c r="AW157" s="20">
        <v>23.6</v>
      </c>
      <c r="AX157" s="15">
        <v>2700000.0</v>
      </c>
      <c r="AY157" s="14">
        <v>0.5</v>
      </c>
      <c r="AZ157" s="14">
        <v>0.5</v>
      </c>
      <c r="BA157" s="14">
        <v>24.6</v>
      </c>
    </row>
    <row r="158" ht="14.25" customHeight="1">
      <c r="A158" s="10" t="s">
        <v>245</v>
      </c>
      <c r="B158" s="11" t="s">
        <v>65</v>
      </c>
      <c r="C158" s="11"/>
      <c r="D158" s="12"/>
      <c r="E158" s="11">
        <v>43132.0</v>
      </c>
      <c r="F158" s="12">
        <v>1.0</v>
      </c>
      <c r="G158" s="12"/>
      <c r="H158" s="13">
        <v>0.3888888888888889</v>
      </c>
      <c r="I158" s="13">
        <v>0.47222222222222227</v>
      </c>
      <c r="J158" s="21">
        <v>7.5</v>
      </c>
      <c r="K158" s="22">
        <v>0.15</v>
      </c>
      <c r="L158" s="14">
        <v>286.2</v>
      </c>
      <c r="M158" s="14">
        <v>294.9</v>
      </c>
      <c r="N158" s="14">
        <v>290.4</v>
      </c>
      <c r="O158" s="14">
        <v>310.3</v>
      </c>
      <c r="P158" s="14">
        <v>303.9</v>
      </c>
      <c r="Q158" s="14">
        <v>297.14</v>
      </c>
      <c r="R158" s="14">
        <v>7.51</v>
      </c>
      <c r="S158" s="14">
        <v>7.59</v>
      </c>
      <c r="T158" s="14">
        <v>7.49</v>
      </c>
      <c r="U158" s="14">
        <v>7.65</v>
      </c>
      <c r="V158" s="14">
        <v>7.49</v>
      </c>
      <c r="W158" s="14">
        <v>7.546000000000001</v>
      </c>
      <c r="X158" s="14">
        <v>19.0</v>
      </c>
      <c r="Y158" s="14">
        <v>19.2</v>
      </c>
      <c r="Z158" s="14">
        <v>19.3</v>
      </c>
      <c r="AA158" s="14">
        <v>20.4</v>
      </c>
      <c r="AB158" s="14">
        <v>20.0</v>
      </c>
      <c r="AC158" s="14">
        <v>19.580000000000002</v>
      </c>
      <c r="AD158" s="14">
        <v>376.0</v>
      </c>
      <c r="AE158" s="14">
        <v>377.0</v>
      </c>
      <c r="AF158" s="14">
        <v>381.0</v>
      </c>
      <c r="AG158" s="14">
        <v>374.0</v>
      </c>
      <c r="AH158" s="14">
        <v>375.0</v>
      </c>
      <c r="AI158" s="14">
        <v>376.6</v>
      </c>
      <c r="AJ158" s="14">
        <v>0.91</v>
      </c>
      <c r="AK158" s="14">
        <v>0.65</v>
      </c>
      <c r="AL158" s="14">
        <v>0.55</v>
      </c>
      <c r="AM158" s="14">
        <v>0.86</v>
      </c>
      <c r="AN158" s="14">
        <v>0.72</v>
      </c>
      <c r="AO158" s="14">
        <v>0.7380000000000001</v>
      </c>
      <c r="AP158" s="14">
        <v>86.6</v>
      </c>
      <c r="AQ158" s="14">
        <v>156.0</v>
      </c>
      <c r="AR158" s="14">
        <v>65.0</v>
      </c>
      <c r="AS158" s="14">
        <v>50.0</v>
      </c>
      <c r="AT158" s="14">
        <v>1.93</v>
      </c>
      <c r="AU158" s="14">
        <v>5.2E7</v>
      </c>
      <c r="AV158" s="20">
        <v>2.95</v>
      </c>
      <c r="AW158" s="20">
        <v>22.3</v>
      </c>
      <c r="AX158" s="15">
        <v>1.3E7</v>
      </c>
      <c r="AY158" s="14">
        <v>0.5</v>
      </c>
      <c r="AZ158" s="14">
        <v>0.5</v>
      </c>
      <c r="BA158" s="14">
        <v>23.3</v>
      </c>
    </row>
    <row r="159" ht="14.25" customHeight="1">
      <c r="A159" s="10" t="s">
        <v>246</v>
      </c>
      <c r="B159" s="11" t="s">
        <v>77</v>
      </c>
      <c r="C159" s="11"/>
      <c r="D159" s="12"/>
      <c r="E159" s="11">
        <v>43132.0</v>
      </c>
      <c r="F159" s="12">
        <v>1.0</v>
      </c>
      <c r="G159" s="12"/>
      <c r="H159" s="13">
        <v>0.4826388888888889</v>
      </c>
      <c r="I159" s="13">
        <v>0.5659722222222222</v>
      </c>
      <c r="J159" s="21">
        <v>3.5</v>
      </c>
      <c r="K159" s="22">
        <v>0.12</v>
      </c>
      <c r="L159" s="14">
        <v>191.6</v>
      </c>
      <c r="M159" s="14">
        <v>202.9</v>
      </c>
      <c r="N159" s="14">
        <v>210.6</v>
      </c>
      <c r="O159" s="14">
        <v>196.9</v>
      </c>
      <c r="P159" s="14">
        <v>202.8</v>
      </c>
      <c r="Q159" s="14">
        <v>200.95999999999998</v>
      </c>
      <c r="R159" s="14">
        <v>7.16</v>
      </c>
      <c r="S159" s="14">
        <v>7.58</v>
      </c>
      <c r="T159" s="14">
        <v>7.68</v>
      </c>
      <c r="U159" s="14">
        <v>7.66</v>
      </c>
      <c r="V159" s="14">
        <v>7.5</v>
      </c>
      <c r="W159" s="14">
        <v>7.516</v>
      </c>
      <c r="X159" s="14">
        <v>16.5</v>
      </c>
      <c r="Y159" s="14">
        <v>16.6</v>
      </c>
      <c r="Z159" s="14">
        <v>17.1</v>
      </c>
      <c r="AA159" s="14">
        <v>17.3</v>
      </c>
      <c r="AB159" s="14">
        <v>17.4</v>
      </c>
      <c r="AC159" s="14">
        <v>16.98</v>
      </c>
      <c r="AD159" s="14">
        <v>373.0</v>
      </c>
      <c r="AE159" s="14">
        <v>353.0</v>
      </c>
      <c r="AF159" s="14">
        <v>375.0</v>
      </c>
      <c r="AG159" s="14">
        <v>364.0</v>
      </c>
      <c r="AH159" s="14">
        <v>367.0</v>
      </c>
      <c r="AI159" s="14">
        <v>366.4</v>
      </c>
      <c r="AJ159" s="14">
        <v>3.08</v>
      </c>
      <c r="AK159" s="14">
        <v>2.95</v>
      </c>
      <c r="AL159" s="14">
        <v>2.67</v>
      </c>
      <c r="AM159" s="14">
        <v>2.24</v>
      </c>
      <c r="AN159" s="14">
        <v>2.52</v>
      </c>
      <c r="AO159" s="14">
        <v>2.6919999999999997</v>
      </c>
      <c r="AP159" s="14">
        <v>61.8</v>
      </c>
      <c r="AQ159" s="14">
        <v>142.0</v>
      </c>
      <c r="AR159" s="14">
        <v>28.0</v>
      </c>
      <c r="AS159" s="14">
        <v>23.0</v>
      </c>
      <c r="AT159" s="14">
        <v>1.06</v>
      </c>
      <c r="AU159" s="14">
        <v>4.1E7</v>
      </c>
      <c r="AV159" s="20">
        <v>2.593</v>
      </c>
      <c r="AW159" s="20">
        <v>20.5</v>
      </c>
      <c r="AX159" s="15">
        <v>9200000.0</v>
      </c>
      <c r="AY159" s="14">
        <v>0.5</v>
      </c>
      <c r="AZ159" s="14">
        <v>0.5</v>
      </c>
      <c r="BA159" s="14">
        <v>21.5</v>
      </c>
    </row>
    <row r="160" ht="14.25" customHeight="1">
      <c r="A160" s="10" t="s">
        <v>247</v>
      </c>
      <c r="B160" s="11" t="s">
        <v>63</v>
      </c>
      <c r="C160" s="11"/>
      <c r="D160" s="12"/>
      <c r="E160" s="11">
        <v>43132.0</v>
      </c>
      <c r="F160" s="12">
        <v>1.0</v>
      </c>
      <c r="G160" s="12"/>
      <c r="H160" s="13">
        <v>0.25</v>
      </c>
      <c r="I160" s="13">
        <v>0.3333333333333333</v>
      </c>
      <c r="J160" s="21">
        <v>4.0</v>
      </c>
      <c r="K160" s="22">
        <v>0.11</v>
      </c>
      <c r="L160" s="14">
        <v>71.8</v>
      </c>
      <c r="M160" s="14">
        <v>73.5</v>
      </c>
      <c r="N160" s="14">
        <v>108.2</v>
      </c>
      <c r="O160" s="14">
        <v>244.8</v>
      </c>
      <c r="P160" s="14">
        <v>319.0</v>
      </c>
      <c r="Q160" s="14">
        <v>163.45999999999998</v>
      </c>
      <c r="R160" s="14">
        <v>7.46</v>
      </c>
      <c r="S160" s="14">
        <v>7.47</v>
      </c>
      <c r="T160" s="14">
        <v>7.44</v>
      </c>
      <c r="U160" s="14">
        <v>7.87</v>
      </c>
      <c r="V160" s="14">
        <v>8.34</v>
      </c>
      <c r="W160" s="14">
        <v>7.715999999999999</v>
      </c>
      <c r="X160" s="14">
        <v>13.9</v>
      </c>
      <c r="Y160" s="14">
        <v>14.4</v>
      </c>
      <c r="Z160" s="14">
        <v>14.6</v>
      </c>
      <c r="AA160" s="14">
        <v>15.1</v>
      </c>
      <c r="AB160" s="14">
        <v>17.2</v>
      </c>
      <c r="AC160" s="14">
        <v>15.040000000000001</v>
      </c>
      <c r="AD160" s="14">
        <v>284.0</v>
      </c>
      <c r="AE160" s="14">
        <v>277.0</v>
      </c>
      <c r="AF160" s="14">
        <v>263.0</v>
      </c>
      <c r="AG160" s="14">
        <v>390.0</v>
      </c>
      <c r="AH160" s="14">
        <v>490.0</v>
      </c>
      <c r="AI160" s="14">
        <v>340.8</v>
      </c>
      <c r="AJ160" s="14">
        <v>1.16</v>
      </c>
      <c r="AK160" s="14">
        <v>1.83</v>
      </c>
      <c r="AL160" s="14">
        <v>1.31</v>
      </c>
      <c r="AM160" s="14">
        <v>0.82</v>
      </c>
      <c r="AN160" s="14">
        <v>0.71</v>
      </c>
      <c r="AO160" s="14">
        <v>1.1660000000000001</v>
      </c>
      <c r="AP160" s="14">
        <v>92.8</v>
      </c>
      <c r="AQ160" s="14">
        <v>229.0</v>
      </c>
      <c r="AR160" s="14">
        <v>108.0</v>
      </c>
      <c r="AS160" s="14">
        <v>26.0</v>
      </c>
      <c r="AT160" s="14">
        <v>1.2</v>
      </c>
      <c r="AU160" s="14">
        <v>2.0E7</v>
      </c>
      <c r="AV160" s="20">
        <v>1.809</v>
      </c>
      <c r="AW160" s="20">
        <v>32.0</v>
      </c>
      <c r="AX160" s="15">
        <v>2300000.0</v>
      </c>
      <c r="AY160" s="14">
        <v>0.5</v>
      </c>
      <c r="AZ160" s="14">
        <v>0.5</v>
      </c>
      <c r="BA160" s="14">
        <v>33.0</v>
      </c>
    </row>
    <row r="161" ht="14.25" customHeight="1">
      <c r="A161" s="10" t="s">
        <v>248</v>
      </c>
      <c r="B161" s="11" t="s">
        <v>85</v>
      </c>
      <c r="C161" s="11"/>
      <c r="D161" s="12"/>
      <c r="E161" s="11">
        <v>43132.0</v>
      </c>
      <c r="F161" s="12">
        <v>1.0</v>
      </c>
      <c r="G161" s="12"/>
      <c r="H161" s="13">
        <v>0.375</v>
      </c>
      <c r="I161" s="13">
        <v>0.4583333333333333</v>
      </c>
      <c r="J161" s="21">
        <v>6.5</v>
      </c>
      <c r="K161" s="22">
        <v>0.18</v>
      </c>
      <c r="L161" s="14">
        <v>312.7</v>
      </c>
      <c r="M161" s="14">
        <v>318.0</v>
      </c>
      <c r="N161" s="14">
        <v>324.3</v>
      </c>
      <c r="O161" s="14">
        <v>352.9</v>
      </c>
      <c r="P161" s="14">
        <v>349.7</v>
      </c>
      <c r="Q161" s="14">
        <v>331.52000000000004</v>
      </c>
      <c r="R161" s="14">
        <v>8.4</v>
      </c>
      <c r="S161" s="14">
        <v>8.41</v>
      </c>
      <c r="T161" s="14">
        <v>8.35</v>
      </c>
      <c r="U161" s="14">
        <v>8.37</v>
      </c>
      <c r="V161" s="14">
        <v>8.44</v>
      </c>
      <c r="W161" s="14">
        <v>8.394</v>
      </c>
      <c r="X161" s="14">
        <v>19.8</v>
      </c>
      <c r="Y161" s="14">
        <v>19.9</v>
      </c>
      <c r="Z161" s="14">
        <v>20.1</v>
      </c>
      <c r="AA161" s="14">
        <v>20.4</v>
      </c>
      <c r="AB161" s="14">
        <v>20.4</v>
      </c>
      <c r="AC161" s="14">
        <v>20.119999999999997</v>
      </c>
      <c r="AD161" s="14">
        <v>539.0</v>
      </c>
      <c r="AE161" s="14">
        <v>542.0</v>
      </c>
      <c r="AF161" s="14">
        <v>570.0</v>
      </c>
      <c r="AG161" s="14">
        <v>589.0</v>
      </c>
      <c r="AH161" s="14">
        <v>617.0</v>
      </c>
      <c r="AI161" s="14">
        <v>571.4</v>
      </c>
      <c r="AJ161" s="14">
        <v>0.79</v>
      </c>
      <c r="AK161" s="14">
        <v>0.74</v>
      </c>
      <c r="AL161" s="14">
        <v>0.65</v>
      </c>
      <c r="AM161" s="14">
        <v>0.72</v>
      </c>
      <c r="AN161" s="14">
        <v>0.69</v>
      </c>
      <c r="AO161" s="14">
        <v>0.7180000000000001</v>
      </c>
      <c r="AP161" s="14">
        <v>218.0</v>
      </c>
      <c r="AQ161" s="14">
        <v>373.0</v>
      </c>
      <c r="AR161" s="14">
        <v>192.0</v>
      </c>
      <c r="AS161" s="14">
        <v>65.0</v>
      </c>
      <c r="AT161" s="14">
        <v>4.13</v>
      </c>
      <c r="AU161" s="14">
        <v>8.2E7</v>
      </c>
      <c r="AV161" s="20">
        <v>5.686</v>
      </c>
      <c r="AW161" s="20">
        <v>43.8</v>
      </c>
      <c r="AX161" s="15">
        <v>1.3E7</v>
      </c>
      <c r="AY161" s="14">
        <v>0.5</v>
      </c>
      <c r="AZ161" s="14">
        <v>0.5</v>
      </c>
      <c r="BA161" s="14">
        <v>44.8</v>
      </c>
    </row>
    <row r="162" ht="14.25" customHeight="1">
      <c r="A162" s="10" t="s">
        <v>249</v>
      </c>
      <c r="B162" s="11" t="s">
        <v>97</v>
      </c>
      <c r="C162" s="11"/>
      <c r="D162" s="12"/>
      <c r="E162" s="11">
        <v>43132.0</v>
      </c>
      <c r="F162" s="12">
        <v>1.0</v>
      </c>
      <c r="G162" s="12"/>
      <c r="H162" s="13">
        <v>0.4791666666666667</v>
      </c>
      <c r="I162" s="13">
        <v>0.5625</v>
      </c>
      <c r="J162" s="21">
        <v>0.9</v>
      </c>
      <c r="K162" s="22">
        <v>0.1</v>
      </c>
      <c r="L162" s="14">
        <v>20.4</v>
      </c>
      <c r="M162" s="14">
        <v>18.8</v>
      </c>
      <c r="N162" s="14">
        <v>18.6</v>
      </c>
      <c r="O162" s="14">
        <v>21.9</v>
      </c>
      <c r="P162" s="14">
        <v>16.1</v>
      </c>
      <c r="Q162" s="14">
        <v>19.160000000000004</v>
      </c>
      <c r="R162" s="14">
        <v>7.59</v>
      </c>
      <c r="S162" s="14">
        <v>7.58</v>
      </c>
      <c r="T162" s="14">
        <v>7.5</v>
      </c>
      <c r="U162" s="14">
        <v>7.62</v>
      </c>
      <c r="V162" s="14">
        <v>7.94</v>
      </c>
      <c r="W162" s="14">
        <v>7.646000000000001</v>
      </c>
      <c r="X162" s="14">
        <v>19.8</v>
      </c>
      <c r="Y162" s="14">
        <v>20.7</v>
      </c>
      <c r="Z162" s="14">
        <v>19.9</v>
      </c>
      <c r="AA162" s="14">
        <v>19.8</v>
      </c>
      <c r="AB162" s="14">
        <v>19.2</v>
      </c>
      <c r="AC162" s="14">
        <v>19.880000000000003</v>
      </c>
      <c r="AD162" s="14">
        <v>455.0</v>
      </c>
      <c r="AE162" s="14">
        <v>448.0</v>
      </c>
      <c r="AF162" s="14">
        <v>454.0</v>
      </c>
      <c r="AG162" s="14">
        <v>477.0</v>
      </c>
      <c r="AH162" s="14">
        <v>506.0</v>
      </c>
      <c r="AI162" s="14">
        <v>468.0</v>
      </c>
      <c r="AJ162" s="14">
        <v>0.82</v>
      </c>
      <c r="AK162" s="14">
        <v>0.77</v>
      </c>
      <c r="AL162" s="14">
        <v>0.7</v>
      </c>
      <c r="AM162" s="14">
        <v>0.76</v>
      </c>
      <c r="AN162" s="14">
        <v>0.62</v>
      </c>
      <c r="AO162" s="14">
        <v>0.734</v>
      </c>
      <c r="AP162" s="14">
        <v>134.0</v>
      </c>
      <c r="AQ162" s="14">
        <v>267.0</v>
      </c>
      <c r="AR162" s="14">
        <v>95.0</v>
      </c>
      <c r="AS162" s="14">
        <v>52.0</v>
      </c>
      <c r="AT162" s="14">
        <v>6.27</v>
      </c>
      <c r="AU162" s="14">
        <v>3.3E7</v>
      </c>
      <c r="AV162" s="20">
        <v>2.971</v>
      </c>
      <c r="AW162" s="20">
        <v>27.0</v>
      </c>
      <c r="AX162" s="15">
        <v>2100000.0</v>
      </c>
      <c r="AY162" s="14">
        <v>0.5</v>
      </c>
      <c r="AZ162" s="14">
        <v>0.5</v>
      </c>
      <c r="BA162" s="14">
        <v>28.0</v>
      </c>
    </row>
    <row r="163" ht="14.25" customHeight="1">
      <c r="A163" s="10" t="s">
        <v>250</v>
      </c>
      <c r="B163" s="11" t="s">
        <v>87</v>
      </c>
      <c r="C163" s="11"/>
      <c r="D163" s="12"/>
      <c r="E163" s="11">
        <v>43126.0</v>
      </c>
      <c r="F163" s="12">
        <v>1.0</v>
      </c>
      <c r="G163" s="12"/>
      <c r="H163" s="13">
        <v>0.2916666666666667</v>
      </c>
      <c r="I163" s="13">
        <v>0.375</v>
      </c>
      <c r="J163" s="12">
        <v>5.93</v>
      </c>
      <c r="K163" s="12">
        <v>0.55</v>
      </c>
      <c r="L163" s="14">
        <v>424.0</v>
      </c>
      <c r="M163" s="14">
        <v>500.0</v>
      </c>
      <c r="N163" s="14">
        <v>439.0</v>
      </c>
      <c r="O163" s="14">
        <v>517.0</v>
      </c>
      <c r="P163" s="14">
        <v>552.0</v>
      </c>
      <c r="Q163" s="14">
        <v>486.4</v>
      </c>
      <c r="R163" s="14">
        <v>7.21</v>
      </c>
      <c r="S163" s="14">
        <v>6.97</v>
      </c>
      <c r="T163" s="14">
        <v>7.13</v>
      </c>
      <c r="U163" s="14">
        <v>7.17</v>
      </c>
      <c r="V163" s="14">
        <v>7.18</v>
      </c>
      <c r="W163" s="14">
        <v>7.132</v>
      </c>
      <c r="X163" s="14">
        <v>14.7</v>
      </c>
      <c r="Y163" s="14">
        <v>14.5</v>
      </c>
      <c r="Z163" s="14">
        <v>14.6</v>
      </c>
      <c r="AA163" s="14">
        <v>15.1</v>
      </c>
      <c r="AB163" s="14">
        <v>15.3</v>
      </c>
      <c r="AC163" s="14">
        <v>14.84</v>
      </c>
      <c r="AD163" s="14">
        <v>463.0</v>
      </c>
      <c r="AE163" s="14">
        <v>463.0</v>
      </c>
      <c r="AF163" s="14">
        <v>463.0</v>
      </c>
      <c r="AG163" s="14">
        <v>455.0</v>
      </c>
      <c r="AH163" s="14">
        <v>454.0</v>
      </c>
      <c r="AI163" s="14">
        <v>459.6</v>
      </c>
      <c r="AJ163" s="14">
        <v>0.97</v>
      </c>
      <c r="AK163" s="14">
        <v>1.11</v>
      </c>
      <c r="AL163" s="14">
        <v>0.92</v>
      </c>
      <c r="AM163" s="14">
        <v>1.27</v>
      </c>
      <c r="AN163" s="14">
        <v>1.06</v>
      </c>
      <c r="AO163" s="14">
        <v>1.066</v>
      </c>
      <c r="AP163" s="14">
        <v>53.0</v>
      </c>
      <c r="AQ163" s="14">
        <v>169.0</v>
      </c>
      <c r="AR163" s="14">
        <v>27.0</v>
      </c>
      <c r="AS163" s="14">
        <v>16.0</v>
      </c>
      <c r="AT163" s="14">
        <v>1.93</v>
      </c>
      <c r="AU163" s="14">
        <v>1.4E7</v>
      </c>
      <c r="AV163" s="20">
        <v>2.354</v>
      </c>
      <c r="AW163" s="20">
        <v>18.6</v>
      </c>
      <c r="AX163" s="20">
        <v>540000.0</v>
      </c>
      <c r="AY163" s="14">
        <v>0.29</v>
      </c>
      <c r="AZ163" s="14">
        <v>0.005</v>
      </c>
      <c r="BA163" s="14">
        <v>18.895000000000003</v>
      </c>
    </row>
    <row r="164" ht="14.25" customHeight="1">
      <c r="A164" s="10" t="s">
        <v>251</v>
      </c>
      <c r="B164" s="11" t="s">
        <v>91</v>
      </c>
      <c r="C164" s="11"/>
      <c r="D164" s="12"/>
      <c r="E164" s="11">
        <v>43126.0</v>
      </c>
      <c r="F164" s="12">
        <v>1.0</v>
      </c>
      <c r="G164" s="12"/>
      <c r="H164" s="13">
        <v>0.4305555555555556</v>
      </c>
      <c r="I164" s="13">
        <v>0.513888888888889</v>
      </c>
      <c r="J164" s="12">
        <v>6.1</v>
      </c>
      <c r="K164" s="12">
        <v>0.54</v>
      </c>
      <c r="L164" s="14">
        <v>423.0</v>
      </c>
      <c r="M164" s="14">
        <v>413.0</v>
      </c>
      <c r="N164" s="14">
        <v>424.0</v>
      </c>
      <c r="O164" s="14">
        <v>441.0</v>
      </c>
      <c r="P164" s="14">
        <v>501.0</v>
      </c>
      <c r="Q164" s="14">
        <v>440.4</v>
      </c>
      <c r="R164" s="14">
        <v>7.24</v>
      </c>
      <c r="S164" s="14">
        <v>7.04</v>
      </c>
      <c r="T164" s="14">
        <v>6.69</v>
      </c>
      <c r="U164" s="14">
        <v>6.97</v>
      </c>
      <c r="V164" s="14">
        <v>7.02</v>
      </c>
      <c r="W164" s="14">
        <v>6.992</v>
      </c>
      <c r="X164" s="14">
        <v>15.9</v>
      </c>
      <c r="Y164" s="14">
        <v>15.7</v>
      </c>
      <c r="Z164" s="14">
        <v>16.1</v>
      </c>
      <c r="AA164" s="14">
        <v>16.1</v>
      </c>
      <c r="AB164" s="14">
        <v>16.6</v>
      </c>
      <c r="AC164" s="14">
        <v>16.080000000000002</v>
      </c>
      <c r="AD164" s="14">
        <v>467.0</v>
      </c>
      <c r="AE164" s="14">
        <v>466.0</v>
      </c>
      <c r="AF164" s="14">
        <v>465.0</v>
      </c>
      <c r="AG164" s="14">
        <v>464.0</v>
      </c>
      <c r="AH164" s="14">
        <v>463.0</v>
      </c>
      <c r="AI164" s="14">
        <v>465.0</v>
      </c>
      <c r="AJ164" s="14">
        <v>0.95</v>
      </c>
      <c r="AK164" s="14">
        <v>0.49</v>
      </c>
      <c r="AL164" s="14">
        <v>0.56</v>
      </c>
      <c r="AM164" s="14">
        <v>0.99</v>
      </c>
      <c r="AN164" s="14">
        <v>0.63</v>
      </c>
      <c r="AO164" s="14">
        <v>0.724</v>
      </c>
      <c r="AP164" s="14">
        <v>6.6</v>
      </c>
      <c r="AQ164" s="14">
        <v>143.0</v>
      </c>
      <c r="AR164" s="14">
        <v>20.0</v>
      </c>
      <c r="AS164" s="14">
        <v>15.0</v>
      </c>
      <c r="AT164" s="14">
        <v>2.62</v>
      </c>
      <c r="AU164" s="14">
        <v>1.2E7</v>
      </c>
      <c r="AV164" s="20">
        <v>1.922</v>
      </c>
      <c r="AW164" s="20">
        <v>20.3</v>
      </c>
      <c r="AX164" s="20">
        <v>780000.0</v>
      </c>
      <c r="AY164" s="14">
        <v>0.715</v>
      </c>
      <c r="AZ164" s="14">
        <v>0.009</v>
      </c>
      <c r="BA164" s="14">
        <v>21.024</v>
      </c>
    </row>
    <row r="165" ht="14.25" customHeight="1">
      <c r="A165" s="10" t="s">
        <v>252</v>
      </c>
      <c r="B165" s="11" t="s">
        <v>67</v>
      </c>
      <c r="C165" s="11"/>
      <c r="D165" s="12"/>
      <c r="E165" s="11">
        <v>43109.0</v>
      </c>
      <c r="F165" s="12">
        <v>1.0</v>
      </c>
      <c r="G165" s="12"/>
      <c r="H165" s="13">
        <v>0.2916666666666667</v>
      </c>
      <c r="I165" s="13">
        <v>0.375</v>
      </c>
      <c r="J165" s="12">
        <v>2.0</v>
      </c>
      <c r="K165" s="12">
        <v>0.12</v>
      </c>
      <c r="L165" s="14">
        <v>174.4</v>
      </c>
      <c r="M165" s="14">
        <v>176.0</v>
      </c>
      <c r="N165" s="14">
        <v>190.0</v>
      </c>
      <c r="O165" s="14">
        <v>174.1</v>
      </c>
      <c r="P165" s="14">
        <v>178.4</v>
      </c>
      <c r="Q165" s="14">
        <v>178.57999999999998</v>
      </c>
      <c r="R165" s="14">
        <v>7.63</v>
      </c>
      <c r="S165" s="14">
        <v>7.62</v>
      </c>
      <c r="T165" s="14">
        <v>7.71</v>
      </c>
      <c r="U165" s="14">
        <v>7.58</v>
      </c>
      <c r="V165" s="14">
        <v>7.09</v>
      </c>
      <c r="W165" s="14">
        <v>7.525999999999999</v>
      </c>
      <c r="X165" s="14">
        <v>11.7</v>
      </c>
      <c r="Y165" s="14">
        <v>11.8</v>
      </c>
      <c r="Z165" s="14">
        <v>11.8</v>
      </c>
      <c r="AA165" s="14">
        <v>12.0</v>
      </c>
      <c r="AB165" s="14">
        <v>12.0</v>
      </c>
      <c r="AC165" s="14">
        <v>11.86</v>
      </c>
      <c r="AD165" s="14">
        <v>148.2</v>
      </c>
      <c r="AE165" s="14">
        <v>144.6</v>
      </c>
      <c r="AF165" s="14">
        <v>142.5</v>
      </c>
      <c r="AG165" s="14">
        <v>141.1</v>
      </c>
      <c r="AH165" s="14">
        <v>139.7</v>
      </c>
      <c r="AI165" s="14">
        <v>143.21999999999997</v>
      </c>
      <c r="AJ165" s="14">
        <v>7.3</v>
      </c>
      <c r="AK165" s="14">
        <v>8.31</v>
      </c>
      <c r="AL165" s="14">
        <v>7.05</v>
      </c>
      <c r="AM165" s="14">
        <v>6.86</v>
      </c>
      <c r="AN165" s="14">
        <v>7.69</v>
      </c>
      <c r="AO165" s="14">
        <v>7.442</v>
      </c>
      <c r="AP165" s="14">
        <v>10.0</v>
      </c>
      <c r="AQ165" s="14">
        <v>32.9</v>
      </c>
      <c r="AR165" s="14">
        <v>43.0</v>
      </c>
      <c r="AS165" s="14">
        <v>12.0</v>
      </c>
      <c r="AT165" s="14">
        <v>0.4</v>
      </c>
      <c r="AU165" s="14">
        <v>97000.0</v>
      </c>
      <c r="AV165" s="15">
        <v>0.382</v>
      </c>
      <c r="AW165" s="15">
        <v>2.9</v>
      </c>
      <c r="AX165" s="15">
        <v>20000.0</v>
      </c>
      <c r="AY165" s="14">
        <v>1.618</v>
      </c>
      <c r="AZ165" s="14">
        <v>0.14</v>
      </c>
      <c r="BA165" s="14">
        <v>4.6579999999999995</v>
      </c>
    </row>
    <row r="166" ht="14.25" customHeight="1">
      <c r="A166" s="10" t="s">
        <v>253</v>
      </c>
      <c r="B166" s="11" t="s">
        <v>77</v>
      </c>
      <c r="C166" s="11"/>
      <c r="D166" s="12"/>
      <c r="E166" s="11">
        <v>43109.0</v>
      </c>
      <c r="F166" s="12">
        <v>1.0</v>
      </c>
      <c r="G166" s="12"/>
      <c r="H166" s="13">
        <v>0.3958333333333333</v>
      </c>
      <c r="I166" s="13">
        <v>0.4791666666666667</v>
      </c>
      <c r="J166" s="12">
        <v>2.5</v>
      </c>
      <c r="K166" s="12">
        <v>0.17</v>
      </c>
      <c r="L166" s="14">
        <v>337.4</v>
      </c>
      <c r="M166" s="14">
        <v>346.9</v>
      </c>
      <c r="N166" s="14">
        <v>352.9</v>
      </c>
      <c r="O166" s="14">
        <v>351.8</v>
      </c>
      <c r="P166" s="14">
        <v>343.5</v>
      </c>
      <c r="Q166" s="14">
        <v>346.49999999999994</v>
      </c>
      <c r="R166" s="14">
        <v>7.28</v>
      </c>
      <c r="S166" s="14">
        <v>7.61</v>
      </c>
      <c r="T166" s="14">
        <v>7.35</v>
      </c>
      <c r="U166" s="14">
        <v>7.36</v>
      </c>
      <c r="V166" s="14">
        <v>7.33</v>
      </c>
      <c r="W166" s="14">
        <v>7.386</v>
      </c>
      <c r="X166" s="14">
        <v>15.4</v>
      </c>
      <c r="Y166" s="14">
        <v>14.9</v>
      </c>
      <c r="Z166" s="14">
        <v>15.2</v>
      </c>
      <c r="AA166" s="14">
        <v>15.6</v>
      </c>
      <c r="AB166" s="14">
        <v>15.9</v>
      </c>
      <c r="AC166" s="14">
        <v>15.4</v>
      </c>
      <c r="AD166" s="14">
        <v>189.8</v>
      </c>
      <c r="AE166" s="14">
        <v>196.0</v>
      </c>
      <c r="AF166" s="14">
        <v>200.0</v>
      </c>
      <c r="AG166" s="14">
        <v>196.6</v>
      </c>
      <c r="AH166" s="14">
        <v>210.0</v>
      </c>
      <c r="AI166" s="14">
        <v>198.48</v>
      </c>
      <c r="AJ166" s="14">
        <v>6.55</v>
      </c>
      <c r="AK166" s="14">
        <v>5.57</v>
      </c>
      <c r="AL166" s="14">
        <v>6.24</v>
      </c>
      <c r="AM166" s="14">
        <v>6.31</v>
      </c>
      <c r="AN166" s="14">
        <v>5.34</v>
      </c>
      <c r="AO166" s="14">
        <v>6.002</v>
      </c>
      <c r="AP166" s="14">
        <v>21.7</v>
      </c>
      <c r="AQ166" s="14">
        <v>61.5</v>
      </c>
      <c r="AR166" s="14">
        <v>26.0</v>
      </c>
      <c r="AS166" s="14">
        <v>19.0</v>
      </c>
      <c r="AT166" s="14">
        <v>0.52</v>
      </c>
      <c r="AU166" s="14">
        <v>4100000.0</v>
      </c>
      <c r="AV166" s="15">
        <v>0.657</v>
      </c>
      <c r="AW166" s="15">
        <v>6.9</v>
      </c>
      <c r="AX166" s="15">
        <v>230000.0</v>
      </c>
      <c r="AY166" s="14">
        <v>1.459</v>
      </c>
      <c r="AZ166" s="14">
        <v>0.161</v>
      </c>
      <c r="BA166" s="14">
        <v>8.52</v>
      </c>
    </row>
    <row r="167" ht="14.25" customHeight="1">
      <c r="A167" s="10" t="s">
        <v>254</v>
      </c>
      <c r="B167" s="11" t="s">
        <v>65</v>
      </c>
      <c r="C167" s="11"/>
      <c r="D167" s="12"/>
      <c r="E167" s="11">
        <v>43109.0</v>
      </c>
      <c r="F167" s="12">
        <v>1.0</v>
      </c>
      <c r="G167" s="12"/>
      <c r="H167" s="13">
        <v>0.5208333333333334</v>
      </c>
      <c r="I167" s="13">
        <v>0.6041666666666666</v>
      </c>
      <c r="J167" s="12">
        <v>8.0</v>
      </c>
      <c r="K167" s="12">
        <v>0.19</v>
      </c>
      <c r="L167" s="14">
        <v>408.3</v>
      </c>
      <c r="M167" s="14">
        <v>399.6</v>
      </c>
      <c r="N167" s="14">
        <v>373.7</v>
      </c>
      <c r="O167" s="14">
        <v>391.9</v>
      </c>
      <c r="P167" s="14">
        <v>385.4</v>
      </c>
      <c r="Q167" s="14">
        <v>391.78000000000003</v>
      </c>
      <c r="R167" s="14">
        <v>7.42</v>
      </c>
      <c r="S167" s="14">
        <v>7.66</v>
      </c>
      <c r="T167" s="14">
        <v>7.69</v>
      </c>
      <c r="U167" s="14">
        <v>7.72</v>
      </c>
      <c r="V167" s="14">
        <v>7.74</v>
      </c>
      <c r="W167" s="14">
        <v>7.645999999999999</v>
      </c>
      <c r="X167" s="14">
        <v>16.4</v>
      </c>
      <c r="Y167" s="14">
        <v>16.2</v>
      </c>
      <c r="Z167" s="14">
        <v>16.4</v>
      </c>
      <c r="AA167" s="14">
        <v>16.1</v>
      </c>
      <c r="AB167" s="14">
        <v>16.1</v>
      </c>
      <c r="AC167" s="14">
        <v>16.24</v>
      </c>
      <c r="AD167" s="14">
        <v>272.0</v>
      </c>
      <c r="AE167" s="14">
        <v>282.0</v>
      </c>
      <c r="AF167" s="14">
        <v>300.0</v>
      </c>
      <c r="AG167" s="14">
        <v>312.0</v>
      </c>
      <c r="AH167" s="14">
        <v>320.0</v>
      </c>
      <c r="AI167" s="14">
        <v>297.2</v>
      </c>
      <c r="AJ167" s="14">
        <v>4.27</v>
      </c>
      <c r="AK167" s="14">
        <v>4.09</v>
      </c>
      <c r="AL167" s="14">
        <v>3.8</v>
      </c>
      <c r="AM167" s="14">
        <v>3.6</v>
      </c>
      <c r="AN167" s="14">
        <v>3.79</v>
      </c>
      <c r="AO167" s="14">
        <v>3.91</v>
      </c>
      <c r="AP167" s="14">
        <v>45.0</v>
      </c>
      <c r="AQ167" s="14">
        <v>150.0</v>
      </c>
      <c r="AR167" s="14">
        <v>40.0</v>
      </c>
      <c r="AS167" s="14">
        <v>27.0</v>
      </c>
      <c r="AT167" s="14">
        <v>1.72</v>
      </c>
      <c r="AU167" s="14">
        <v>1.5E7</v>
      </c>
      <c r="AV167" s="15">
        <v>1.3</v>
      </c>
      <c r="AW167" s="15">
        <v>14.6</v>
      </c>
      <c r="AX167" s="15">
        <v>1.6E7</v>
      </c>
      <c r="AY167" s="14">
        <v>0.901</v>
      </c>
      <c r="AZ167" s="14">
        <v>0.006</v>
      </c>
      <c r="BA167" s="14">
        <v>15.507</v>
      </c>
    </row>
    <row r="168" ht="14.25" customHeight="1">
      <c r="A168" s="10" t="s">
        <v>255</v>
      </c>
      <c r="B168" s="11" t="s">
        <v>70</v>
      </c>
      <c r="C168" s="11"/>
      <c r="D168" s="12"/>
      <c r="E168" s="11">
        <v>43109.0</v>
      </c>
      <c r="F168" s="12">
        <v>1.0</v>
      </c>
      <c r="G168" s="12"/>
      <c r="H168" s="13">
        <v>0.625</v>
      </c>
      <c r="I168" s="13">
        <v>0.7083333333333334</v>
      </c>
      <c r="J168" s="12">
        <v>14.0</v>
      </c>
      <c r="K168" s="12">
        <v>0.24</v>
      </c>
      <c r="L168" s="14">
        <v>413.1</v>
      </c>
      <c r="M168" s="14">
        <v>432.3</v>
      </c>
      <c r="N168" s="14">
        <v>1286.0</v>
      </c>
      <c r="O168" s="14" t="s">
        <v>161</v>
      </c>
      <c r="P168" s="14" t="s">
        <v>161</v>
      </c>
      <c r="Q168" s="14">
        <v>710.4666666666667</v>
      </c>
      <c r="R168" s="14">
        <v>7.63</v>
      </c>
      <c r="S168" s="14">
        <v>7.64</v>
      </c>
      <c r="T168" s="14">
        <v>7.65</v>
      </c>
      <c r="U168" s="14" t="s">
        <v>161</v>
      </c>
      <c r="V168" s="14" t="s">
        <v>161</v>
      </c>
      <c r="W168" s="14">
        <v>7.640000000000001</v>
      </c>
      <c r="X168" s="14">
        <v>16.4</v>
      </c>
      <c r="Y168" s="14">
        <v>16.3</v>
      </c>
      <c r="Z168" s="14">
        <v>16.1</v>
      </c>
      <c r="AA168" s="14" t="s">
        <v>161</v>
      </c>
      <c r="AB168" s="14" t="s">
        <v>161</v>
      </c>
      <c r="AC168" s="14">
        <v>16.26666666666667</v>
      </c>
      <c r="AD168" s="14">
        <v>334.0</v>
      </c>
      <c r="AE168" s="14">
        <v>340.0</v>
      </c>
      <c r="AF168" s="14">
        <v>345.0</v>
      </c>
      <c r="AG168" s="14" t="s">
        <v>161</v>
      </c>
      <c r="AH168" s="14" t="s">
        <v>161</v>
      </c>
      <c r="AI168" s="14">
        <v>339.6666666666667</v>
      </c>
      <c r="AJ168" s="14">
        <v>2.93</v>
      </c>
      <c r="AK168" s="14">
        <v>3.06</v>
      </c>
      <c r="AL168" s="14">
        <v>2.85</v>
      </c>
      <c r="AM168" s="14" t="s">
        <v>161</v>
      </c>
      <c r="AN168" s="14" t="s">
        <v>161</v>
      </c>
      <c r="AO168" s="14">
        <v>2.9466666666666668</v>
      </c>
      <c r="AP168" s="14">
        <v>66.6</v>
      </c>
      <c r="AQ168" s="14">
        <v>146.0</v>
      </c>
      <c r="AR168" s="14">
        <v>58.3</v>
      </c>
      <c r="AS168" s="14">
        <v>18.0</v>
      </c>
      <c r="AT168" s="14">
        <v>2.26</v>
      </c>
      <c r="AU168" s="14">
        <v>1.6E7</v>
      </c>
      <c r="AV168" s="15">
        <v>1.521</v>
      </c>
      <c r="AW168" s="15">
        <v>17.4</v>
      </c>
      <c r="AX168" s="15">
        <v>5400000.0</v>
      </c>
      <c r="AY168" s="14">
        <v>1.022</v>
      </c>
      <c r="AZ168" s="14">
        <v>0.257</v>
      </c>
      <c r="BA168" s="14">
        <v>18.679</v>
      </c>
    </row>
    <row r="169" ht="14.25" customHeight="1">
      <c r="A169" s="10" t="s">
        <v>256</v>
      </c>
      <c r="B169" s="11" t="s">
        <v>95</v>
      </c>
      <c r="C169" s="11"/>
      <c r="D169" s="12"/>
      <c r="E169" s="11">
        <v>43109.0</v>
      </c>
      <c r="F169" s="12">
        <v>1.0</v>
      </c>
      <c r="G169" s="12"/>
      <c r="H169" s="13">
        <v>0.2916666666666667</v>
      </c>
      <c r="I169" s="13">
        <v>0.375</v>
      </c>
      <c r="J169" s="12"/>
      <c r="K169" s="12"/>
      <c r="L169" s="14">
        <v>2.04</v>
      </c>
      <c r="M169" s="14">
        <v>2.02</v>
      </c>
      <c r="N169" s="14">
        <v>2.47</v>
      </c>
      <c r="O169" s="14">
        <v>3.58</v>
      </c>
      <c r="P169" s="14">
        <v>2.38</v>
      </c>
      <c r="Q169" s="14">
        <v>2.498</v>
      </c>
      <c r="R169" s="14">
        <v>7.38</v>
      </c>
      <c r="S169" s="14">
        <v>7.4</v>
      </c>
      <c r="T169" s="14">
        <v>7.38</v>
      </c>
      <c r="U169" s="14">
        <v>7.31</v>
      </c>
      <c r="V169" s="14">
        <v>7.05</v>
      </c>
      <c r="W169" s="14">
        <v>7.303999999999999</v>
      </c>
      <c r="X169" s="14">
        <v>14.8</v>
      </c>
      <c r="Y169" s="14">
        <v>14.8</v>
      </c>
      <c r="Z169" s="14">
        <v>15.0</v>
      </c>
      <c r="AA169" s="14">
        <v>15.0</v>
      </c>
      <c r="AB169" s="14">
        <v>14.9</v>
      </c>
      <c r="AC169" s="14">
        <v>14.9</v>
      </c>
      <c r="AD169" s="14">
        <v>89.1</v>
      </c>
      <c r="AE169" s="14">
        <v>87.1</v>
      </c>
      <c r="AF169" s="14">
        <v>94.9</v>
      </c>
      <c r="AG169" s="14">
        <v>84.0</v>
      </c>
      <c r="AH169" s="14">
        <v>102.0</v>
      </c>
      <c r="AI169" s="14">
        <v>91.42</v>
      </c>
      <c r="AJ169" s="14">
        <v>5.38</v>
      </c>
      <c r="AK169" s="14">
        <v>5.6</v>
      </c>
      <c r="AL169" s="14">
        <v>5.7</v>
      </c>
      <c r="AM169" s="14">
        <v>5.92</v>
      </c>
      <c r="AN169" s="14">
        <v>5.58</v>
      </c>
      <c r="AO169" s="14">
        <v>5.636</v>
      </c>
      <c r="AP169" s="14">
        <v>11.0</v>
      </c>
      <c r="AQ169" s="14">
        <v>36.7</v>
      </c>
      <c r="AR169" s="14">
        <v>6.4</v>
      </c>
      <c r="AS169" s="14">
        <v>12.0</v>
      </c>
      <c r="AT169" s="14">
        <v>0.43</v>
      </c>
      <c r="AU169" s="14">
        <v>2800000.0</v>
      </c>
      <c r="AV169" s="15">
        <v>0.445</v>
      </c>
      <c r="AW169" s="15">
        <v>3.8</v>
      </c>
      <c r="AX169" s="15">
        <v>160000.0</v>
      </c>
      <c r="AY169" s="14">
        <v>2.203</v>
      </c>
      <c r="AZ169" s="14">
        <v>0.111</v>
      </c>
      <c r="BA169" s="14">
        <v>6.114</v>
      </c>
    </row>
    <row r="170" ht="14.25" customHeight="1">
      <c r="A170" s="10" t="s">
        <v>257</v>
      </c>
      <c r="B170" s="11" t="s">
        <v>97</v>
      </c>
      <c r="C170" s="11"/>
      <c r="D170" s="12"/>
      <c r="E170" s="11">
        <v>43109.0</v>
      </c>
      <c r="F170" s="12">
        <v>1.0</v>
      </c>
      <c r="G170" s="12"/>
      <c r="H170" s="13">
        <v>0.3819444444444444</v>
      </c>
      <c r="I170" s="13">
        <v>0.46527777777777773</v>
      </c>
      <c r="J170" s="12">
        <v>2.3</v>
      </c>
      <c r="K170" s="12">
        <v>0.15</v>
      </c>
      <c r="L170" s="14">
        <v>142.0</v>
      </c>
      <c r="M170" s="14">
        <v>147.0</v>
      </c>
      <c r="N170" s="14">
        <v>168.0</v>
      </c>
      <c r="O170" s="14">
        <v>139.0</v>
      </c>
      <c r="P170" s="14">
        <v>115.0</v>
      </c>
      <c r="Q170" s="14">
        <v>142.2</v>
      </c>
      <c r="R170" s="14">
        <v>7.54</v>
      </c>
      <c r="S170" s="14">
        <v>7.8</v>
      </c>
      <c r="T170" s="14">
        <v>7.9</v>
      </c>
      <c r="U170" s="14">
        <v>7.44</v>
      </c>
      <c r="V170" s="14">
        <v>7.76</v>
      </c>
      <c r="W170" s="14">
        <v>7.688000000000001</v>
      </c>
      <c r="X170" s="14">
        <v>15.1</v>
      </c>
      <c r="Y170" s="14">
        <v>14.5</v>
      </c>
      <c r="Z170" s="14">
        <v>14.9</v>
      </c>
      <c r="AA170" s="14">
        <v>15.2</v>
      </c>
      <c r="AB170" s="14">
        <v>15.1</v>
      </c>
      <c r="AC170" s="14">
        <v>14.959999999999999</v>
      </c>
      <c r="AD170" s="14">
        <v>204.0</v>
      </c>
      <c r="AE170" s="14">
        <v>170.0</v>
      </c>
      <c r="AF170" s="14">
        <v>184.0</v>
      </c>
      <c r="AG170" s="14">
        <v>167.0</v>
      </c>
      <c r="AH170" s="14">
        <v>194.0</v>
      </c>
      <c r="AI170" s="14">
        <v>183.8</v>
      </c>
      <c r="AJ170" s="14">
        <v>5.52</v>
      </c>
      <c r="AK170" s="14">
        <v>5.21</v>
      </c>
      <c r="AL170" s="14">
        <v>5.1</v>
      </c>
      <c r="AM170" s="14">
        <v>5.98</v>
      </c>
      <c r="AN170" s="14">
        <v>5.76</v>
      </c>
      <c r="AO170" s="14">
        <v>5.514</v>
      </c>
      <c r="AP170" s="14">
        <v>92.0</v>
      </c>
      <c r="AQ170" s="14">
        <v>186.0</v>
      </c>
      <c r="AR170" s="14">
        <v>20.0</v>
      </c>
      <c r="AS170" s="14">
        <v>31.0</v>
      </c>
      <c r="AT170" s="14">
        <v>1.82</v>
      </c>
      <c r="AU170" s="14">
        <v>1.3E7</v>
      </c>
      <c r="AV170" s="15">
        <v>1.466</v>
      </c>
      <c r="AW170" s="15">
        <v>12.8</v>
      </c>
      <c r="AX170" s="15">
        <v>4900000.0</v>
      </c>
      <c r="AY170" s="14">
        <v>0.788</v>
      </c>
      <c r="AZ170" s="14">
        <v>0.334</v>
      </c>
      <c r="BA170" s="14">
        <v>13.922</v>
      </c>
    </row>
    <row r="171" ht="14.25" customHeight="1">
      <c r="A171" s="10" t="s">
        <v>258</v>
      </c>
      <c r="B171" s="11" t="s">
        <v>85</v>
      </c>
      <c r="C171" s="11"/>
      <c r="D171" s="12"/>
      <c r="E171" s="11">
        <v>43109.0</v>
      </c>
      <c r="F171" s="12">
        <v>1.0</v>
      </c>
      <c r="G171" s="12"/>
      <c r="H171" s="13">
        <v>0.47222222222222227</v>
      </c>
      <c r="I171" s="13">
        <v>0.5555555555555556</v>
      </c>
      <c r="J171" s="12">
        <v>8.0</v>
      </c>
      <c r="K171" s="12">
        <v>0.2</v>
      </c>
      <c r="L171" s="14">
        <v>925.0</v>
      </c>
      <c r="M171" s="14">
        <v>704.0</v>
      </c>
      <c r="N171" s="14">
        <v>555.0</v>
      </c>
      <c r="O171" s="14">
        <v>585.0</v>
      </c>
      <c r="P171" s="14">
        <v>600.0</v>
      </c>
      <c r="Q171" s="14">
        <v>673.8</v>
      </c>
      <c r="R171" s="14">
        <v>7.8</v>
      </c>
      <c r="S171" s="14">
        <v>8.58</v>
      </c>
      <c r="T171" s="14">
        <v>8.27</v>
      </c>
      <c r="U171" s="14">
        <v>8.25</v>
      </c>
      <c r="V171" s="14">
        <v>8.13</v>
      </c>
      <c r="W171" s="14">
        <v>8.206</v>
      </c>
      <c r="X171" s="14">
        <v>19.1</v>
      </c>
      <c r="Y171" s="14">
        <v>19.0</v>
      </c>
      <c r="Z171" s="14">
        <v>18.6</v>
      </c>
      <c r="AA171" s="14">
        <v>18.3</v>
      </c>
      <c r="AB171" s="14">
        <v>18.2</v>
      </c>
      <c r="AC171" s="14">
        <v>18.64</v>
      </c>
      <c r="AD171" s="14">
        <v>475.0</v>
      </c>
      <c r="AE171" s="14">
        <v>476.0</v>
      </c>
      <c r="AF171" s="14">
        <v>491.0</v>
      </c>
      <c r="AG171" s="14">
        <v>501.0</v>
      </c>
      <c r="AH171" s="14">
        <v>502.0</v>
      </c>
      <c r="AI171" s="14">
        <v>489.0</v>
      </c>
      <c r="AJ171" s="14">
        <v>2.21</v>
      </c>
      <c r="AK171" s="14">
        <v>2.52</v>
      </c>
      <c r="AL171" s="14">
        <v>2.44</v>
      </c>
      <c r="AM171" s="14">
        <v>2.42</v>
      </c>
      <c r="AN171" s="14">
        <v>2.56</v>
      </c>
      <c r="AO171" s="14">
        <v>2.43</v>
      </c>
      <c r="AP171" s="14">
        <v>239.0</v>
      </c>
      <c r="AQ171" s="14">
        <v>478.0</v>
      </c>
      <c r="AR171" s="14">
        <v>117.0</v>
      </c>
      <c r="AS171" s="14">
        <v>65.0</v>
      </c>
      <c r="AT171" s="14">
        <v>6.8</v>
      </c>
      <c r="AU171" s="14">
        <v>1.7E7</v>
      </c>
      <c r="AV171" s="15">
        <v>3.288</v>
      </c>
      <c r="AW171" s="15">
        <v>38.8</v>
      </c>
      <c r="AX171" s="15">
        <v>1.6E7</v>
      </c>
      <c r="AY171" s="14">
        <v>1.18</v>
      </c>
      <c r="AZ171" s="14">
        <v>0.016</v>
      </c>
      <c r="BA171" s="14">
        <v>39.995999999999995</v>
      </c>
    </row>
    <row r="172" ht="14.25" customHeight="1">
      <c r="A172" s="10" t="s">
        <v>259</v>
      </c>
      <c r="B172" s="11" t="s">
        <v>63</v>
      </c>
      <c r="C172" s="11"/>
      <c r="D172" s="12"/>
      <c r="E172" s="11">
        <v>43109.0</v>
      </c>
      <c r="F172" s="12">
        <v>1.0</v>
      </c>
      <c r="G172" s="12"/>
      <c r="H172" s="13">
        <v>0.5833333333333334</v>
      </c>
      <c r="I172" s="13">
        <v>0.6666666666666666</v>
      </c>
      <c r="J172" s="12">
        <v>6.3</v>
      </c>
      <c r="K172" s="12">
        <v>0.2</v>
      </c>
      <c r="L172" s="14">
        <v>723.0</v>
      </c>
      <c r="M172" s="14">
        <v>642.0</v>
      </c>
      <c r="N172" s="14">
        <v>1305.0</v>
      </c>
      <c r="O172" s="14">
        <v>1060.0</v>
      </c>
      <c r="P172" s="14">
        <v>680.0</v>
      </c>
      <c r="Q172" s="14">
        <v>882.0</v>
      </c>
      <c r="R172" s="14">
        <v>8.1</v>
      </c>
      <c r="S172" s="14">
        <v>8.14</v>
      </c>
      <c r="T172" s="14">
        <v>7.5</v>
      </c>
      <c r="U172" s="14">
        <v>8.0</v>
      </c>
      <c r="V172" s="14">
        <v>7.94</v>
      </c>
      <c r="W172" s="14">
        <v>7.936</v>
      </c>
      <c r="X172" s="14">
        <v>18.0</v>
      </c>
      <c r="Y172" s="14">
        <v>18.3</v>
      </c>
      <c r="Z172" s="14">
        <v>18.3</v>
      </c>
      <c r="AA172" s="14">
        <v>18.3</v>
      </c>
      <c r="AB172" s="14">
        <v>17.7</v>
      </c>
      <c r="AC172" s="14">
        <v>18.119999999999997</v>
      </c>
      <c r="AD172" s="14">
        <v>513.0</v>
      </c>
      <c r="AE172" s="14">
        <v>536.0</v>
      </c>
      <c r="AF172" s="14">
        <v>514.0</v>
      </c>
      <c r="AG172" s="14">
        <v>448.0</v>
      </c>
      <c r="AH172" s="14">
        <v>418.0</v>
      </c>
      <c r="AI172" s="14">
        <v>485.8</v>
      </c>
      <c r="AJ172" s="14">
        <v>1.72</v>
      </c>
      <c r="AK172" s="14">
        <v>1.67</v>
      </c>
      <c r="AL172" s="14">
        <v>0.92</v>
      </c>
      <c r="AM172" s="14">
        <v>1.04</v>
      </c>
      <c r="AN172" s="14">
        <v>1.69</v>
      </c>
      <c r="AO172" s="14">
        <v>1.408</v>
      </c>
      <c r="AP172" s="14">
        <v>205.0</v>
      </c>
      <c r="AQ172" s="14">
        <v>415.0</v>
      </c>
      <c r="AR172" s="14">
        <v>115.0</v>
      </c>
      <c r="AS172" s="14">
        <v>59.0</v>
      </c>
      <c r="AT172" s="14">
        <v>6.81</v>
      </c>
      <c r="AU172" s="14">
        <v>3.9E7</v>
      </c>
      <c r="AV172" s="15">
        <v>2.863</v>
      </c>
      <c r="AW172" s="15">
        <v>34.2</v>
      </c>
      <c r="AX172" s="15">
        <v>9200000.0</v>
      </c>
      <c r="AY172" s="14">
        <v>1.028</v>
      </c>
      <c r="AZ172" s="14">
        <v>0.008</v>
      </c>
      <c r="BA172" s="14">
        <v>35.236000000000004</v>
      </c>
    </row>
    <row r="173" ht="14.25" customHeight="1">
      <c r="A173" s="10" t="s">
        <v>260</v>
      </c>
      <c r="B173" s="11" t="s">
        <v>114</v>
      </c>
      <c r="C173" s="11"/>
      <c r="D173" s="12"/>
      <c r="E173" s="11">
        <v>43110.0</v>
      </c>
      <c r="F173" s="12">
        <v>1.0</v>
      </c>
      <c r="G173" s="12"/>
      <c r="H173" s="13">
        <v>0.2916666666666667</v>
      </c>
      <c r="I173" s="13">
        <v>0.375</v>
      </c>
      <c r="J173" s="12">
        <v>3.6</v>
      </c>
      <c r="K173" s="12">
        <v>0.12</v>
      </c>
      <c r="L173" s="14">
        <v>22.6</v>
      </c>
      <c r="M173" s="14">
        <v>27.5</v>
      </c>
      <c r="N173" s="14">
        <v>30.7</v>
      </c>
      <c r="O173" s="14">
        <v>30.6</v>
      </c>
      <c r="P173" s="14">
        <v>32.0</v>
      </c>
      <c r="Q173" s="14">
        <v>28.68</v>
      </c>
      <c r="R173" s="14">
        <v>6.88</v>
      </c>
      <c r="S173" s="14">
        <v>6.79</v>
      </c>
      <c r="T173" s="14">
        <v>6.79</v>
      </c>
      <c r="U173" s="14">
        <v>6.84</v>
      </c>
      <c r="V173" s="14">
        <v>6.87</v>
      </c>
      <c r="W173" s="14">
        <v>6.8340000000000005</v>
      </c>
      <c r="X173" s="14">
        <v>17.5</v>
      </c>
      <c r="Y173" s="14">
        <v>17.6</v>
      </c>
      <c r="Z173" s="14">
        <v>17.9</v>
      </c>
      <c r="AA173" s="14">
        <v>18.7</v>
      </c>
      <c r="AB173" s="14">
        <v>19.4</v>
      </c>
      <c r="AC173" s="14">
        <v>18.22</v>
      </c>
      <c r="AD173" s="14">
        <v>206.0</v>
      </c>
      <c r="AE173" s="14">
        <v>219.0</v>
      </c>
      <c r="AF173" s="14">
        <v>228.0</v>
      </c>
      <c r="AG173" s="14">
        <v>227.0</v>
      </c>
      <c r="AH173" s="14">
        <v>233.0</v>
      </c>
      <c r="AI173" s="14">
        <v>222.6</v>
      </c>
      <c r="AJ173" s="14">
        <v>3.65</v>
      </c>
      <c r="AK173" s="14">
        <v>4.62</v>
      </c>
      <c r="AL173" s="14">
        <v>4.8</v>
      </c>
      <c r="AM173" s="14">
        <v>4.56</v>
      </c>
      <c r="AN173" s="14">
        <v>4.1</v>
      </c>
      <c r="AO173" s="14">
        <v>4.345999999999999</v>
      </c>
      <c r="AP173" s="14">
        <v>12.8</v>
      </c>
      <c r="AQ173" s="14">
        <v>44.0</v>
      </c>
      <c r="AR173" s="14">
        <v>11.0</v>
      </c>
      <c r="AS173" s="14">
        <v>6.0</v>
      </c>
      <c r="AT173" s="14">
        <v>0.4</v>
      </c>
      <c r="AU173" s="14">
        <v>1400000.0</v>
      </c>
      <c r="AV173" s="15">
        <v>0.242</v>
      </c>
      <c r="AW173" s="15">
        <v>3.6</v>
      </c>
      <c r="AX173" s="15">
        <v>3300.0</v>
      </c>
      <c r="AY173" s="14">
        <v>1.736</v>
      </c>
      <c r="AZ173" s="14">
        <v>0.086</v>
      </c>
      <c r="BA173" s="14">
        <v>5.422000000000001</v>
      </c>
    </row>
    <row r="174" ht="14.25" customHeight="1">
      <c r="A174" s="10" t="s">
        <v>261</v>
      </c>
      <c r="B174" s="11" t="s">
        <v>89</v>
      </c>
      <c r="C174" s="11"/>
      <c r="D174" s="12"/>
      <c r="E174" s="11">
        <v>43110.0</v>
      </c>
      <c r="F174" s="12">
        <v>1.0</v>
      </c>
      <c r="G174" s="12"/>
      <c r="H174" s="13">
        <v>0.3958333333333333</v>
      </c>
      <c r="I174" s="13">
        <v>0.4791666666666667</v>
      </c>
      <c r="J174" s="12">
        <v>3.6</v>
      </c>
      <c r="K174" s="12">
        <v>0.12</v>
      </c>
      <c r="L174" s="14">
        <v>179.4</v>
      </c>
      <c r="M174" s="14">
        <v>178.5</v>
      </c>
      <c r="N174" s="14">
        <v>173.1</v>
      </c>
      <c r="O174" s="14">
        <v>163.5</v>
      </c>
      <c r="P174" s="14">
        <v>151.7</v>
      </c>
      <c r="Q174" s="14">
        <v>169.24</v>
      </c>
      <c r="R174" s="14">
        <v>7.06</v>
      </c>
      <c r="S174" s="14">
        <v>7.11</v>
      </c>
      <c r="T174" s="14">
        <v>7.12</v>
      </c>
      <c r="U174" s="14">
        <v>7.14</v>
      </c>
      <c r="V174" s="14">
        <v>7.16</v>
      </c>
      <c r="W174" s="14">
        <v>7.118</v>
      </c>
      <c r="X174" s="14">
        <v>18.4</v>
      </c>
      <c r="Y174" s="14">
        <v>19.3</v>
      </c>
      <c r="Z174" s="14">
        <v>20.2</v>
      </c>
      <c r="AA174" s="14">
        <v>21.1</v>
      </c>
      <c r="AB174" s="14">
        <v>22.0</v>
      </c>
      <c r="AC174" s="14">
        <v>20.2</v>
      </c>
      <c r="AD174" s="14">
        <v>303.0</v>
      </c>
      <c r="AE174" s="14">
        <v>307.0</v>
      </c>
      <c r="AF174" s="14">
        <v>307.0</v>
      </c>
      <c r="AG174" s="14">
        <v>307.0</v>
      </c>
      <c r="AH174" s="14">
        <v>308.0</v>
      </c>
      <c r="AI174" s="14">
        <v>306.4</v>
      </c>
      <c r="AJ174" s="14">
        <v>6.29</v>
      </c>
      <c r="AK174" s="14">
        <v>6.12</v>
      </c>
      <c r="AL174" s="14">
        <v>5.6</v>
      </c>
      <c r="AM174" s="14">
        <v>7.13</v>
      </c>
      <c r="AN174" s="14">
        <v>6.53</v>
      </c>
      <c r="AO174" s="14">
        <v>6.334</v>
      </c>
      <c r="AP174" s="14">
        <v>11.1</v>
      </c>
      <c r="AQ174" s="14">
        <v>84.67</v>
      </c>
      <c r="AR174" s="14">
        <v>21.2</v>
      </c>
      <c r="AS174" s="14">
        <v>39.0</v>
      </c>
      <c r="AT174" s="14">
        <v>0.4</v>
      </c>
      <c r="AU174" s="14">
        <v>2400000.0</v>
      </c>
      <c r="AV174" s="15">
        <v>0.402</v>
      </c>
      <c r="AW174" s="15">
        <v>4.4</v>
      </c>
      <c r="AX174" s="15">
        <v>49000.0</v>
      </c>
      <c r="AY174" s="14">
        <v>18.495</v>
      </c>
      <c r="AZ174" s="14">
        <v>0.207</v>
      </c>
      <c r="BA174" s="14">
        <v>23.102000000000004</v>
      </c>
    </row>
    <row r="175" ht="14.25" customHeight="1">
      <c r="A175" s="10" t="s">
        <v>262</v>
      </c>
      <c r="B175" s="11" t="s">
        <v>81</v>
      </c>
      <c r="C175" s="11"/>
      <c r="D175" s="12"/>
      <c r="E175" s="11">
        <v>43110.0</v>
      </c>
      <c r="F175" s="12">
        <v>1.0</v>
      </c>
      <c r="G175" s="12"/>
      <c r="H175" s="13">
        <v>0.4895833333333333</v>
      </c>
      <c r="I175" s="13">
        <v>0.5729166666666666</v>
      </c>
      <c r="J175" s="12">
        <v>3.6</v>
      </c>
      <c r="K175" s="12">
        <v>0.12</v>
      </c>
      <c r="L175" s="14">
        <v>256.9</v>
      </c>
      <c r="M175" s="14">
        <v>253.2</v>
      </c>
      <c r="N175" s="14">
        <v>254.6</v>
      </c>
      <c r="O175" s="14">
        <v>259.3</v>
      </c>
      <c r="P175" s="14">
        <v>245.3</v>
      </c>
      <c r="Q175" s="14">
        <v>253.85999999999999</v>
      </c>
      <c r="R175" s="14">
        <v>7.61</v>
      </c>
      <c r="S175" s="14">
        <v>7.55</v>
      </c>
      <c r="T175" s="14">
        <v>7.49</v>
      </c>
      <c r="U175" s="14">
        <v>7.62</v>
      </c>
      <c r="V175" s="14">
        <v>7.6</v>
      </c>
      <c r="W175" s="14">
        <v>7.574</v>
      </c>
      <c r="X175" s="14">
        <v>24.5</v>
      </c>
      <c r="Y175" s="14">
        <v>24.8</v>
      </c>
      <c r="Z175" s="14">
        <v>25.4</v>
      </c>
      <c r="AA175" s="14">
        <v>25.2</v>
      </c>
      <c r="AB175" s="14">
        <v>24.9</v>
      </c>
      <c r="AC175" s="14">
        <v>24.959999999999997</v>
      </c>
      <c r="AD175" s="14">
        <v>346.0</v>
      </c>
      <c r="AE175" s="14">
        <v>334.0</v>
      </c>
      <c r="AF175" s="14">
        <v>332.0</v>
      </c>
      <c r="AG175" s="14">
        <v>335.0</v>
      </c>
      <c r="AH175" s="14">
        <v>338.0</v>
      </c>
      <c r="AI175" s="14">
        <v>337.0</v>
      </c>
      <c r="AJ175" s="14">
        <v>6.72</v>
      </c>
      <c r="AK175" s="14">
        <v>6.96</v>
      </c>
      <c r="AL175" s="14">
        <v>6.56</v>
      </c>
      <c r="AM175" s="14">
        <v>6.83</v>
      </c>
      <c r="AN175" s="14">
        <v>7.26</v>
      </c>
      <c r="AO175" s="14">
        <v>6.866</v>
      </c>
      <c r="AP175" s="14">
        <v>15.0</v>
      </c>
      <c r="AQ175" s="14">
        <v>111.0</v>
      </c>
      <c r="AR175" s="14">
        <v>19.0</v>
      </c>
      <c r="AS175" s="14">
        <v>16.0</v>
      </c>
      <c r="AT175" s="14">
        <v>0.4</v>
      </c>
      <c r="AU175" s="14">
        <v>2400000.0</v>
      </c>
      <c r="AV175" s="15">
        <v>0.46</v>
      </c>
      <c r="AW175" s="15">
        <v>4.7</v>
      </c>
      <c r="AX175" s="15">
        <v>54000.0</v>
      </c>
      <c r="AY175" s="14">
        <v>18.337</v>
      </c>
      <c r="AZ175" s="14">
        <v>0.33</v>
      </c>
      <c r="BA175" s="14">
        <v>23.366999999999997</v>
      </c>
    </row>
    <row r="176" ht="14.25" customHeight="1">
      <c r="A176" s="10" t="s">
        <v>263</v>
      </c>
      <c r="B176" s="11" t="s">
        <v>118</v>
      </c>
      <c r="C176" s="11"/>
      <c r="D176" s="12"/>
      <c r="E176" s="11">
        <v>43110.0</v>
      </c>
      <c r="F176" s="12">
        <v>1.0</v>
      </c>
      <c r="G176" s="12"/>
      <c r="H176" s="13">
        <v>0.2916666666666667</v>
      </c>
      <c r="I176" s="13">
        <v>0.375</v>
      </c>
      <c r="J176" s="12">
        <v>118.0</v>
      </c>
      <c r="K176" s="12">
        <v>0.18</v>
      </c>
      <c r="L176" s="14">
        <v>282.0</v>
      </c>
      <c r="M176" s="14">
        <v>420.0</v>
      </c>
      <c r="N176" s="14">
        <v>343.0</v>
      </c>
      <c r="O176" s="14">
        <v>336.0</v>
      </c>
      <c r="P176" s="14">
        <v>376.0</v>
      </c>
      <c r="Q176" s="14">
        <v>351.4</v>
      </c>
      <c r="R176" s="14">
        <v>6.6</v>
      </c>
      <c r="S176" s="14">
        <v>6.22</v>
      </c>
      <c r="T176" s="14">
        <v>6.25</v>
      </c>
      <c r="U176" s="14">
        <v>6.28</v>
      </c>
      <c r="V176" s="14">
        <v>6.44</v>
      </c>
      <c r="W176" s="14">
        <v>6.3580000000000005</v>
      </c>
      <c r="X176" s="14">
        <v>12.0</v>
      </c>
      <c r="Y176" s="14">
        <v>12.2</v>
      </c>
      <c r="Z176" s="14">
        <v>12.1</v>
      </c>
      <c r="AA176" s="14">
        <v>12.1</v>
      </c>
      <c r="AB176" s="14">
        <v>12.7</v>
      </c>
      <c r="AC176" s="14">
        <v>12.219999999999999</v>
      </c>
      <c r="AD176" s="14">
        <v>58.4</v>
      </c>
      <c r="AE176" s="14">
        <v>76.6</v>
      </c>
      <c r="AF176" s="14">
        <v>63.7</v>
      </c>
      <c r="AG176" s="14">
        <v>59.7</v>
      </c>
      <c r="AH176" s="14">
        <v>84.1</v>
      </c>
      <c r="AI176" s="14">
        <v>68.5</v>
      </c>
      <c r="AJ176" s="14">
        <v>5.77</v>
      </c>
      <c r="AK176" s="14">
        <v>5.83</v>
      </c>
      <c r="AL176" s="14">
        <v>5.43</v>
      </c>
      <c r="AM176" s="14">
        <v>5.25</v>
      </c>
      <c r="AN176" s="14">
        <v>4.98</v>
      </c>
      <c r="AO176" s="14">
        <v>5.452</v>
      </c>
      <c r="AP176" s="14">
        <v>2.6</v>
      </c>
      <c r="AQ176" s="14">
        <v>70.94</v>
      </c>
      <c r="AR176" s="14">
        <v>21.0</v>
      </c>
      <c r="AS176" s="14">
        <v>6.0</v>
      </c>
      <c r="AT176" s="14">
        <v>0.4</v>
      </c>
      <c r="AU176" s="14">
        <v>130000.0</v>
      </c>
      <c r="AV176" s="15">
        <v>0.113</v>
      </c>
      <c r="AW176" s="19">
        <v>1.0</v>
      </c>
      <c r="AX176" s="15">
        <v>17000.0</v>
      </c>
      <c r="AY176" s="14">
        <v>0.767</v>
      </c>
      <c r="AZ176" s="14">
        <v>0.01</v>
      </c>
      <c r="BA176" s="14">
        <v>1.7770000000000001</v>
      </c>
    </row>
    <row r="177" ht="14.25" customHeight="1">
      <c r="A177" s="10" t="s">
        <v>264</v>
      </c>
      <c r="B177" s="11" t="s">
        <v>120</v>
      </c>
      <c r="C177" s="11"/>
      <c r="D177" s="12"/>
      <c r="E177" s="11">
        <v>43110.0</v>
      </c>
      <c r="F177" s="12">
        <v>1.0</v>
      </c>
      <c r="G177" s="12"/>
      <c r="H177" s="13">
        <v>0.3819444444444444</v>
      </c>
      <c r="I177" s="13">
        <v>0.46527777777777773</v>
      </c>
      <c r="J177" s="12">
        <v>8.15</v>
      </c>
      <c r="K177" s="12">
        <v>0.2</v>
      </c>
      <c r="L177" s="14">
        <v>801.0</v>
      </c>
      <c r="M177" s="14">
        <v>607.0</v>
      </c>
      <c r="N177" s="14">
        <v>803.0</v>
      </c>
      <c r="O177" s="14">
        <v>749.0</v>
      </c>
      <c r="P177" s="14">
        <v>702.0</v>
      </c>
      <c r="Q177" s="14">
        <v>732.4</v>
      </c>
      <c r="R177" s="14">
        <v>7.1</v>
      </c>
      <c r="S177" s="14">
        <v>7.12</v>
      </c>
      <c r="T177" s="14">
        <v>6.75</v>
      </c>
      <c r="U177" s="14">
        <v>6.69</v>
      </c>
      <c r="V177" s="14">
        <v>6.27</v>
      </c>
      <c r="W177" s="14">
        <v>6.786</v>
      </c>
      <c r="X177" s="14">
        <v>17.6</v>
      </c>
      <c r="Y177" s="14">
        <v>18.0</v>
      </c>
      <c r="Z177" s="14">
        <v>16.9</v>
      </c>
      <c r="AA177" s="14">
        <v>17.2</v>
      </c>
      <c r="AB177" s="14">
        <v>17.6</v>
      </c>
      <c r="AC177" s="14">
        <v>17.46</v>
      </c>
      <c r="AD177" s="14">
        <v>309.0</v>
      </c>
      <c r="AE177" s="14">
        <v>323.0</v>
      </c>
      <c r="AF177" s="14">
        <v>216.0</v>
      </c>
      <c r="AG177" s="14">
        <v>293.0</v>
      </c>
      <c r="AH177" s="14">
        <v>294.0</v>
      </c>
      <c r="AI177" s="14">
        <v>287.0</v>
      </c>
      <c r="AJ177" s="14">
        <v>4.15</v>
      </c>
      <c r="AK177" s="14">
        <v>3.97</v>
      </c>
      <c r="AL177" s="14">
        <v>4.3</v>
      </c>
      <c r="AM177" s="14">
        <v>3.92</v>
      </c>
      <c r="AN177" s="14">
        <v>4.15</v>
      </c>
      <c r="AO177" s="14">
        <v>4.098000000000001</v>
      </c>
      <c r="AP177" s="14">
        <v>45.4</v>
      </c>
      <c r="AQ177" s="14">
        <v>104.0</v>
      </c>
      <c r="AR177" s="14">
        <v>50.0</v>
      </c>
      <c r="AS177" s="14">
        <v>16.0</v>
      </c>
      <c r="AT177" s="14">
        <v>0.9</v>
      </c>
      <c r="AU177" s="14">
        <v>1.6E7</v>
      </c>
      <c r="AV177" s="15">
        <v>0.868</v>
      </c>
      <c r="AW177" s="15">
        <v>10.6</v>
      </c>
      <c r="AX177" s="15">
        <v>2400000.0</v>
      </c>
      <c r="AY177" s="14">
        <v>2.958</v>
      </c>
      <c r="AZ177" s="14">
        <v>0.285</v>
      </c>
      <c r="BA177" s="14">
        <v>13.843</v>
      </c>
    </row>
    <row r="178" ht="14.25" customHeight="1">
      <c r="A178" s="10" t="s">
        <v>265</v>
      </c>
      <c r="B178" s="11" t="s">
        <v>116</v>
      </c>
      <c r="C178" s="11"/>
      <c r="D178" s="12"/>
      <c r="E178" s="11">
        <v>43110.0</v>
      </c>
      <c r="F178" s="12">
        <v>1.0</v>
      </c>
      <c r="G178" s="12"/>
      <c r="H178" s="13">
        <v>0.47222222222222227</v>
      </c>
      <c r="I178" s="13">
        <v>0.5555555555555556</v>
      </c>
      <c r="J178" s="12">
        <v>8.0</v>
      </c>
      <c r="K178" s="12">
        <v>0.22</v>
      </c>
      <c r="L178" s="14">
        <v>1120.0</v>
      </c>
      <c r="M178" s="14">
        <v>1158.0</v>
      </c>
      <c r="N178" s="14">
        <v>1179.0</v>
      </c>
      <c r="O178" s="14">
        <v>981.0</v>
      </c>
      <c r="P178" s="14">
        <v>1069.0</v>
      </c>
      <c r="Q178" s="14">
        <v>1101.4</v>
      </c>
      <c r="R178" s="14">
        <v>8.45</v>
      </c>
      <c r="S178" s="14">
        <v>8.57</v>
      </c>
      <c r="T178" s="14">
        <v>8.21</v>
      </c>
      <c r="U178" s="14">
        <v>8.15</v>
      </c>
      <c r="V178" s="14">
        <v>8.26</v>
      </c>
      <c r="W178" s="14">
        <v>8.328</v>
      </c>
      <c r="X178" s="14">
        <v>19.9</v>
      </c>
      <c r="Y178" s="14">
        <v>20.2</v>
      </c>
      <c r="Z178" s="14">
        <v>20.8</v>
      </c>
      <c r="AA178" s="14">
        <v>21.5</v>
      </c>
      <c r="AB178" s="14">
        <v>20.9</v>
      </c>
      <c r="AC178" s="14">
        <v>20.659999999999997</v>
      </c>
      <c r="AD178" s="14">
        <v>195.6</v>
      </c>
      <c r="AE178" s="14">
        <v>199.1</v>
      </c>
      <c r="AF178" s="14">
        <v>201.0</v>
      </c>
      <c r="AG178" s="14">
        <v>207.0</v>
      </c>
      <c r="AH178" s="14">
        <v>223.0</v>
      </c>
      <c r="AI178" s="14">
        <v>205.14000000000001</v>
      </c>
      <c r="AJ178" s="14">
        <v>5.15</v>
      </c>
      <c r="AK178" s="14">
        <v>5.22</v>
      </c>
      <c r="AL178" s="14">
        <v>5.28</v>
      </c>
      <c r="AM178" s="14">
        <v>5.6</v>
      </c>
      <c r="AN178" s="14">
        <v>6.14</v>
      </c>
      <c r="AO178" s="14">
        <v>5.478</v>
      </c>
      <c r="AP178" s="14">
        <v>22.4</v>
      </c>
      <c r="AQ178" s="14">
        <v>53.7</v>
      </c>
      <c r="AR178" s="14">
        <v>40.0</v>
      </c>
      <c r="AS178" s="14">
        <v>6.0</v>
      </c>
      <c r="AT178" s="14">
        <v>0.48</v>
      </c>
      <c r="AU178" s="14">
        <v>9800000.0</v>
      </c>
      <c r="AV178" s="15">
        <v>0.512</v>
      </c>
      <c r="AW178" s="15">
        <v>5.0</v>
      </c>
      <c r="AX178" s="15">
        <v>920000.0</v>
      </c>
      <c r="AY178" s="14">
        <v>1.676</v>
      </c>
      <c r="AZ178" s="14">
        <v>0.129</v>
      </c>
      <c r="BA178" s="14">
        <v>6.805</v>
      </c>
    </row>
    <row r="179" ht="14.25" customHeight="1">
      <c r="A179" s="10" t="s">
        <v>266</v>
      </c>
      <c r="B179" s="11" t="s">
        <v>57</v>
      </c>
      <c r="C179" s="11"/>
      <c r="D179" s="12"/>
      <c r="E179" s="11">
        <v>43111.0</v>
      </c>
      <c r="F179" s="12">
        <v>1.0</v>
      </c>
      <c r="G179" s="12"/>
      <c r="H179" s="13">
        <v>0.2916666666666667</v>
      </c>
      <c r="I179" s="13">
        <v>0.375</v>
      </c>
      <c r="J179" s="12">
        <v>70.0</v>
      </c>
      <c r="K179" s="12">
        <v>0.08</v>
      </c>
      <c r="L179" s="14">
        <v>20.0</v>
      </c>
      <c r="M179" s="14">
        <v>21.0</v>
      </c>
      <c r="N179" s="14">
        <v>23.0</v>
      </c>
      <c r="O179" s="14">
        <v>22.0</v>
      </c>
      <c r="P179" s="14">
        <v>21.0</v>
      </c>
      <c r="Q179" s="14">
        <v>21.4</v>
      </c>
      <c r="R179" s="14">
        <v>7.26</v>
      </c>
      <c r="S179" s="14">
        <v>7.31</v>
      </c>
      <c r="T179" s="14">
        <v>7.38</v>
      </c>
      <c r="U179" s="14">
        <v>7.52</v>
      </c>
      <c r="V179" s="14">
        <v>7.56</v>
      </c>
      <c r="W179" s="14">
        <v>7.406000000000001</v>
      </c>
      <c r="X179" s="14">
        <v>11.6</v>
      </c>
      <c r="Y179" s="14">
        <v>11.7</v>
      </c>
      <c r="Z179" s="14">
        <v>12.6</v>
      </c>
      <c r="AA179" s="14">
        <v>13.3</v>
      </c>
      <c r="AB179" s="14">
        <v>13.9</v>
      </c>
      <c r="AC179" s="14">
        <v>12.620000000000001</v>
      </c>
      <c r="AD179" s="14">
        <v>136.0</v>
      </c>
      <c r="AE179" s="14">
        <v>138.0</v>
      </c>
      <c r="AF179" s="14">
        <v>144.0</v>
      </c>
      <c r="AG179" s="14">
        <v>147.0</v>
      </c>
      <c r="AH179" s="14">
        <v>152.0</v>
      </c>
      <c r="AI179" s="14">
        <v>143.4</v>
      </c>
      <c r="AJ179" s="14">
        <v>3.2</v>
      </c>
      <c r="AK179" s="14">
        <v>3.23</v>
      </c>
      <c r="AL179" s="14">
        <v>3.29</v>
      </c>
      <c r="AM179" s="14">
        <v>3.42</v>
      </c>
      <c r="AN179" s="14">
        <v>3.46</v>
      </c>
      <c r="AO179" s="14">
        <v>3.3199999999999994</v>
      </c>
      <c r="AP179" s="14">
        <v>10.6</v>
      </c>
      <c r="AQ179" s="14">
        <v>24.8</v>
      </c>
      <c r="AR179" s="14">
        <v>10.7</v>
      </c>
      <c r="AS179" s="14">
        <v>8.0</v>
      </c>
      <c r="AT179" s="14">
        <v>0.4</v>
      </c>
      <c r="AU179" s="14">
        <v>240000.0</v>
      </c>
      <c r="AV179" s="15">
        <v>0.4</v>
      </c>
      <c r="AW179" s="19">
        <v>1.0</v>
      </c>
      <c r="AX179" s="15">
        <v>92000.0</v>
      </c>
      <c r="AY179" s="14">
        <v>0.1</v>
      </c>
      <c r="AZ179" s="14">
        <v>0.141</v>
      </c>
      <c r="BA179" s="14">
        <v>1.241</v>
      </c>
    </row>
    <row r="180" ht="14.25" customHeight="1">
      <c r="A180" s="10" t="s">
        <v>267</v>
      </c>
      <c r="B180" s="11" t="s">
        <v>53</v>
      </c>
      <c r="C180" s="11"/>
      <c r="D180" s="12"/>
      <c r="E180" s="11">
        <v>43111.0</v>
      </c>
      <c r="F180" s="12">
        <v>1.0</v>
      </c>
      <c r="G180" s="12"/>
      <c r="H180" s="13">
        <v>0.3958333333333333</v>
      </c>
      <c r="I180" s="13">
        <v>0.4791666666666667</v>
      </c>
      <c r="J180" s="12">
        <v>100.0</v>
      </c>
      <c r="K180" s="12">
        <v>0.24</v>
      </c>
      <c r="L180" s="14">
        <v>132.0</v>
      </c>
      <c r="M180" s="14">
        <v>158.0</v>
      </c>
      <c r="N180" s="14">
        <v>148.0</v>
      </c>
      <c r="O180" s="14">
        <v>163.0</v>
      </c>
      <c r="P180" s="14">
        <v>141.0</v>
      </c>
      <c r="Q180" s="14">
        <v>148.4</v>
      </c>
      <c r="R180" s="14">
        <v>8.07</v>
      </c>
      <c r="S180" s="14">
        <v>8.13</v>
      </c>
      <c r="T180" s="14">
        <v>8.28</v>
      </c>
      <c r="U180" s="14">
        <v>8.24</v>
      </c>
      <c r="V180" s="14">
        <v>8.21</v>
      </c>
      <c r="W180" s="14">
        <v>8.186000000000002</v>
      </c>
      <c r="X180" s="14">
        <v>15.4</v>
      </c>
      <c r="Y180" s="14">
        <v>14.6</v>
      </c>
      <c r="Z180" s="14">
        <v>15.3</v>
      </c>
      <c r="AA180" s="14">
        <v>15.1</v>
      </c>
      <c r="AB180" s="14">
        <v>14.9</v>
      </c>
      <c r="AC180" s="14">
        <v>15.059999999999999</v>
      </c>
      <c r="AD180" s="14">
        <v>412.0</v>
      </c>
      <c r="AE180" s="14">
        <v>436.0</v>
      </c>
      <c r="AF180" s="14">
        <v>449.0</v>
      </c>
      <c r="AG180" s="14">
        <v>473.0</v>
      </c>
      <c r="AH180" s="14">
        <v>484.0</v>
      </c>
      <c r="AI180" s="14">
        <v>450.8</v>
      </c>
      <c r="AJ180" s="14">
        <v>3.5</v>
      </c>
      <c r="AK180" s="14">
        <v>3.15</v>
      </c>
      <c r="AL180" s="14">
        <v>3.38</v>
      </c>
      <c r="AM180" s="14">
        <v>3.32</v>
      </c>
      <c r="AN180" s="14">
        <v>3.23</v>
      </c>
      <c r="AO180" s="14">
        <v>3.3160000000000003</v>
      </c>
      <c r="AP180" s="14">
        <v>21.8</v>
      </c>
      <c r="AQ180" s="14">
        <v>105.0</v>
      </c>
      <c r="AR180" s="14">
        <v>28.0</v>
      </c>
      <c r="AS180" s="14">
        <v>12.0</v>
      </c>
      <c r="AT180" s="14">
        <v>0.59</v>
      </c>
      <c r="AU180" s="14">
        <v>2400000.0</v>
      </c>
      <c r="AV180" s="15">
        <v>2.527</v>
      </c>
      <c r="AW180" s="15">
        <v>22.9</v>
      </c>
      <c r="AX180" s="15">
        <v>68000.0</v>
      </c>
      <c r="AY180" s="14">
        <v>0.822</v>
      </c>
      <c r="AZ180" s="14">
        <v>0.109</v>
      </c>
      <c r="BA180" s="14">
        <v>23.831</v>
      </c>
    </row>
    <row r="181" ht="14.25" customHeight="1">
      <c r="A181" s="10" t="s">
        <v>268</v>
      </c>
      <c r="B181" s="11" t="s">
        <v>59</v>
      </c>
      <c r="C181" s="11"/>
      <c r="D181" s="12"/>
      <c r="E181" s="11">
        <v>43111.0</v>
      </c>
      <c r="F181" s="12">
        <v>1.0</v>
      </c>
      <c r="G181" s="12"/>
      <c r="H181" s="13">
        <v>0.5</v>
      </c>
      <c r="I181" s="13">
        <v>0.5833333333333334</v>
      </c>
      <c r="J181" s="12">
        <v>120.0</v>
      </c>
      <c r="K181" s="12">
        <v>0.3</v>
      </c>
      <c r="L181" s="14">
        <v>152.0</v>
      </c>
      <c r="M181" s="14">
        <v>135.0</v>
      </c>
      <c r="N181" s="14">
        <v>140.0</v>
      </c>
      <c r="O181" s="14">
        <v>108.0</v>
      </c>
      <c r="P181" s="14">
        <v>119.0</v>
      </c>
      <c r="Q181" s="14">
        <v>130.8</v>
      </c>
      <c r="R181" s="14">
        <v>8.17</v>
      </c>
      <c r="S181" s="14">
        <v>8.22</v>
      </c>
      <c r="T181" s="14">
        <v>8.21</v>
      </c>
      <c r="U181" s="14">
        <v>8.71</v>
      </c>
      <c r="V181" s="14">
        <v>8.59</v>
      </c>
      <c r="W181" s="14">
        <v>8.38</v>
      </c>
      <c r="X181" s="14">
        <v>16.4</v>
      </c>
      <c r="Y181" s="14">
        <v>15.2</v>
      </c>
      <c r="Z181" s="14">
        <v>15.2</v>
      </c>
      <c r="AA181" s="14">
        <v>15.8</v>
      </c>
      <c r="AB181" s="14">
        <v>16.1</v>
      </c>
      <c r="AC181" s="14">
        <v>15.739999999999998</v>
      </c>
      <c r="AD181" s="14">
        <v>459.0</v>
      </c>
      <c r="AE181" s="14">
        <v>495.0</v>
      </c>
      <c r="AF181" s="14">
        <v>507.0</v>
      </c>
      <c r="AG181" s="14">
        <v>514.0</v>
      </c>
      <c r="AH181" s="14">
        <v>524.0</v>
      </c>
      <c r="AI181" s="14">
        <v>499.8</v>
      </c>
      <c r="AJ181" s="14">
        <v>3.39</v>
      </c>
      <c r="AK181" s="14">
        <v>3.57</v>
      </c>
      <c r="AL181" s="14">
        <v>3.32</v>
      </c>
      <c r="AM181" s="14">
        <v>3.44</v>
      </c>
      <c r="AN181" s="14">
        <v>3.31</v>
      </c>
      <c r="AO181" s="14">
        <v>3.4059999999999997</v>
      </c>
      <c r="AP181" s="14">
        <v>10.8</v>
      </c>
      <c r="AQ181" s="14">
        <v>90.26</v>
      </c>
      <c r="AR181" s="14">
        <v>17.07</v>
      </c>
      <c r="AS181" s="14">
        <v>11.0</v>
      </c>
      <c r="AT181" s="14">
        <v>0.59</v>
      </c>
      <c r="AU181" s="14">
        <v>1700000.0</v>
      </c>
      <c r="AV181" s="15">
        <v>2.616</v>
      </c>
      <c r="AW181" s="15">
        <v>24.2</v>
      </c>
      <c r="AX181" s="15">
        <v>49000.0</v>
      </c>
      <c r="AY181" s="14">
        <v>0.81</v>
      </c>
      <c r="AZ181" s="14">
        <v>0.153</v>
      </c>
      <c r="BA181" s="14">
        <v>25.163</v>
      </c>
    </row>
    <row r="182" ht="14.25" customHeight="1">
      <c r="A182" s="10" t="s">
        <v>269</v>
      </c>
      <c r="B182" s="11" t="s">
        <v>55</v>
      </c>
      <c r="C182" s="11"/>
      <c r="D182" s="12"/>
      <c r="E182" s="11">
        <v>43111.0</v>
      </c>
      <c r="F182" s="12">
        <v>1.0</v>
      </c>
      <c r="G182" s="12"/>
      <c r="H182" s="13">
        <v>0.625</v>
      </c>
      <c r="I182" s="13">
        <v>0.7083333333333334</v>
      </c>
      <c r="J182" s="12">
        <v>330.0</v>
      </c>
      <c r="K182" s="12">
        <v>0.18</v>
      </c>
      <c r="L182" s="14">
        <v>201.0</v>
      </c>
      <c r="M182" s="14">
        <v>289.0</v>
      </c>
      <c r="N182" s="14">
        <v>185.0</v>
      </c>
      <c r="O182" s="14">
        <v>160.0</v>
      </c>
      <c r="P182" s="14">
        <v>124.0</v>
      </c>
      <c r="Q182" s="14">
        <v>191.8</v>
      </c>
      <c r="R182" s="14">
        <v>7.97</v>
      </c>
      <c r="S182" s="14">
        <v>8.07</v>
      </c>
      <c r="T182" s="14">
        <v>7.86</v>
      </c>
      <c r="U182" s="14">
        <v>7.84</v>
      </c>
      <c r="V182" s="14">
        <v>7.8</v>
      </c>
      <c r="W182" s="14">
        <v>7.9079999999999995</v>
      </c>
      <c r="X182" s="14">
        <v>17.5</v>
      </c>
      <c r="Y182" s="14">
        <v>17.0</v>
      </c>
      <c r="Z182" s="14">
        <v>17.2</v>
      </c>
      <c r="AA182" s="14">
        <v>16.4</v>
      </c>
      <c r="AB182" s="14">
        <v>16.1</v>
      </c>
      <c r="AC182" s="14">
        <v>16.839999999999996</v>
      </c>
      <c r="AD182" s="14">
        <v>668.0</v>
      </c>
      <c r="AE182" s="14">
        <v>662.0</v>
      </c>
      <c r="AF182" s="14">
        <v>652.0</v>
      </c>
      <c r="AG182" s="14">
        <v>628.0</v>
      </c>
      <c r="AH182" s="14">
        <v>626.0</v>
      </c>
      <c r="AI182" s="14">
        <v>647.2</v>
      </c>
      <c r="AJ182" s="14">
        <v>1.23</v>
      </c>
      <c r="AK182" s="14">
        <v>1.42</v>
      </c>
      <c r="AL182" s="14">
        <v>1.31</v>
      </c>
      <c r="AM182" s="14">
        <v>1.36</v>
      </c>
      <c r="AN182" s="14">
        <v>1.25</v>
      </c>
      <c r="AO182" s="14">
        <v>1.314</v>
      </c>
      <c r="AP182" s="14">
        <v>56.4</v>
      </c>
      <c r="AQ182" s="14">
        <v>197.0</v>
      </c>
      <c r="AR182" s="14">
        <v>65.7</v>
      </c>
      <c r="AS182" s="14">
        <v>13.0</v>
      </c>
      <c r="AT182" s="14">
        <v>1.53</v>
      </c>
      <c r="AU182" s="14">
        <v>2.3E7</v>
      </c>
      <c r="AV182" s="15">
        <v>3.328</v>
      </c>
      <c r="AW182" s="15">
        <v>30.4</v>
      </c>
      <c r="AX182" s="15">
        <v>2200000.0</v>
      </c>
      <c r="AY182" s="14">
        <v>0.59</v>
      </c>
      <c r="AZ182" s="14">
        <v>0.078</v>
      </c>
      <c r="BA182" s="14">
        <v>31.067999999999998</v>
      </c>
    </row>
    <row r="183" ht="14.25" customHeight="1">
      <c r="A183" s="10" t="s">
        <v>270</v>
      </c>
      <c r="B183" s="16" t="s">
        <v>79</v>
      </c>
      <c r="C183" s="11"/>
      <c r="D183" s="12"/>
      <c r="E183" s="17">
        <v>43111.0</v>
      </c>
      <c r="F183" s="18">
        <v>1.0</v>
      </c>
      <c r="G183" s="18"/>
      <c r="H183" s="13">
        <v>0.2916666666666667</v>
      </c>
      <c r="I183" s="13">
        <v>0.375</v>
      </c>
      <c r="J183" s="18">
        <v>1.0</v>
      </c>
      <c r="K183" s="18">
        <v>0.24</v>
      </c>
      <c r="L183" s="15">
        <v>19.8</v>
      </c>
      <c r="M183" s="15">
        <v>19.9</v>
      </c>
      <c r="N183" s="15">
        <v>20.2</v>
      </c>
      <c r="O183" s="15">
        <v>19.7</v>
      </c>
      <c r="P183" s="15">
        <v>20.4</v>
      </c>
      <c r="Q183" s="15">
        <v>20.0</v>
      </c>
      <c r="R183" s="15">
        <v>7.18</v>
      </c>
      <c r="S183" s="15">
        <v>7.37</v>
      </c>
      <c r="T183" s="15">
        <v>7.38</v>
      </c>
      <c r="U183" s="15">
        <v>7.39</v>
      </c>
      <c r="V183" s="15">
        <v>7.37</v>
      </c>
      <c r="W183" s="15">
        <v>7.337999999999999</v>
      </c>
      <c r="X183" s="15">
        <v>10.6</v>
      </c>
      <c r="Y183" s="15">
        <v>10.5</v>
      </c>
      <c r="Z183" s="15">
        <v>10.7</v>
      </c>
      <c r="AA183" s="15">
        <v>10.5</v>
      </c>
      <c r="AB183" s="15">
        <v>10.6</v>
      </c>
      <c r="AC183" s="15">
        <v>10.58</v>
      </c>
      <c r="AD183" s="15">
        <v>119.8</v>
      </c>
      <c r="AE183" s="15">
        <v>124.2</v>
      </c>
      <c r="AF183" s="15">
        <v>126.7</v>
      </c>
      <c r="AG183" s="15">
        <v>138.3</v>
      </c>
      <c r="AH183" s="15">
        <v>134.3</v>
      </c>
      <c r="AI183" s="15">
        <v>128.66</v>
      </c>
      <c r="AJ183" s="15">
        <v>7.7</v>
      </c>
      <c r="AK183" s="15">
        <v>6.11</v>
      </c>
      <c r="AL183" s="15">
        <v>6.15</v>
      </c>
      <c r="AM183" s="15">
        <v>5.7</v>
      </c>
      <c r="AN183" s="15">
        <v>6.03</v>
      </c>
      <c r="AO183" s="15">
        <v>6.338</v>
      </c>
      <c r="AP183" s="15">
        <v>60.0</v>
      </c>
      <c r="AQ183" s="15">
        <v>62.8</v>
      </c>
      <c r="AR183" s="15">
        <v>39.0</v>
      </c>
      <c r="AS183" s="15">
        <v>16.0</v>
      </c>
      <c r="AT183" s="15">
        <v>0.43</v>
      </c>
      <c r="AU183" s="15">
        <v>9200000.0</v>
      </c>
      <c r="AV183" s="15">
        <v>0.942</v>
      </c>
      <c r="AW183" s="15">
        <v>7.9</v>
      </c>
      <c r="AX183" s="15">
        <v>1.3E7</v>
      </c>
      <c r="AY183" s="15">
        <v>1.045</v>
      </c>
      <c r="AZ183" s="15">
        <v>0.066</v>
      </c>
      <c r="BA183" s="15">
        <v>9.011000000000001</v>
      </c>
    </row>
    <row r="184" ht="14.25" customHeight="1">
      <c r="A184" s="10" t="s">
        <v>271</v>
      </c>
      <c r="B184" s="16" t="s">
        <v>93</v>
      </c>
      <c r="C184" s="11"/>
      <c r="D184" s="12"/>
      <c r="E184" s="11">
        <v>43111.0</v>
      </c>
      <c r="F184" s="12">
        <v>1.0</v>
      </c>
      <c r="G184" s="12"/>
      <c r="H184" s="13">
        <v>0.3958333333333333</v>
      </c>
      <c r="I184" s="13">
        <v>0.4791666666666667</v>
      </c>
      <c r="J184" s="12">
        <v>2.4</v>
      </c>
      <c r="K184" s="12">
        <v>0.29</v>
      </c>
      <c r="L184" s="14">
        <v>173.1</v>
      </c>
      <c r="M184" s="14">
        <v>176.8</v>
      </c>
      <c r="N184" s="14">
        <v>177.7</v>
      </c>
      <c r="O184" s="14">
        <v>186.7</v>
      </c>
      <c r="P184" s="14">
        <v>169.9</v>
      </c>
      <c r="Q184" s="14">
        <v>176.83999999999997</v>
      </c>
      <c r="R184" s="14">
        <v>8.25</v>
      </c>
      <c r="S184" s="14">
        <v>8.25</v>
      </c>
      <c r="T184" s="14">
        <v>8.24</v>
      </c>
      <c r="U184" s="14">
        <v>8.21</v>
      </c>
      <c r="V184" s="14">
        <v>8.19</v>
      </c>
      <c r="W184" s="14">
        <v>8.228</v>
      </c>
      <c r="X184" s="14">
        <v>14.1</v>
      </c>
      <c r="Y184" s="14">
        <v>14.3</v>
      </c>
      <c r="Z184" s="14">
        <v>14.2</v>
      </c>
      <c r="AA184" s="14">
        <v>14.5</v>
      </c>
      <c r="AB184" s="14">
        <v>14.9</v>
      </c>
      <c r="AC184" s="14">
        <v>14.4</v>
      </c>
      <c r="AD184" s="14">
        <v>566.0</v>
      </c>
      <c r="AE184" s="14">
        <v>580.0</v>
      </c>
      <c r="AF184" s="14">
        <v>576.0</v>
      </c>
      <c r="AG184" s="14">
        <v>580.0</v>
      </c>
      <c r="AH184" s="14">
        <v>588.0</v>
      </c>
      <c r="AI184" s="14">
        <v>578.0</v>
      </c>
      <c r="AJ184" s="14">
        <v>5.67</v>
      </c>
      <c r="AK184" s="14">
        <v>5.36</v>
      </c>
      <c r="AL184" s="14">
        <v>5.36</v>
      </c>
      <c r="AM184" s="14">
        <v>4.58</v>
      </c>
      <c r="AN184" s="14">
        <v>4.9</v>
      </c>
      <c r="AO184" s="14">
        <v>5.1739999999999995</v>
      </c>
      <c r="AP184" s="14">
        <v>132.0</v>
      </c>
      <c r="AQ184" s="14">
        <v>336.0</v>
      </c>
      <c r="AR184" s="14">
        <v>106.0</v>
      </c>
      <c r="AS184" s="14">
        <v>39.0</v>
      </c>
      <c r="AT184" s="14">
        <v>2.03</v>
      </c>
      <c r="AU184" s="14">
        <v>2.0E7</v>
      </c>
      <c r="AV184" s="15">
        <v>4.557</v>
      </c>
      <c r="AW184" s="15">
        <v>38.7</v>
      </c>
      <c r="AX184" s="15">
        <v>1.1E7</v>
      </c>
      <c r="AY184" s="14">
        <v>7.78</v>
      </c>
      <c r="AZ184" s="14">
        <v>0.651</v>
      </c>
      <c r="BA184" s="14">
        <v>47.131</v>
      </c>
    </row>
    <row r="185" ht="14.25" customHeight="1">
      <c r="A185" s="10" t="s">
        <v>272</v>
      </c>
      <c r="B185" s="11" t="s">
        <v>83</v>
      </c>
      <c r="C185" s="11"/>
      <c r="D185" s="12"/>
      <c r="E185" s="11">
        <v>43111.0</v>
      </c>
      <c r="F185" s="12">
        <v>1.0</v>
      </c>
      <c r="G185" s="12"/>
      <c r="H185" s="13">
        <v>0.5069444444444444</v>
      </c>
      <c r="I185" s="13">
        <v>0.5833333333333334</v>
      </c>
      <c r="J185" s="12">
        <v>3.2</v>
      </c>
      <c r="K185" s="12">
        <v>0.36</v>
      </c>
      <c r="L185" s="14">
        <v>453.9</v>
      </c>
      <c r="M185" s="14">
        <v>406.4</v>
      </c>
      <c r="N185" s="14">
        <v>409.8</v>
      </c>
      <c r="O185" s="14">
        <v>444.6</v>
      </c>
      <c r="P185" s="14">
        <v>396.1</v>
      </c>
      <c r="Q185" s="14">
        <v>422.15999999999997</v>
      </c>
      <c r="R185" s="14">
        <v>8.1</v>
      </c>
      <c r="S185" s="14">
        <v>8.13</v>
      </c>
      <c r="T185" s="14">
        <v>8.02</v>
      </c>
      <c r="U185" s="14">
        <v>8.16</v>
      </c>
      <c r="V185" s="14">
        <v>8.06</v>
      </c>
      <c r="W185" s="14">
        <v>8.094</v>
      </c>
      <c r="X185" s="14">
        <v>15.0</v>
      </c>
      <c r="Y185" s="14">
        <v>15.2</v>
      </c>
      <c r="Z185" s="14">
        <v>15.9</v>
      </c>
      <c r="AA185" s="14">
        <v>16.1</v>
      </c>
      <c r="AB185" s="14">
        <v>16.5</v>
      </c>
      <c r="AC185" s="14">
        <v>15.74</v>
      </c>
      <c r="AD185" s="14">
        <v>561.0</v>
      </c>
      <c r="AE185" s="14">
        <v>564.0</v>
      </c>
      <c r="AF185" s="14">
        <v>562.0</v>
      </c>
      <c r="AG185" s="14">
        <v>541.0</v>
      </c>
      <c r="AH185" s="14">
        <v>545.0</v>
      </c>
      <c r="AI185" s="14">
        <v>554.6</v>
      </c>
      <c r="AJ185" s="14">
        <v>4.62</v>
      </c>
      <c r="AK185" s="14">
        <v>4.07</v>
      </c>
      <c r="AL185" s="14">
        <v>4.01</v>
      </c>
      <c r="AM185" s="14">
        <v>4.17</v>
      </c>
      <c r="AN185" s="14">
        <v>5.01</v>
      </c>
      <c r="AO185" s="14">
        <v>4.376</v>
      </c>
      <c r="AP185" s="14">
        <v>97.0</v>
      </c>
      <c r="AQ185" s="14">
        <v>260.0</v>
      </c>
      <c r="AR185" s="14">
        <v>87.5</v>
      </c>
      <c r="AS185" s="14">
        <v>44.0</v>
      </c>
      <c r="AT185" s="14">
        <v>2.92</v>
      </c>
      <c r="AU185" s="14">
        <v>2.4E7</v>
      </c>
      <c r="AV185" s="15">
        <v>3.198</v>
      </c>
      <c r="AW185" s="15">
        <v>31.3</v>
      </c>
      <c r="AX185" s="15">
        <v>1.4E7</v>
      </c>
      <c r="AY185" s="14">
        <v>0.614</v>
      </c>
      <c r="AZ185" s="14">
        <v>0.006</v>
      </c>
      <c r="BA185" s="14">
        <v>31.92</v>
      </c>
    </row>
    <row r="186" ht="14.25" customHeight="1">
      <c r="A186" s="10" t="s">
        <v>273</v>
      </c>
      <c r="B186" s="11" t="s">
        <v>61</v>
      </c>
      <c r="C186" s="11"/>
      <c r="D186" s="12"/>
      <c r="E186" s="11">
        <v>43111.0</v>
      </c>
      <c r="F186" s="12">
        <v>1.0</v>
      </c>
      <c r="G186" s="12"/>
      <c r="H186" s="13">
        <v>0.6041666666666666</v>
      </c>
      <c r="I186" s="13">
        <v>0.6875</v>
      </c>
      <c r="J186" s="12">
        <v>12.0</v>
      </c>
      <c r="K186" s="12">
        <v>0.09</v>
      </c>
      <c r="L186" s="14">
        <v>445.4</v>
      </c>
      <c r="M186" s="14">
        <v>479.4</v>
      </c>
      <c r="N186" s="14">
        <v>434.0</v>
      </c>
      <c r="O186" s="14">
        <v>356.8</v>
      </c>
      <c r="P186" s="14">
        <v>374.7</v>
      </c>
      <c r="Q186" s="14">
        <v>418.05999999999995</v>
      </c>
      <c r="R186" s="14">
        <v>7.82</v>
      </c>
      <c r="S186" s="14">
        <v>7.97</v>
      </c>
      <c r="T186" s="14">
        <v>7.85</v>
      </c>
      <c r="U186" s="14">
        <v>7.86</v>
      </c>
      <c r="V186" s="14">
        <v>7.72</v>
      </c>
      <c r="W186" s="14">
        <v>7.843999999999999</v>
      </c>
      <c r="X186" s="14">
        <v>19.6</v>
      </c>
      <c r="Y186" s="14">
        <v>19.3</v>
      </c>
      <c r="Z186" s="14">
        <v>19.4</v>
      </c>
      <c r="AA186" s="14">
        <v>19.0</v>
      </c>
      <c r="AB186" s="14">
        <v>19.2</v>
      </c>
      <c r="AC186" s="14">
        <v>19.300000000000004</v>
      </c>
      <c r="AD186" s="14">
        <v>604.0</v>
      </c>
      <c r="AE186" s="14">
        <v>580.0</v>
      </c>
      <c r="AF186" s="14">
        <v>579.0</v>
      </c>
      <c r="AG186" s="14">
        <v>577.0</v>
      </c>
      <c r="AH186" s="14">
        <v>576.0</v>
      </c>
      <c r="AI186" s="14">
        <v>583.2</v>
      </c>
      <c r="AJ186" s="14">
        <v>1.39</v>
      </c>
      <c r="AK186" s="14">
        <v>2.43</v>
      </c>
      <c r="AL186" s="14">
        <v>2.53</v>
      </c>
      <c r="AM186" s="14">
        <v>2.13</v>
      </c>
      <c r="AN186" s="14">
        <v>2.05</v>
      </c>
      <c r="AO186" s="14">
        <v>2.1060000000000003</v>
      </c>
      <c r="AP186" s="14">
        <v>99.0</v>
      </c>
      <c r="AQ186" s="14">
        <v>300.0</v>
      </c>
      <c r="AR186" s="14">
        <v>87.5</v>
      </c>
      <c r="AS186" s="14">
        <v>43.0</v>
      </c>
      <c r="AT186" s="14">
        <v>3.06</v>
      </c>
      <c r="AU186" s="14">
        <v>1.7E7</v>
      </c>
      <c r="AV186" s="15">
        <v>2.929</v>
      </c>
      <c r="AW186" s="15">
        <v>29.3</v>
      </c>
      <c r="AX186" s="15">
        <v>13000.0</v>
      </c>
      <c r="AY186" s="14">
        <v>0.666</v>
      </c>
      <c r="AZ186" s="14">
        <v>0.026</v>
      </c>
      <c r="BA186" s="14">
        <v>29.992</v>
      </c>
    </row>
    <row r="187" ht="14.25" customHeight="1">
      <c r="A187" s="10" t="s">
        <v>274</v>
      </c>
      <c r="B187" s="11" t="s">
        <v>133</v>
      </c>
      <c r="C187" s="11"/>
      <c r="D187" s="12"/>
      <c r="E187" s="11">
        <v>43112.0</v>
      </c>
      <c r="F187" s="12">
        <v>1.0</v>
      </c>
      <c r="G187" s="12"/>
      <c r="H187" s="13">
        <v>0.2916666666666667</v>
      </c>
      <c r="I187" s="13">
        <v>0.375</v>
      </c>
      <c r="J187" s="12">
        <v>1.5</v>
      </c>
      <c r="K187" s="12">
        <v>0.29</v>
      </c>
      <c r="L187" s="14">
        <v>323.0</v>
      </c>
      <c r="M187" s="14">
        <v>358.0</v>
      </c>
      <c r="N187" s="14">
        <v>332.0</v>
      </c>
      <c r="O187" s="14">
        <v>413.0</v>
      </c>
      <c r="P187" s="14">
        <v>339.0</v>
      </c>
      <c r="Q187" s="14">
        <v>353.0</v>
      </c>
      <c r="R187" s="14">
        <v>6.52</v>
      </c>
      <c r="S187" s="14">
        <v>6.62</v>
      </c>
      <c r="T187" s="14">
        <v>6.53</v>
      </c>
      <c r="U187" s="14">
        <v>6.7</v>
      </c>
      <c r="V187" s="14">
        <v>6.55</v>
      </c>
      <c r="W187" s="14">
        <v>6.5840000000000005</v>
      </c>
      <c r="X187" s="14">
        <v>10.6</v>
      </c>
      <c r="Y187" s="14">
        <v>10.6</v>
      </c>
      <c r="Z187" s="14">
        <v>10.6</v>
      </c>
      <c r="AA187" s="14">
        <v>10.6</v>
      </c>
      <c r="AB187" s="14">
        <v>10.7</v>
      </c>
      <c r="AC187" s="14">
        <v>10.62</v>
      </c>
      <c r="AD187" s="14">
        <v>48.0</v>
      </c>
      <c r="AE187" s="14">
        <v>47.9</v>
      </c>
      <c r="AF187" s="14">
        <v>48.0</v>
      </c>
      <c r="AG187" s="14">
        <v>47.7</v>
      </c>
      <c r="AH187" s="14">
        <v>47.8</v>
      </c>
      <c r="AI187" s="14">
        <v>47.88000000000001</v>
      </c>
      <c r="AJ187" s="14">
        <v>7.04</v>
      </c>
      <c r="AK187" s="14">
        <v>6.78</v>
      </c>
      <c r="AL187" s="14">
        <v>6.49</v>
      </c>
      <c r="AM187" s="14">
        <v>6.33</v>
      </c>
      <c r="AN187" s="14">
        <v>6.26</v>
      </c>
      <c r="AO187" s="14">
        <v>6.58</v>
      </c>
      <c r="AP187" s="14">
        <v>3.2</v>
      </c>
      <c r="AQ187" s="14">
        <v>52.2</v>
      </c>
      <c r="AR187" s="14">
        <v>4.0</v>
      </c>
      <c r="AS187" s="14">
        <v>9.0</v>
      </c>
      <c r="AT187" s="14">
        <v>0.4</v>
      </c>
      <c r="AU187" s="14">
        <v>3900.0</v>
      </c>
      <c r="AV187" s="15">
        <v>0.073</v>
      </c>
      <c r="AW187" s="15">
        <v>16.0</v>
      </c>
      <c r="AX187" s="15">
        <v>540.0</v>
      </c>
      <c r="AY187" s="14">
        <v>0.922</v>
      </c>
      <c r="AZ187" s="14">
        <v>0.005</v>
      </c>
      <c r="BA187" s="14">
        <v>16.927</v>
      </c>
    </row>
    <row r="188" ht="14.25" customHeight="1">
      <c r="A188" s="10" t="s">
        <v>275</v>
      </c>
      <c r="B188" s="11" t="s">
        <v>131</v>
      </c>
      <c r="C188" s="11"/>
      <c r="D188" s="12"/>
      <c r="E188" s="11">
        <v>43112.0</v>
      </c>
      <c r="F188" s="12">
        <v>1.0</v>
      </c>
      <c r="G188" s="12"/>
      <c r="H188" s="13">
        <v>0.3854166666666667</v>
      </c>
      <c r="I188" s="13">
        <v>0.46875</v>
      </c>
      <c r="J188" s="12">
        <v>3.0</v>
      </c>
      <c r="K188" s="12">
        <v>0.48</v>
      </c>
      <c r="L188" s="14">
        <v>181.0</v>
      </c>
      <c r="M188" s="14">
        <v>204.0</v>
      </c>
      <c r="N188" s="14">
        <v>203.0</v>
      </c>
      <c r="O188" s="14">
        <v>222.0</v>
      </c>
      <c r="P188" s="14">
        <v>232.0</v>
      </c>
      <c r="Q188" s="14">
        <v>208.4</v>
      </c>
      <c r="R188" s="14">
        <v>6.6</v>
      </c>
      <c r="S188" s="14">
        <v>6.35</v>
      </c>
      <c r="T188" s="14">
        <v>7.09</v>
      </c>
      <c r="U188" s="14">
        <v>6.53</v>
      </c>
      <c r="V188" s="14">
        <v>6.46</v>
      </c>
      <c r="W188" s="14">
        <v>6.606</v>
      </c>
      <c r="X188" s="14">
        <v>12.0</v>
      </c>
      <c r="Y188" s="14">
        <v>12.1</v>
      </c>
      <c r="Z188" s="14">
        <v>12.4</v>
      </c>
      <c r="AA188" s="14">
        <v>12.2</v>
      </c>
      <c r="AB188" s="14">
        <v>12.5</v>
      </c>
      <c r="AC188" s="14">
        <v>12.24</v>
      </c>
      <c r="AD188" s="14">
        <v>114.1</v>
      </c>
      <c r="AE188" s="14">
        <v>118.1</v>
      </c>
      <c r="AF188" s="14">
        <v>172.2</v>
      </c>
      <c r="AG188" s="14">
        <v>118.7</v>
      </c>
      <c r="AH188" s="14">
        <v>123.4</v>
      </c>
      <c r="AI188" s="14">
        <v>129.3</v>
      </c>
      <c r="AJ188" s="14">
        <v>5.51</v>
      </c>
      <c r="AK188" s="14">
        <v>5.98</v>
      </c>
      <c r="AL188" s="14">
        <v>5.09</v>
      </c>
      <c r="AM188" s="14">
        <v>5.39</v>
      </c>
      <c r="AN188" s="14">
        <v>5.8</v>
      </c>
      <c r="AO188" s="14">
        <v>5.554</v>
      </c>
      <c r="AP188" s="14">
        <v>10.3</v>
      </c>
      <c r="AQ188" s="14">
        <v>19.2</v>
      </c>
      <c r="AR188" s="14">
        <v>4.0</v>
      </c>
      <c r="AS188" s="14">
        <v>6.0</v>
      </c>
      <c r="AT188" s="14">
        <v>0.4</v>
      </c>
      <c r="AU188" s="14">
        <v>880000.0</v>
      </c>
      <c r="AV188" s="15">
        <v>0.377</v>
      </c>
      <c r="AW188" s="15">
        <v>3.1</v>
      </c>
      <c r="AX188" s="15">
        <v>130000.0</v>
      </c>
      <c r="AY188" s="14">
        <v>1.468</v>
      </c>
      <c r="AZ188" s="14">
        <v>0.109</v>
      </c>
      <c r="BA188" s="14">
        <v>4.677</v>
      </c>
    </row>
    <row r="189" ht="14.25" customHeight="1">
      <c r="A189" s="10" t="s">
        <v>276</v>
      </c>
      <c r="B189" s="11" t="s">
        <v>135</v>
      </c>
      <c r="C189" s="11"/>
      <c r="D189" s="12"/>
      <c r="E189" s="11">
        <v>43112.0</v>
      </c>
      <c r="F189" s="12">
        <v>1.0</v>
      </c>
      <c r="G189" s="12"/>
      <c r="H189" s="13">
        <v>0.4791666666666667</v>
      </c>
      <c r="I189" s="13">
        <v>0.5625</v>
      </c>
      <c r="J189" s="12">
        <v>2.2</v>
      </c>
      <c r="K189" s="12">
        <v>0.4</v>
      </c>
      <c r="L189" s="14">
        <v>280.0</v>
      </c>
      <c r="M189" s="14">
        <v>248.0</v>
      </c>
      <c r="N189" s="14">
        <v>321.0</v>
      </c>
      <c r="O189" s="14">
        <v>324.0</v>
      </c>
      <c r="P189" s="14">
        <v>392.0</v>
      </c>
      <c r="Q189" s="14">
        <v>313.0</v>
      </c>
      <c r="R189" s="14">
        <v>7.85</v>
      </c>
      <c r="S189" s="14">
        <v>7.73</v>
      </c>
      <c r="T189" s="14">
        <v>8.23</v>
      </c>
      <c r="U189" s="14">
        <v>8.18</v>
      </c>
      <c r="V189" s="14">
        <v>8.07</v>
      </c>
      <c r="W189" s="14">
        <v>8.012</v>
      </c>
      <c r="X189" s="14">
        <v>14.8</v>
      </c>
      <c r="Y189" s="14">
        <v>14.9</v>
      </c>
      <c r="Z189" s="14">
        <v>15.2</v>
      </c>
      <c r="AA189" s="14">
        <v>15.5</v>
      </c>
      <c r="AB189" s="14">
        <v>15.6</v>
      </c>
      <c r="AC189" s="14">
        <v>15.2</v>
      </c>
      <c r="AD189" s="14">
        <v>355.0</v>
      </c>
      <c r="AE189" s="14">
        <v>356.0</v>
      </c>
      <c r="AF189" s="14">
        <v>357.0</v>
      </c>
      <c r="AG189" s="14">
        <v>359.0</v>
      </c>
      <c r="AH189" s="14">
        <v>365.0</v>
      </c>
      <c r="AI189" s="14">
        <v>358.4</v>
      </c>
      <c r="AJ189" s="14">
        <v>4.16</v>
      </c>
      <c r="AK189" s="14">
        <v>4.2</v>
      </c>
      <c r="AL189" s="14">
        <v>4.63</v>
      </c>
      <c r="AM189" s="14">
        <v>4.68</v>
      </c>
      <c r="AN189" s="14">
        <v>4.26</v>
      </c>
      <c r="AO189" s="14">
        <v>4.386</v>
      </c>
      <c r="AP189" s="14">
        <v>30.2</v>
      </c>
      <c r="AQ189" s="14">
        <v>173.0</v>
      </c>
      <c r="AR189" s="14">
        <v>27.1</v>
      </c>
      <c r="AS189" s="14">
        <v>16.0</v>
      </c>
      <c r="AT189" s="14">
        <v>1.18</v>
      </c>
      <c r="AU189" s="14">
        <v>4800000.0</v>
      </c>
      <c r="AV189" s="15">
        <v>2.25</v>
      </c>
      <c r="AW189" s="15">
        <v>19.5</v>
      </c>
      <c r="AX189" s="15">
        <v>540000.0</v>
      </c>
      <c r="AY189" s="14">
        <v>0.921</v>
      </c>
      <c r="AZ189" s="14">
        <v>0.179</v>
      </c>
      <c r="BA189" s="14">
        <v>20.6</v>
      </c>
    </row>
    <row r="190" ht="14.25" customHeight="1">
      <c r="A190" s="10" t="s">
        <v>277</v>
      </c>
      <c r="B190" s="11" t="s">
        <v>126</v>
      </c>
      <c r="C190" s="11"/>
      <c r="D190" s="12"/>
      <c r="E190" s="11">
        <v>43112.0</v>
      </c>
      <c r="F190" s="12">
        <v>1.0</v>
      </c>
      <c r="G190" s="12"/>
      <c r="H190" s="13">
        <v>0.25</v>
      </c>
      <c r="I190" s="13">
        <v>0.3333333333333333</v>
      </c>
      <c r="J190" s="12"/>
      <c r="K190" s="12"/>
      <c r="L190" s="14">
        <v>5.3</v>
      </c>
      <c r="M190" s="14">
        <v>7.06</v>
      </c>
      <c r="N190" s="14">
        <v>5.71</v>
      </c>
      <c r="O190" s="14">
        <v>6.76</v>
      </c>
      <c r="P190" s="14">
        <v>5.22</v>
      </c>
      <c r="Q190" s="14">
        <v>6.01</v>
      </c>
      <c r="R190" s="14">
        <v>7.78</v>
      </c>
      <c r="S190" s="14">
        <v>7.81</v>
      </c>
      <c r="T190" s="14">
        <v>7.89</v>
      </c>
      <c r="U190" s="14">
        <v>7.96</v>
      </c>
      <c r="V190" s="14">
        <v>7.99</v>
      </c>
      <c r="W190" s="14">
        <v>7.886</v>
      </c>
      <c r="X190" s="14">
        <v>13.2</v>
      </c>
      <c r="Y190" s="14">
        <v>13.1</v>
      </c>
      <c r="Z190" s="14">
        <v>13.4</v>
      </c>
      <c r="AA190" s="14">
        <v>13.4</v>
      </c>
      <c r="AB190" s="14">
        <v>13.5</v>
      </c>
      <c r="AC190" s="14">
        <v>13.319999999999999</v>
      </c>
      <c r="AD190" s="14">
        <v>472.0</v>
      </c>
      <c r="AE190" s="14">
        <v>471.0</v>
      </c>
      <c r="AF190" s="14">
        <v>469.0</v>
      </c>
      <c r="AG190" s="14">
        <v>476.0</v>
      </c>
      <c r="AH190" s="14">
        <v>473.0</v>
      </c>
      <c r="AI190" s="14">
        <v>472.2</v>
      </c>
      <c r="AJ190" s="14">
        <v>6.3</v>
      </c>
      <c r="AK190" s="14">
        <v>7.24</v>
      </c>
      <c r="AL190" s="14">
        <v>7.82</v>
      </c>
      <c r="AM190" s="14">
        <v>6.86</v>
      </c>
      <c r="AN190" s="14">
        <v>6.08</v>
      </c>
      <c r="AO190" s="14">
        <v>6.859999999999999</v>
      </c>
      <c r="AP190" s="14">
        <v>13.2</v>
      </c>
      <c r="AQ190" s="14">
        <v>55.4</v>
      </c>
      <c r="AR190" s="14">
        <v>82.0</v>
      </c>
      <c r="AS190" s="14">
        <v>9.0</v>
      </c>
      <c r="AT190" s="14">
        <v>0.4</v>
      </c>
      <c r="AU190" s="14">
        <v>28000.0</v>
      </c>
      <c r="AV190" s="15">
        <v>0.704</v>
      </c>
      <c r="AW190" s="15">
        <v>6.4</v>
      </c>
      <c r="AX190" s="15">
        <v>21000.0</v>
      </c>
      <c r="AY190" s="14">
        <v>5.095</v>
      </c>
      <c r="AZ190" s="14">
        <v>0.162</v>
      </c>
      <c r="BA190" s="14">
        <v>11.657</v>
      </c>
    </row>
    <row r="191" ht="14.25" customHeight="1">
      <c r="A191" s="10" t="s">
        <v>278</v>
      </c>
      <c r="B191" s="11" t="s">
        <v>104</v>
      </c>
      <c r="C191" s="11"/>
      <c r="D191" s="12"/>
      <c r="E191" s="11">
        <v>43112.0</v>
      </c>
      <c r="F191" s="12">
        <v>1.0</v>
      </c>
      <c r="G191" s="12"/>
      <c r="H191" s="13">
        <v>0.3541666666666667</v>
      </c>
      <c r="I191" s="13">
        <v>0.4375</v>
      </c>
      <c r="J191" s="12">
        <v>0.8</v>
      </c>
      <c r="K191" s="12">
        <v>0.15</v>
      </c>
      <c r="L191" s="14">
        <v>14.2</v>
      </c>
      <c r="M191" s="14">
        <v>17.4</v>
      </c>
      <c r="N191" s="14">
        <v>5.8</v>
      </c>
      <c r="O191" s="14">
        <v>7.7</v>
      </c>
      <c r="P191" s="14">
        <v>10.3</v>
      </c>
      <c r="Q191" s="14">
        <v>11.080000000000002</v>
      </c>
      <c r="R191" s="14">
        <v>10.59</v>
      </c>
      <c r="S191" s="14">
        <v>9.68</v>
      </c>
      <c r="T191" s="14">
        <v>9.47</v>
      </c>
      <c r="U191" s="14">
        <v>11.84</v>
      </c>
      <c r="V191" s="14">
        <v>11.73</v>
      </c>
      <c r="W191" s="14">
        <v>10.662</v>
      </c>
      <c r="X191" s="14">
        <v>14.4</v>
      </c>
      <c r="Y191" s="14">
        <v>14.2</v>
      </c>
      <c r="Z191" s="14">
        <v>14.5</v>
      </c>
      <c r="AA191" s="14">
        <v>14.8</v>
      </c>
      <c r="AB191" s="14">
        <v>19.2</v>
      </c>
      <c r="AC191" s="14">
        <v>15.420000000000002</v>
      </c>
      <c r="AD191" s="14">
        <v>513.0</v>
      </c>
      <c r="AE191" s="14">
        <v>519.0</v>
      </c>
      <c r="AF191" s="14">
        <v>501.0</v>
      </c>
      <c r="AG191" s="14">
        <v>1398.0</v>
      </c>
      <c r="AH191" s="14">
        <v>1404.0</v>
      </c>
      <c r="AI191" s="14">
        <v>867.0</v>
      </c>
      <c r="AJ191" s="14">
        <v>6.0</v>
      </c>
      <c r="AK191" s="14">
        <v>6.35</v>
      </c>
      <c r="AL191" s="14">
        <v>7.49</v>
      </c>
      <c r="AM191" s="14">
        <v>6.8</v>
      </c>
      <c r="AN191" s="14">
        <v>7.16</v>
      </c>
      <c r="AO191" s="14">
        <v>6.76</v>
      </c>
      <c r="AP191" s="14">
        <v>35.0</v>
      </c>
      <c r="AQ191" s="14">
        <v>91.33</v>
      </c>
      <c r="AR191" s="14">
        <v>465.0</v>
      </c>
      <c r="AS191" s="14">
        <v>17.0</v>
      </c>
      <c r="AT191" s="14">
        <v>0.9</v>
      </c>
      <c r="AU191" s="14">
        <v>8200000.0</v>
      </c>
      <c r="AV191" s="15">
        <v>1.146</v>
      </c>
      <c r="AW191" s="15">
        <v>11.2</v>
      </c>
      <c r="AX191" s="15">
        <v>240000.0</v>
      </c>
      <c r="AY191" s="14">
        <v>4.693</v>
      </c>
      <c r="AZ191" s="14">
        <v>0.479</v>
      </c>
      <c r="BA191" s="14">
        <v>16.372</v>
      </c>
    </row>
    <row r="192" ht="14.25" customHeight="1">
      <c r="A192" s="10" t="s">
        <v>279</v>
      </c>
      <c r="B192" s="11" t="s">
        <v>106</v>
      </c>
      <c r="C192" s="11"/>
      <c r="D192" s="12"/>
      <c r="E192" s="11">
        <v>43112.0</v>
      </c>
      <c r="F192" s="12">
        <v>1.0</v>
      </c>
      <c r="G192" s="12"/>
      <c r="H192" s="13">
        <v>0.4479166666666667</v>
      </c>
      <c r="I192" s="13">
        <v>0.53125</v>
      </c>
      <c r="J192" s="12">
        <v>0.8</v>
      </c>
      <c r="K192" s="12">
        <v>0.14</v>
      </c>
      <c r="L192" s="14">
        <v>49.6</v>
      </c>
      <c r="M192" s="14">
        <v>58.9</v>
      </c>
      <c r="N192" s="14">
        <v>49.1</v>
      </c>
      <c r="O192" s="14">
        <v>47.0</v>
      </c>
      <c r="P192" s="14">
        <v>53.8</v>
      </c>
      <c r="Q192" s="14">
        <v>51.67999999999999</v>
      </c>
      <c r="R192" s="14">
        <v>9.31</v>
      </c>
      <c r="S192" s="14">
        <v>9.06</v>
      </c>
      <c r="T192" s="14">
        <v>9.51</v>
      </c>
      <c r="U192" s="14">
        <v>9.65</v>
      </c>
      <c r="V192" s="14">
        <v>9.23</v>
      </c>
      <c r="W192" s="14">
        <v>9.352</v>
      </c>
      <c r="X192" s="14">
        <v>16.0</v>
      </c>
      <c r="Y192" s="14">
        <v>16.2</v>
      </c>
      <c r="Z192" s="14">
        <v>17.5</v>
      </c>
      <c r="AA192" s="14">
        <v>16.8</v>
      </c>
      <c r="AB192" s="14">
        <v>17.3</v>
      </c>
      <c r="AC192" s="14">
        <v>16.759999999999998</v>
      </c>
      <c r="AD192" s="14">
        <v>697.0</v>
      </c>
      <c r="AE192" s="14">
        <v>668.0</v>
      </c>
      <c r="AF192" s="14">
        <v>606.0</v>
      </c>
      <c r="AG192" s="14">
        <v>585.0</v>
      </c>
      <c r="AH192" s="14">
        <v>636.0</v>
      </c>
      <c r="AI192" s="14">
        <v>638.4</v>
      </c>
      <c r="AJ192" s="14">
        <v>4.76</v>
      </c>
      <c r="AK192" s="14">
        <v>4.9</v>
      </c>
      <c r="AL192" s="14">
        <v>5.38</v>
      </c>
      <c r="AM192" s="14">
        <v>4.64</v>
      </c>
      <c r="AN192" s="14">
        <v>4.8</v>
      </c>
      <c r="AO192" s="14">
        <v>4.896</v>
      </c>
      <c r="AP192" s="14">
        <v>180.0</v>
      </c>
      <c r="AQ192" s="14">
        <v>379.0</v>
      </c>
      <c r="AR192" s="14">
        <v>330.0</v>
      </c>
      <c r="AS192" s="14">
        <v>31.0</v>
      </c>
      <c r="AT192" s="14">
        <v>2.01</v>
      </c>
      <c r="AU192" s="14">
        <v>2.5E7</v>
      </c>
      <c r="AV192" s="15">
        <v>3.27</v>
      </c>
      <c r="AW192" s="15">
        <v>30.6</v>
      </c>
      <c r="AX192" s="15">
        <v>2400000.0</v>
      </c>
      <c r="AY192" s="14">
        <v>2.097</v>
      </c>
      <c r="AZ192" s="14">
        <v>0.52</v>
      </c>
      <c r="BA192" s="14">
        <v>33.217</v>
      </c>
    </row>
    <row r="193" ht="14.25" customHeight="1">
      <c r="A193" s="10" t="s">
        <v>280</v>
      </c>
      <c r="B193" s="11" t="s">
        <v>129</v>
      </c>
      <c r="C193" s="11"/>
      <c r="D193" s="12"/>
      <c r="E193" s="11">
        <v>43115.0</v>
      </c>
      <c r="F193" s="12">
        <v>1.0</v>
      </c>
      <c r="G193" s="12"/>
      <c r="H193" s="13">
        <v>0.3229166666666667</v>
      </c>
      <c r="I193" s="13">
        <v>0.40625</v>
      </c>
      <c r="J193" s="12">
        <v>5.0</v>
      </c>
      <c r="K193" s="12">
        <v>0.13</v>
      </c>
      <c r="L193" s="14">
        <v>257.4</v>
      </c>
      <c r="M193" s="14">
        <v>271.6</v>
      </c>
      <c r="N193" s="14">
        <v>272.7</v>
      </c>
      <c r="O193" s="14">
        <v>264.1</v>
      </c>
      <c r="P193" s="14">
        <v>281.3</v>
      </c>
      <c r="Q193" s="14">
        <v>269.42</v>
      </c>
      <c r="R193" s="14">
        <v>7.46</v>
      </c>
      <c r="S193" s="14">
        <v>7.27</v>
      </c>
      <c r="T193" s="14">
        <v>7.56</v>
      </c>
      <c r="U193" s="14">
        <v>7.61</v>
      </c>
      <c r="V193" s="14">
        <v>7.53</v>
      </c>
      <c r="W193" s="14">
        <v>7.486</v>
      </c>
      <c r="X193" s="14">
        <v>15.2</v>
      </c>
      <c r="Y193" s="14">
        <v>15.4</v>
      </c>
      <c r="Z193" s="14">
        <v>16.2</v>
      </c>
      <c r="AA193" s="14">
        <v>16.2</v>
      </c>
      <c r="AB193" s="14">
        <v>16.5</v>
      </c>
      <c r="AC193" s="14">
        <v>15.9</v>
      </c>
      <c r="AD193" s="14">
        <v>293.0</v>
      </c>
      <c r="AE193" s="14">
        <v>288.0</v>
      </c>
      <c r="AF193" s="14">
        <v>318.0</v>
      </c>
      <c r="AG193" s="14">
        <v>329.0</v>
      </c>
      <c r="AH193" s="14">
        <v>331.0</v>
      </c>
      <c r="AI193" s="14">
        <v>311.8</v>
      </c>
      <c r="AJ193" s="14">
        <v>4.23</v>
      </c>
      <c r="AK193" s="14">
        <v>4.28</v>
      </c>
      <c r="AL193" s="14">
        <v>4.21</v>
      </c>
      <c r="AM193" s="14">
        <v>4.11</v>
      </c>
      <c r="AN193" s="14">
        <v>4.18</v>
      </c>
      <c r="AO193" s="14">
        <v>4.202</v>
      </c>
      <c r="AP193" s="14">
        <v>44.6</v>
      </c>
      <c r="AQ193" s="14">
        <v>139.0</v>
      </c>
      <c r="AR193" s="14">
        <v>40.0</v>
      </c>
      <c r="AS193" s="14">
        <v>17.0</v>
      </c>
      <c r="AT193" s="14">
        <v>0.4</v>
      </c>
      <c r="AU193" s="14">
        <v>2.4E7</v>
      </c>
      <c r="AV193" s="15">
        <v>1.568</v>
      </c>
      <c r="AW193" s="15">
        <v>15.8</v>
      </c>
      <c r="AX193" s="15">
        <v>450000.0</v>
      </c>
      <c r="AY193" s="14">
        <v>1.952</v>
      </c>
      <c r="AZ193" s="14">
        <v>0.407</v>
      </c>
      <c r="BA193" s="14">
        <v>18.159</v>
      </c>
    </row>
    <row r="194" ht="14.25" customHeight="1">
      <c r="A194" s="10" t="s">
        <v>281</v>
      </c>
      <c r="B194" s="11" t="s">
        <v>74</v>
      </c>
      <c r="C194" s="11"/>
      <c r="D194" s="12"/>
      <c r="E194" s="11">
        <v>43116.0</v>
      </c>
      <c r="F194" s="12">
        <v>1.0</v>
      </c>
      <c r="G194" s="12"/>
      <c r="H194" s="13">
        <v>0.25</v>
      </c>
      <c r="I194" s="13">
        <v>0.3333333333333333</v>
      </c>
      <c r="J194" s="12"/>
      <c r="K194" s="12"/>
      <c r="L194" s="14">
        <v>6.66</v>
      </c>
      <c r="M194" s="14">
        <v>5.85</v>
      </c>
      <c r="N194" s="14">
        <v>6.17</v>
      </c>
      <c r="O194" s="14">
        <v>5.95</v>
      </c>
      <c r="P194" s="14">
        <v>5.55</v>
      </c>
      <c r="Q194" s="14">
        <v>6.036</v>
      </c>
      <c r="R194" s="14">
        <v>7.32</v>
      </c>
      <c r="S194" s="14">
        <v>7.69</v>
      </c>
      <c r="T194" s="14">
        <v>7.85</v>
      </c>
      <c r="U194" s="14">
        <v>6.92</v>
      </c>
      <c r="V194" s="14">
        <v>6.7</v>
      </c>
      <c r="W194" s="14">
        <v>7.296000000000001</v>
      </c>
      <c r="X194" s="14">
        <v>10.8</v>
      </c>
      <c r="Y194" s="14">
        <v>10.6</v>
      </c>
      <c r="Z194" s="14">
        <v>10.8</v>
      </c>
      <c r="AA194" s="14">
        <v>11.2</v>
      </c>
      <c r="AB194" s="14">
        <v>10.8</v>
      </c>
      <c r="AC194" s="14">
        <v>10.84</v>
      </c>
      <c r="AD194" s="14">
        <v>219.0</v>
      </c>
      <c r="AE194" s="14">
        <v>220.0</v>
      </c>
      <c r="AF194" s="14">
        <v>221.0</v>
      </c>
      <c r="AG194" s="14">
        <v>225.0</v>
      </c>
      <c r="AH194" s="14">
        <v>228.0</v>
      </c>
      <c r="AI194" s="14">
        <v>222.6</v>
      </c>
      <c r="AJ194" s="14">
        <v>6.39</v>
      </c>
      <c r="AK194" s="14">
        <v>6.35</v>
      </c>
      <c r="AL194" s="14">
        <v>7.19</v>
      </c>
      <c r="AM194" s="14">
        <v>6.87</v>
      </c>
      <c r="AN194" s="14">
        <v>7.07</v>
      </c>
      <c r="AO194" s="14">
        <v>6.774000000000001</v>
      </c>
      <c r="AP194" s="14">
        <v>2.0</v>
      </c>
      <c r="AQ194" s="14">
        <v>15.5</v>
      </c>
      <c r="AR194" s="14">
        <v>4.5</v>
      </c>
      <c r="AS194" s="14">
        <v>6.0</v>
      </c>
      <c r="AT194" s="14">
        <v>0.4</v>
      </c>
      <c r="AU194" s="14">
        <v>24000.0</v>
      </c>
      <c r="AV194" s="19">
        <v>0.06</v>
      </c>
      <c r="AW194" s="15">
        <v>1.1</v>
      </c>
      <c r="AX194" s="15">
        <v>16000.0</v>
      </c>
      <c r="AY194" s="14">
        <v>0.1</v>
      </c>
      <c r="AZ194" s="14">
        <v>0.122</v>
      </c>
      <c r="BA194" s="14">
        <v>1.322</v>
      </c>
    </row>
    <row r="195" ht="14.25" customHeight="1">
      <c r="A195" s="10" t="s">
        <v>282</v>
      </c>
      <c r="B195" s="11" t="s">
        <v>102</v>
      </c>
      <c r="C195" s="11"/>
      <c r="D195" s="12"/>
      <c r="E195" s="11">
        <v>43116.0</v>
      </c>
      <c r="F195" s="12">
        <v>1.0</v>
      </c>
      <c r="G195" s="12"/>
      <c r="H195" s="13">
        <v>0.3541666666666667</v>
      </c>
      <c r="I195" s="13">
        <v>0.4375</v>
      </c>
      <c r="J195" s="23">
        <v>1.0</v>
      </c>
      <c r="K195" s="24">
        <v>0.07</v>
      </c>
      <c r="L195" s="14">
        <v>33.6</v>
      </c>
      <c r="M195" s="14">
        <v>36.0</v>
      </c>
      <c r="N195" s="14">
        <v>39.6</v>
      </c>
      <c r="O195" s="14">
        <v>35.6</v>
      </c>
      <c r="P195" s="14">
        <v>38.5</v>
      </c>
      <c r="Q195" s="14">
        <v>36.66</v>
      </c>
      <c r="R195" s="14">
        <v>7.91</v>
      </c>
      <c r="S195" s="14">
        <v>7.73</v>
      </c>
      <c r="T195" s="14">
        <v>7.57</v>
      </c>
      <c r="U195" s="14">
        <v>7.82</v>
      </c>
      <c r="V195" s="14">
        <v>7.78</v>
      </c>
      <c r="W195" s="14">
        <v>7.7620000000000005</v>
      </c>
      <c r="X195" s="14">
        <v>13.3</v>
      </c>
      <c r="Y195" s="14">
        <v>13.3</v>
      </c>
      <c r="Z195" s="14">
        <v>13.8</v>
      </c>
      <c r="AA195" s="14">
        <v>14.1</v>
      </c>
      <c r="AB195" s="14">
        <v>14.0</v>
      </c>
      <c r="AC195" s="14">
        <v>13.7</v>
      </c>
      <c r="AD195" s="14">
        <v>290.0</v>
      </c>
      <c r="AE195" s="14">
        <v>295.0</v>
      </c>
      <c r="AF195" s="14">
        <v>334.0</v>
      </c>
      <c r="AG195" s="14">
        <v>354.0</v>
      </c>
      <c r="AH195" s="14">
        <v>364.0</v>
      </c>
      <c r="AI195" s="14">
        <v>327.4</v>
      </c>
      <c r="AJ195" s="14">
        <v>6.0</v>
      </c>
      <c r="AK195" s="14">
        <v>5.82</v>
      </c>
      <c r="AL195" s="14">
        <v>6.18</v>
      </c>
      <c r="AM195" s="14">
        <v>6.05</v>
      </c>
      <c r="AN195" s="14">
        <v>5.96</v>
      </c>
      <c r="AO195" s="14">
        <v>6.002000000000001</v>
      </c>
      <c r="AP195" s="14">
        <v>10.2</v>
      </c>
      <c r="AQ195" s="14">
        <v>54.9</v>
      </c>
      <c r="AR195" s="14">
        <v>10.0</v>
      </c>
      <c r="AS195" s="14">
        <v>9.0</v>
      </c>
      <c r="AT195" s="14">
        <v>0.4</v>
      </c>
      <c r="AU195" s="14">
        <v>1600000.0</v>
      </c>
      <c r="AV195" s="15">
        <v>0.963</v>
      </c>
      <c r="AW195" s="15">
        <v>15.6</v>
      </c>
      <c r="AX195" s="15">
        <v>280000.0</v>
      </c>
      <c r="AY195" s="14">
        <v>0.1</v>
      </c>
      <c r="AZ195" s="14">
        <v>0.087</v>
      </c>
      <c r="BA195" s="14">
        <v>15.786999999999999</v>
      </c>
    </row>
    <row r="196" ht="14.25" customHeight="1">
      <c r="A196" s="10" t="s">
        <v>283</v>
      </c>
      <c r="B196" s="11" t="s">
        <v>100</v>
      </c>
      <c r="C196" s="11"/>
      <c r="D196" s="12"/>
      <c r="E196" s="11">
        <v>43116.0</v>
      </c>
      <c r="F196" s="12">
        <v>1.0</v>
      </c>
      <c r="G196" s="12"/>
      <c r="H196" s="13">
        <v>0.4583333333333333</v>
      </c>
      <c r="I196" s="13">
        <v>0.5416666666666666</v>
      </c>
      <c r="J196" s="23">
        <v>1.3</v>
      </c>
      <c r="K196" s="24">
        <v>0.08</v>
      </c>
      <c r="L196" s="14">
        <v>63.0</v>
      </c>
      <c r="M196" s="14">
        <v>71.2</v>
      </c>
      <c r="N196" s="14">
        <v>66.4</v>
      </c>
      <c r="O196" s="14">
        <v>67.0</v>
      </c>
      <c r="P196" s="14">
        <v>65.8</v>
      </c>
      <c r="Q196" s="14">
        <v>66.68</v>
      </c>
      <c r="R196" s="14">
        <v>7.97</v>
      </c>
      <c r="S196" s="14">
        <v>8.02</v>
      </c>
      <c r="T196" s="14">
        <v>7.93</v>
      </c>
      <c r="U196" s="14">
        <v>7.94</v>
      </c>
      <c r="V196" s="14">
        <v>7.85</v>
      </c>
      <c r="W196" s="14">
        <v>7.942</v>
      </c>
      <c r="X196" s="14">
        <v>15.6</v>
      </c>
      <c r="Y196" s="14">
        <v>15.3</v>
      </c>
      <c r="Z196" s="14">
        <v>16.0</v>
      </c>
      <c r="AA196" s="14">
        <v>15.5</v>
      </c>
      <c r="AB196" s="14">
        <v>15.4</v>
      </c>
      <c r="AC196" s="14">
        <v>15.559999999999999</v>
      </c>
      <c r="AD196" s="14">
        <v>469.0</v>
      </c>
      <c r="AE196" s="14">
        <v>470.0</v>
      </c>
      <c r="AF196" s="14">
        <v>478.0</v>
      </c>
      <c r="AG196" s="14">
        <v>496.0</v>
      </c>
      <c r="AH196" s="14">
        <v>486.0</v>
      </c>
      <c r="AI196" s="14">
        <v>479.8</v>
      </c>
      <c r="AJ196" s="14">
        <v>1.94</v>
      </c>
      <c r="AK196" s="14">
        <v>1.89</v>
      </c>
      <c r="AL196" s="14">
        <v>1.95</v>
      </c>
      <c r="AM196" s="14">
        <v>2.04</v>
      </c>
      <c r="AN196" s="14">
        <v>2.16</v>
      </c>
      <c r="AO196" s="14">
        <v>1.996</v>
      </c>
      <c r="AP196" s="14">
        <v>37.4</v>
      </c>
      <c r="AQ196" s="14">
        <v>177.0</v>
      </c>
      <c r="AR196" s="14">
        <v>56.7</v>
      </c>
      <c r="AS196" s="14">
        <v>18.0</v>
      </c>
      <c r="AT196" s="14">
        <v>1.64</v>
      </c>
      <c r="AU196" s="14">
        <v>2.0E7</v>
      </c>
      <c r="AV196" s="15">
        <v>2.499</v>
      </c>
      <c r="AW196" s="15">
        <v>25.1</v>
      </c>
      <c r="AX196" s="15">
        <v>840000.0</v>
      </c>
      <c r="AY196" s="14">
        <v>0.1</v>
      </c>
      <c r="AZ196" s="14">
        <v>0.004</v>
      </c>
      <c r="BA196" s="14">
        <v>25.204</v>
      </c>
    </row>
    <row r="197" ht="14.25" customHeight="1">
      <c r="A197" s="10" t="s">
        <v>284</v>
      </c>
      <c r="B197" s="11" t="s">
        <v>145</v>
      </c>
      <c r="C197" s="11"/>
      <c r="D197" s="12"/>
      <c r="E197" s="11">
        <v>43119.0</v>
      </c>
      <c r="F197" s="12">
        <v>1.0</v>
      </c>
      <c r="G197" s="12"/>
      <c r="H197" s="13">
        <v>0.2916666666666667</v>
      </c>
      <c r="I197" s="13">
        <v>0.375</v>
      </c>
      <c r="J197" s="12"/>
      <c r="K197" s="12"/>
      <c r="L197" s="14">
        <v>0.77</v>
      </c>
      <c r="M197" s="14">
        <v>1.05</v>
      </c>
      <c r="N197" s="14">
        <v>1.26</v>
      </c>
      <c r="O197" s="14">
        <v>0.7</v>
      </c>
      <c r="P197" s="14">
        <v>0.92</v>
      </c>
      <c r="Q197" s="14">
        <v>0.9400000000000001</v>
      </c>
      <c r="R197" s="14">
        <v>8.77</v>
      </c>
      <c r="S197" s="14">
        <v>8.4</v>
      </c>
      <c r="T197" s="14">
        <v>8.56</v>
      </c>
      <c r="U197" s="14">
        <v>8.66</v>
      </c>
      <c r="V197" s="14">
        <v>8.54</v>
      </c>
      <c r="W197" s="14">
        <v>8.586</v>
      </c>
      <c r="X197" s="14">
        <v>14.2</v>
      </c>
      <c r="Y197" s="14">
        <v>14.2</v>
      </c>
      <c r="Z197" s="14">
        <v>15.0</v>
      </c>
      <c r="AA197" s="14">
        <v>15.0</v>
      </c>
      <c r="AB197" s="14">
        <v>15.2</v>
      </c>
      <c r="AC197" s="14">
        <v>14.719999999999999</v>
      </c>
      <c r="AD197" s="14">
        <v>1493.0</v>
      </c>
      <c r="AE197" s="14">
        <v>1490.0</v>
      </c>
      <c r="AF197" s="14">
        <v>1109.0</v>
      </c>
      <c r="AG197" s="14">
        <v>1317.0</v>
      </c>
      <c r="AH197" s="14">
        <v>1144.0</v>
      </c>
      <c r="AI197" s="14">
        <v>1310.6</v>
      </c>
      <c r="AJ197" s="14">
        <v>3.26</v>
      </c>
      <c r="AK197" s="14">
        <v>2.98</v>
      </c>
      <c r="AL197" s="14">
        <v>3.6</v>
      </c>
      <c r="AM197" s="14">
        <v>3.68</v>
      </c>
      <c r="AN197" s="14">
        <v>4.03</v>
      </c>
      <c r="AO197" s="14">
        <v>3.5100000000000002</v>
      </c>
      <c r="AP197" s="14">
        <v>505.0</v>
      </c>
      <c r="AQ197" s="14">
        <v>807.0</v>
      </c>
      <c r="AR197" s="14">
        <v>480.0</v>
      </c>
      <c r="AS197" s="14">
        <v>150.0</v>
      </c>
      <c r="AT197" s="14">
        <v>3.09</v>
      </c>
      <c r="AU197" s="14">
        <v>7.7E7</v>
      </c>
      <c r="AV197" s="15">
        <v>16.205</v>
      </c>
      <c r="AW197" s="15">
        <v>120.0</v>
      </c>
      <c r="AX197" s="15">
        <v>9200000.0</v>
      </c>
      <c r="AY197" s="14">
        <v>0.5</v>
      </c>
      <c r="AZ197" s="14">
        <v>0.5</v>
      </c>
      <c r="BA197" s="14">
        <v>121.0</v>
      </c>
    </row>
    <row r="198" ht="14.25" customHeight="1">
      <c r="A198" s="10" t="s">
        <v>285</v>
      </c>
      <c r="B198" s="11" t="s">
        <v>138</v>
      </c>
      <c r="C198" s="11"/>
      <c r="D198" s="12"/>
      <c r="E198" s="11">
        <v>43119.0</v>
      </c>
      <c r="F198" s="12">
        <v>1.0</v>
      </c>
      <c r="G198" s="12"/>
      <c r="H198" s="13">
        <v>0.4375</v>
      </c>
      <c r="I198" s="13">
        <v>0.5208333333333334</v>
      </c>
      <c r="J198" s="12">
        <v>0.85</v>
      </c>
      <c r="K198" s="12">
        <v>0.11</v>
      </c>
      <c r="L198" s="14">
        <v>29.2</v>
      </c>
      <c r="M198" s="14">
        <v>30.3</v>
      </c>
      <c r="N198" s="14">
        <v>33.3</v>
      </c>
      <c r="O198" s="14">
        <v>32.7</v>
      </c>
      <c r="P198" s="14">
        <v>26.0</v>
      </c>
      <c r="Q198" s="14">
        <v>30.3</v>
      </c>
      <c r="R198" s="14">
        <v>7.86</v>
      </c>
      <c r="S198" s="14">
        <v>7.88</v>
      </c>
      <c r="T198" s="14">
        <v>7.89</v>
      </c>
      <c r="U198" s="14">
        <v>7.88</v>
      </c>
      <c r="V198" s="14">
        <v>7.88</v>
      </c>
      <c r="W198" s="14">
        <v>7.878</v>
      </c>
      <c r="X198" s="14">
        <v>17.5</v>
      </c>
      <c r="Y198" s="14">
        <v>15.9</v>
      </c>
      <c r="Z198" s="14">
        <v>15.8</v>
      </c>
      <c r="AA198" s="14">
        <v>16.0</v>
      </c>
      <c r="AB198" s="14">
        <v>15.9</v>
      </c>
      <c r="AC198" s="14">
        <v>16.220000000000002</v>
      </c>
      <c r="AD198" s="14">
        <v>1268.0</v>
      </c>
      <c r="AE198" s="14">
        <v>1268.0</v>
      </c>
      <c r="AF198" s="14">
        <v>1207.0</v>
      </c>
      <c r="AG198" s="14">
        <v>1135.0</v>
      </c>
      <c r="AH198" s="14">
        <v>1124.0</v>
      </c>
      <c r="AI198" s="14">
        <v>1200.4</v>
      </c>
      <c r="AJ198" s="14">
        <v>1.6</v>
      </c>
      <c r="AK198" s="14">
        <v>1.31</v>
      </c>
      <c r="AL198" s="14">
        <v>0.4</v>
      </c>
      <c r="AM198" s="14">
        <v>1.05</v>
      </c>
      <c r="AN198" s="14">
        <v>1.33</v>
      </c>
      <c r="AO198" s="14">
        <v>1.1380000000000001</v>
      </c>
      <c r="AP198" s="14">
        <v>622.0</v>
      </c>
      <c r="AQ198" s="14">
        <v>818.0</v>
      </c>
      <c r="AR198" s="14">
        <v>960.0</v>
      </c>
      <c r="AS198" s="14">
        <v>123.0</v>
      </c>
      <c r="AT198" s="14">
        <v>5.34</v>
      </c>
      <c r="AU198" s="14">
        <v>1.7E8</v>
      </c>
      <c r="AV198" s="15">
        <v>10.672</v>
      </c>
      <c r="AW198" s="15">
        <v>96.4</v>
      </c>
      <c r="AX198" s="15">
        <v>7000000.0</v>
      </c>
      <c r="AY198" s="14">
        <v>0.92</v>
      </c>
      <c r="AZ198" s="14">
        <v>0.74</v>
      </c>
      <c r="BA198" s="14">
        <v>98.06</v>
      </c>
    </row>
    <row r="199" ht="14.25" customHeight="1">
      <c r="A199" s="10" t="s">
        <v>286</v>
      </c>
      <c r="B199" s="11" t="s">
        <v>53</v>
      </c>
      <c r="C199" s="11"/>
      <c r="D199" s="12"/>
      <c r="E199" s="11">
        <v>43145.0</v>
      </c>
      <c r="F199" s="12">
        <v>1.0</v>
      </c>
      <c r="G199" s="12"/>
      <c r="H199" s="13">
        <v>0.2916666666666667</v>
      </c>
      <c r="I199" s="13">
        <v>0.375</v>
      </c>
      <c r="J199" s="12">
        <v>0.48</v>
      </c>
      <c r="K199" s="12">
        <v>0.26</v>
      </c>
      <c r="L199" s="14">
        <v>21.0</v>
      </c>
      <c r="M199" s="14">
        <v>21.0</v>
      </c>
      <c r="N199" s="14">
        <v>24.0</v>
      </c>
      <c r="O199" s="14">
        <v>33.0</v>
      </c>
      <c r="P199" s="14">
        <v>21.0</v>
      </c>
      <c r="Q199" s="14">
        <v>24.0</v>
      </c>
      <c r="R199" s="14">
        <v>7.81</v>
      </c>
      <c r="S199" s="14">
        <v>8.02</v>
      </c>
      <c r="T199" s="14">
        <v>8.0</v>
      </c>
      <c r="U199" s="14">
        <v>8.42</v>
      </c>
      <c r="V199" s="14">
        <v>8.18</v>
      </c>
      <c r="W199" s="14">
        <v>8.086</v>
      </c>
      <c r="X199" s="14">
        <v>14.6</v>
      </c>
      <c r="Y199" s="14">
        <v>14.4</v>
      </c>
      <c r="Z199" s="14">
        <v>14.5</v>
      </c>
      <c r="AA199" s="14">
        <v>15.2</v>
      </c>
      <c r="AB199" s="14">
        <v>15.2</v>
      </c>
      <c r="AC199" s="14">
        <v>14.780000000000001</v>
      </c>
      <c r="AD199" s="14">
        <v>380.0</v>
      </c>
      <c r="AE199" s="14">
        <v>382.0</v>
      </c>
      <c r="AF199" s="14">
        <v>394.0</v>
      </c>
      <c r="AG199" s="14">
        <v>399.0</v>
      </c>
      <c r="AH199" s="14">
        <v>476.0</v>
      </c>
      <c r="AI199" s="14">
        <v>406.2</v>
      </c>
      <c r="AJ199" s="14">
        <v>6.09</v>
      </c>
      <c r="AK199" s="14">
        <v>5.97</v>
      </c>
      <c r="AL199" s="14">
        <v>5.61</v>
      </c>
      <c r="AM199" s="14">
        <v>5.82</v>
      </c>
      <c r="AN199" s="14">
        <v>5.69</v>
      </c>
      <c r="AO199" s="14">
        <v>5.836</v>
      </c>
      <c r="AP199" s="14">
        <v>57.0</v>
      </c>
      <c r="AQ199" s="14">
        <v>100.0</v>
      </c>
      <c r="AR199" s="14">
        <v>26.0</v>
      </c>
      <c r="AS199" s="14">
        <v>6.0</v>
      </c>
      <c r="AT199" s="14">
        <v>0.32</v>
      </c>
      <c r="AU199" s="14">
        <v>3000000.0</v>
      </c>
      <c r="AV199" s="15">
        <v>2.028</v>
      </c>
      <c r="AW199" s="15">
        <v>17.8</v>
      </c>
      <c r="AX199" s="15">
        <v>3700.0</v>
      </c>
      <c r="AY199" s="14">
        <v>1.1</v>
      </c>
      <c r="AZ199" s="14">
        <v>0.5</v>
      </c>
      <c r="BA199" s="14">
        <v>19.400000000000002</v>
      </c>
    </row>
    <row r="200" ht="14.25" customHeight="1">
      <c r="A200" s="10" t="s">
        <v>287</v>
      </c>
      <c r="B200" s="11" t="s">
        <v>61</v>
      </c>
      <c r="C200" s="11"/>
      <c r="D200" s="12"/>
      <c r="E200" s="11">
        <v>43145.0</v>
      </c>
      <c r="F200" s="12">
        <v>1.0</v>
      </c>
      <c r="G200" s="12"/>
      <c r="H200" s="13">
        <v>0.25</v>
      </c>
      <c r="I200" s="13">
        <v>0.3333333333333333</v>
      </c>
      <c r="J200" s="12">
        <v>14.0</v>
      </c>
      <c r="K200" s="12">
        <v>0.06</v>
      </c>
      <c r="L200" s="14">
        <v>200.4</v>
      </c>
      <c r="M200" s="14">
        <v>208.3</v>
      </c>
      <c r="N200" s="14">
        <v>220.1</v>
      </c>
      <c r="O200" s="14">
        <v>214.8</v>
      </c>
      <c r="P200" s="14">
        <v>196.9</v>
      </c>
      <c r="Q200" s="14">
        <v>208.10000000000005</v>
      </c>
      <c r="R200" s="14">
        <v>8.67</v>
      </c>
      <c r="S200" s="14">
        <v>8.7</v>
      </c>
      <c r="T200" s="14">
        <v>8.69</v>
      </c>
      <c r="U200" s="14">
        <v>8.64</v>
      </c>
      <c r="V200" s="14">
        <v>8.64</v>
      </c>
      <c r="W200" s="14">
        <v>8.668</v>
      </c>
      <c r="X200" s="14">
        <v>16.9</v>
      </c>
      <c r="Y200" s="14">
        <v>16.9</v>
      </c>
      <c r="Z200" s="14">
        <v>16.8</v>
      </c>
      <c r="AA200" s="14">
        <v>17.1</v>
      </c>
      <c r="AB200" s="14">
        <v>17.2</v>
      </c>
      <c r="AC200" s="14">
        <v>16.979999999999997</v>
      </c>
      <c r="AD200" s="14">
        <v>1133.0</v>
      </c>
      <c r="AE200" s="14">
        <v>1136.0</v>
      </c>
      <c r="AF200" s="14">
        <v>1112.0</v>
      </c>
      <c r="AG200" s="14">
        <v>1038.0</v>
      </c>
      <c r="AH200" s="14">
        <v>1015.0</v>
      </c>
      <c r="AI200" s="14">
        <v>1086.8</v>
      </c>
      <c r="AJ200" s="14">
        <v>0.2</v>
      </c>
      <c r="AK200" s="14">
        <v>0.73</v>
      </c>
      <c r="AL200" s="14">
        <v>0.3</v>
      </c>
      <c r="AM200" s="14">
        <v>0.36</v>
      </c>
      <c r="AN200" s="14">
        <v>0.26</v>
      </c>
      <c r="AO200" s="14">
        <v>0.37</v>
      </c>
      <c r="AP200" s="14">
        <v>299.0</v>
      </c>
      <c r="AQ200" s="14">
        <v>711.0</v>
      </c>
      <c r="AR200" s="14">
        <v>240.0</v>
      </c>
      <c r="AS200" s="14">
        <v>72.0</v>
      </c>
      <c r="AT200" s="14">
        <v>1.3</v>
      </c>
      <c r="AU200" s="14">
        <v>8.2E7</v>
      </c>
      <c r="AV200" s="15">
        <v>10.045</v>
      </c>
      <c r="AW200" s="15">
        <v>109.0</v>
      </c>
      <c r="AX200" s="15">
        <v>1.3E7</v>
      </c>
      <c r="AY200" s="14">
        <v>0.5</v>
      </c>
      <c r="AZ200" s="14">
        <v>0.5</v>
      </c>
      <c r="BA200" s="14">
        <v>110.0</v>
      </c>
    </row>
    <row r="201" ht="14.25" customHeight="1">
      <c r="A201" s="10" t="s">
        <v>288</v>
      </c>
      <c r="B201" s="11" t="s">
        <v>145</v>
      </c>
      <c r="C201" s="11"/>
      <c r="D201" s="12"/>
      <c r="E201" s="11">
        <v>43145.0</v>
      </c>
      <c r="F201" s="12">
        <v>1.0</v>
      </c>
      <c r="G201" s="12"/>
      <c r="H201" s="13">
        <v>0.3854166666666667</v>
      </c>
      <c r="I201" s="13">
        <v>0.46875</v>
      </c>
      <c r="J201" s="12"/>
      <c r="K201" s="12"/>
      <c r="L201" s="14">
        <v>0.35</v>
      </c>
      <c r="M201" s="14">
        <v>0.42</v>
      </c>
      <c r="N201" s="14">
        <v>0.4</v>
      </c>
      <c r="O201" s="14">
        <v>0.46</v>
      </c>
      <c r="P201" s="14">
        <v>0.64</v>
      </c>
      <c r="Q201" s="14">
        <v>0.454</v>
      </c>
      <c r="R201" s="14">
        <v>8.3</v>
      </c>
      <c r="S201" s="14">
        <v>8.28</v>
      </c>
      <c r="T201" s="14">
        <v>8.27</v>
      </c>
      <c r="U201" s="14">
        <v>8.56</v>
      </c>
      <c r="V201" s="14">
        <v>8.7</v>
      </c>
      <c r="W201" s="14">
        <v>8.422</v>
      </c>
      <c r="X201" s="14">
        <v>15.5</v>
      </c>
      <c r="Y201" s="14">
        <v>15.8</v>
      </c>
      <c r="Z201" s="14">
        <v>17.2</v>
      </c>
      <c r="AA201" s="14">
        <v>17.2</v>
      </c>
      <c r="AB201" s="14">
        <v>17.1</v>
      </c>
      <c r="AC201" s="14">
        <v>16.560000000000002</v>
      </c>
      <c r="AD201" s="14">
        <v>745.0</v>
      </c>
      <c r="AE201" s="14">
        <v>666.0</v>
      </c>
      <c r="AF201" s="14">
        <v>747.0</v>
      </c>
      <c r="AG201" s="14">
        <v>815.0</v>
      </c>
      <c r="AH201" s="14">
        <v>858.0</v>
      </c>
      <c r="AI201" s="14">
        <v>766.2</v>
      </c>
      <c r="AJ201" s="14">
        <v>3.3</v>
      </c>
      <c r="AK201" s="14">
        <v>3.76</v>
      </c>
      <c r="AL201" s="14">
        <v>3.41</v>
      </c>
      <c r="AM201" s="14">
        <v>2.98</v>
      </c>
      <c r="AN201" s="14">
        <v>3.36</v>
      </c>
      <c r="AO201" s="14">
        <v>3.3619999999999997</v>
      </c>
      <c r="AP201" s="14">
        <v>170.0</v>
      </c>
      <c r="AQ201" s="14">
        <v>372.0</v>
      </c>
      <c r="AR201" s="14">
        <v>560.0</v>
      </c>
      <c r="AS201" s="14">
        <v>102.0</v>
      </c>
      <c r="AT201" s="14">
        <v>1.54</v>
      </c>
      <c r="AU201" s="14">
        <v>3.3E7</v>
      </c>
      <c r="AV201" s="15">
        <v>2.609</v>
      </c>
      <c r="AW201" s="15">
        <v>27.8</v>
      </c>
      <c r="AX201" s="15">
        <v>3300000.0</v>
      </c>
      <c r="AY201" s="14">
        <v>0.5</v>
      </c>
      <c r="AZ201" s="14">
        <v>0.5</v>
      </c>
      <c r="BA201" s="14">
        <v>28.8</v>
      </c>
    </row>
    <row r="202" ht="14.25" customHeight="1">
      <c r="A202" s="10" t="s">
        <v>289</v>
      </c>
      <c r="B202" s="11" t="s">
        <v>138</v>
      </c>
      <c r="C202" s="11"/>
      <c r="D202" s="12"/>
      <c r="E202" s="11">
        <v>43145.0</v>
      </c>
      <c r="F202" s="12">
        <v>1.0</v>
      </c>
      <c r="G202" s="12"/>
      <c r="H202" s="13">
        <v>0.5</v>
      </c>
      <c r="I202" s="13">
        <v>0.5833333333333334</v>
      </c>
      <c r="J202" s="12">
        <v>0.6</v>
      </c>
      <c r="K202" s="12">
        <v>0.06</v>
      </c>
      <c r="L202" s="14">
        <v>6.9</v>
      </c>
      <c r="M202" s="14">
        <v>8.5</v>
      </c>
      <c r="N202" s="14">
        <v>8.6</v>
      </c>
      <c r="O202" s="14">
        <v>7.4</v>
      </c>
      <c r="P202" s="14">
        <v>9.9</v>
      </c>
      <c r="Q202" s="14">
        <v>8.26</v>
      </c>
      <c r="R202" s="14">
        <v>8.03</v>
      </c>
      <c r="S202" s="14">
        <v>7.99</v>
      </c>
      <c r="T202" s="14">
        <v>7.82</v>
      </c>
      <c r="U202" s="14">
        <v>7.92</v>
      </c>
      <c r="V202" s="14">
        <v>7.87</v>
      </c>
      <c r="W202" s="14">
        <v>7.925999999999999</v>
      </c>
      <c r="X202" s="14">
        <v>18.1</v>
      </c>
      <c r="Y202" s="14">
        <v>18.1</v>
      </c>
      <c r="Z202" s="14">
        <v>17.8</v>
      </c>
      <c r="AA202" s="14">
        <v>17.7</v>
      </c>
      <c r="AB202" s="14">
        <v>17.47</v>
      </c>
      <c r="AC202" s="14">
        <v>17.834</v>
      </c>
      <c r="AD202" s="14">
        <v>1273.0</v>
      </c>
      <c r="AE202" s="14">
        <v>1310.0</v>
      </c>
      <c r="AF202" s="14">
        <v>1296.0</v>
      </c>
      <c r="AG202" s="14">
        <v>1168.0</v>
      </c>
      <c r="AH202" s="14">
        <v>1149.0</v>
      </c>
      <c r="AI202" s="14">
        <v>1239.2</v>
      </c>
      <c r="AJ202" s="14">
        <v>1.65</v>
      </c>
      <c r="AK202" s="14">
        <v>1.17</v>
      </c>
      <c r="AL202" s="14">
        <v>1.3</v>
      </c>
      <c r="AM202" s="14">
        <v>1.92</v>
      </c>
      <c r="AN202" s="14">
        <v>1.13</v>
      </c>
      <c r="AO202" s="14">
        <v>1.434</v>
      </c>
      <c r="AP202" s="14">
        <v>286.0</v>
      </c>
      <c r="AQ202" s="14">
        <v>630.0</v>
      </c>
      <c r="AR202" s="14">
        <v>255.0</v>
      </c>
      <c r="AS202" s="14">
        <v>151.0</v>
      </c>
      <c r="AT202" s="14">
        <v>1.33</v>
      </c>
      <c r="AU202" s="14">
        <v>1.0E7</v>
      </c>
      <c r="AV202" s="15">
        <v>12.507</v>
      </c>
      <c r="AW202" s="15">
        <v>86.8</v>
      </c>
      <c r="AX202" s="15">
        <v>4.6E7</v>
      </c>
      <c r="AY202" s="14">
        <v>0.5</v>
      </c>
      <c r="AZ202" s="14">
        <v>0.5</v>
      </c>
      <c r="BA202" s="14">
        <v>87.8</v>
      </c>
    </row>
    <row r="203" ht="14.25" customHeight="1">
      <c r="A203" s="10" t="s">
        <v>290</v>
      </c>
      <c r="B203" s="11" t="s">
        <v>91</v>
      </c>
      <c r="C203" s="11"/>
      <c r="D203" s="12"/>
      <c r="E203" s="11">
        <v>43146.0</v>
      </c>
      <c r="F203" s="12">
        <v>1.0</v>
      </c>
      <c r="G203" s="12"/>
      <c r="H203" s="13">
        <v>0.3125</v>
      </c>
      <c r="I203" s="13">
        <v>0.3958333333333333</v>
      </c>
      <c r="J203" s="12">
        <v>8.09</v>
      </c>
      <c r="K203" s="12">
        <v>1.62</v>
      </c>
      <c r="L203" s="14">
        <v>1584.0</v>
      </c>
      <c r="M203" s="14">
        <v>1381.0</v>
      </c>
      <c r="N203" s="14">
        <v>1439.0</v>
      </c>
      <c r="O203" s="14">
        <v>1554.0</v>
      </c>
      <c r="P203" s="14">
        <v>1402.0</v>
      </c>
      <c r="Q203" s="14">
        <v>1472.0</v>
      </c>
      <c r="R203" s="14">
        <v>7.17</v>
      </c>
      <c r="S203" s="14">
        <v>7.14</v>
      </c>
      <c r="T203" s="14">
        <v>6.95</v>
      </c>
      <c r="U203" s="14">
        <v>7.04</v>
      </c>
      <c r="V203" s="14">
        <v>7.02</v>
      </c>
      <c r="W203" s="14">
        <v>7.063999999999998</v>
      </c>
      <c r="X203" s="14">
        <v>16.4</v>
      </c>
      <c r="Y203" s="14">
        <v>16.3</v>
      </c>
      <c r="Z203" s="14">
        <v>16.4</v>
      </c>
      <c r="AA203" s="14">
        <v>16.3</v>
      </c>
      <c r="AB203" s="14">
        <v>16.5</v>
      </c>
      <c r="AC203" s="14">
        <v>16.380000000000003</v>
      </c>
      <c r="AD203" s="14">
        <v>167.9</v>
      </c>
      <c r="AE203" s="14">
        <v>168.1</v>
      </c>
      <c r="AF203" s="14">
        <v>168.5</v>
      </c>
      <c r="AG203" s="14">
        <v>170.7</v>
      </c>
      <c r="AH203" s="14">
        <v>175.1</v>
      </c>
      <c r="AI203" s="14">
        <v>170.06</v>
      </c>
      <c r="AJ203" s="14">
        <v>1.42</v>
      </c>
      <c r="AK203" s="14">
        <v>1.47</v>
      </c>
      <c r="AL203" s="14">
        <v>1.19</v>
      </c>
      <c r="AM203" s="14">
        <v>1.41</v>
      </c>
      <c r="AN203" s="14">
        <v>1.06</v>
      </c>
      <c r="AO203" s="14">
        <v>1.31</v>
      </c>
      <c r="AP203" s="14">
        <v>14.6</v>
      </c>
      <c r="AQ203" s="14">
        <v>45.5</v>
      </c>
      <c r="AR203" s="14">
        <v>4.0</v>
      </c>
      <c r="AS203" s="14">
        <v>6.0</v>
      </c>
      <c r="AT203" s="14">
        <v>0.32</v>
      </c>
      <c r="AU203" s="14">
        <v>1.7E7</v>
      </c>
      <c r="AV203" s="15">
        <v>0.25</v>
      </c>
      <c r="AW203" s="15">
        <v>4.6</v>
      </c>
      <c r="AX203" s="15">
        <v>200000.0</v>
      </c>
      <c r="AY203" s="14">
        <v>3.35</v>
      </c>
      <c r="AZ203" s="14">
        <v>2.86</v>
      </c>
      <c r="BA203" s="14">
        <v>10.809999999999999</v>
      </c>
    </row>
    <row r="204" ht="14.25" customHeight="1">
      <c r="A204" s="10" t="s">
        <v>291</v>
      </c>
      <c r="B204" s="11" t="s">
        <v>83</v>
      </c>
      <c r="C204" s="11"/>
      <c r="D204" s="12"/>
      <c r="E204" s="11">
        <v>43146.0</v>
      </c>
      <c r="F204" s="12">
        <v>1.0</v>
      </c>
      <c r="G204" s="12"/>
      <c r="H204" s="13">
        <v>0.2708333333333333</v>
      </c>
      <c r="I204" s="13">
        <v>0.3541666666666667</v>
      </c>
      <c r="J204" s="12">
        <v>3.6</v>
      </c>
      <c r="K204" s="12">
        <v>0.34</v>
      </c>
      <c r="L204" s="14">
        <v>216.7</v>
      </c>
      <c r="M204" s="14">
        <v>201.3</v>
      </c>
      <c r="N204" s="14">
        <v>208.7</v>
      </c>
      <c r="O204" s="14">
        <v>234.8</v>
      </c>
      <c r="P204" s="14">
        <v>212.3</v>
      </c>
      <c r="Q204" s="14">
        <v>214.76</v>
      </c>
      <c r="R204" s="14">
        <v>7.45</v>
      </c>
      <c r="S204" s="14">
        <v>7.76</v>
      </c>
      <c r="T204" s="14">
        <v>7.73</v>
      </c>
      <c r="U204" s="14">
        <v>7.76</v>
      </c>
      <c r="V204" s="14">
        <v>7.78</v>
      </c>
      <c r="W204" s="14">
        <v>7.696000000000001</v>
      </c>
      <c r="X204" s="14">
        <v>14.6</v>
      </c>
      <c r="Y204" s="14">
        <v>14.7</v>
      </c>
      <c r="Z204" s="14">
        <v>14.8</v>
      </c>
      <c r="AA204" s="14">
        <v>15.0</v>
      </c>
      <c r="AB204" s="14">
        <v>15.4</v>
      </c>
      <c r="AC204" s="14">
        <v>14.9</v>
      </c>
      <c r="AD204" s="14">
        <v>546.0</v>
      </c>
      <c r="AE204" s="14">
        <v>530.0</v>
      </c>
      <c r="AF204" s="14">
        <v>533.0</v>
      </c>
      <c r="AG204" s="14">
        <v>564.0</v>
      </c>
      <c r="AH204" s="14">
        <v>644.0</v>
      </c>
      <c r="AI204" s="14">
        <v>563.4</v>
      </c>
      <c r="AJ204" s="14">
        <v>1.78</v>
      </c>
      <c r="AK204" s="14">
        <v>1.88</v>
      </c>
      <c r="AL204" s="14">
        <v>1.96</v>
      </c>
      <c r="AM204" s="14">
        <v>1.5</v>
      </c>
      <c r="AN204" s="14">
        <v>1.06</v>
      </c>
      <c r="AO204" s="14">
        <v>1.636</v>
      </c>
      <c r="AP204" s="14">
        <v>104.2</v>
      </c>
      <c r="AQ204" s="14">
        <v>343.0</v>
      </c>
      <c r="AR204" s="14">
        <v>80.0</v>
      </c>
      <c r="AS204" s="14">
        <v>20.0</v>
      </c>
      <c r="AT204" s="14">
        <v>358.0</v>
      </c>
      <c r="AU204" s="14">
        <v>2.4E7</v>
      </c>
      <c r="AV204" s="15">
        <v>4.443</v>
      </c>
      <c r="AW204" s="15">
        <v>73.2</v>
      </c>
      <c r="AX204" s="15">
        <v>3300000.0</v>
      </c>
      <c r="AY204" s="14">
        <v>0.5</v>
      </c>
      <c r="AZ204" s="14">
        <v>0.5</v>
      </c>
      <c r="BA204" s="14">
        <v>74.2</v>
      </c>
    </row>
    <row r="205" ht="14.25" customHeight="1">
      <c r="A205" s="10" t="s">
        <v>292</v>
      </c>
      <c r="B205" s="16" t="s">
        <v>79</v>
      </c>
      <c r="C205" s="11"/>
      <c r="D205" s="12"/>
      <c r="E205" s="17">
        <v>43146.0</v>
      </c>
      <c r="F205" s="18">
        <v>1.0</v>
      </c>
      <c r="G205" s="18"/>
      <c r="H205" s="13">
        <v>0.375</v>
      </c>
      <c r="I205" s="13">
        <v>0.4583333333333333</v>
      </c>
      <c r="J205" s="18"/>
      <c r="K205" s="18"/>
      <c r="L205" s="15">
        <v>0.66</v>
      </c>
      <c r="M205" s="15">
        <v>0.65</v>
      </c>
      <c r="N205" s="15">
        <v>0.8</v>
      </c>
      <c r="O205" s="15">
        <v>0.84</v>
      </c>
      <c r="P205" s="15">
        <v>1.12</v>
      </c>
      <c r="Q205" s="15">
        <v>0.8140000000000001</v>
      </c>
      <c r="R205" s="15">
        <v>6.78</v>
      </c>
      <c r="S205" s="15">
        <v>6.79</v>
      </c>
      <c r="T205" s="15">
        <v>6.71</v>
      </c>
      <c r="U205" s="15">
        <v>6.92</v>
      </c>
      <c r="V205" s="15">
        <v>6.94</v>
      </c>
      <c r="W205" s="15">
        <v>6.828</v>
      </c>
      <c r="X205" s="15">
        <v>12.2</v>
      </c>
      <c r="Y205" s="15">
        <v>11.9</v>
      </c>
      <c r="Z205" s="15">
        <v>12.4</v>
      </c>
      <c r="AA205" s="15">
        <v>13.1</v>
      </c>
      <c r="AB205" s="15">
        <v>12.4</v>
      </c>
      <c r="AC205" s="15">
        <v>12.4</v>
      </c>
      <c r="AD205" s="15">
        <v>48.2</v>
      </c>
      <c r="AE205" s="15">
        <v>47.8</v>
      </c>
      <c r="AF205" s="15">
        <v>47.4</v>
      </c>
      <c r="AG205" s="15">
        <v>46.0</v>
      </c>
      <c r="AH205" s="15">
        <v>45.5</v>
      </c>
      <c r="AI205" s="15">
        <v>46.980000000000004</v>
      </c>
      <c r="AJ205" s="15">
        <v>6.01</v>
      </c>
      <c r="AK205" s="15">
        <v>5.11</v>
      </c>
      <c r="AL205" s="15">
        <v>6.21</v>
      </c>
      <c r="AM205" s="15">
        <v>5.99</v>
      </c>
      <c r="AN205" s="15">
        <v>5.93</v>
      </c>
      <c r="AO205" s="15">
        <v>5.85</v>
      </c>
      <c r="AP205" s="15">
        <v>42.8</v>
      </c>
      <c r="AQ205" s="15">
        <v>125.0</v>
      </c>
      <c r="AR205" s="15">
        <v>4.0</v>
      </c>
      <c r="AS205" s="15">
        <v>6.0</v>
      </c>
      <c r="AT205" s="15">
        <v>0.15</v>
      </c>
      <c r="AU205" s="15">
        <v>24000.0</v>
      </c>
      <c r="AV205" s="15">
        <v>0.071</v>
      </c>
      <c r="AW205" s="15">
        <v>3.7</v>
      </c>
      <c r="AX205" s="15">
        <v>780.0</v>
      </c>
      <c r="AY205" s="15">
        <v>3.01</v>
      </c>
      <c r="AZ205" s="15">
        <v>0.5</v>
      </c>
      <c r="BA205" s="15">
        <v>7.21</v>
      </c>
    </row>
    <row r="206" ht="14.25" customHeight="1">
      <c r="A206" s="10" t="s">
        <v>293</v>
      </c>
      <c r="B206" s="16" t="s">
        <v>93</v>
      </c>
      <c r="C206" s="11"/>
      <c r="D206" s="12"/>
      <c r="E206" s="11">
        <v>43146.0</v>
      </c>
      <c r="F206" s="12">
        <v>1.0</v>
      </c>
      <c r="G206" s="12"/>
      <c r="H206" s="13">
        <v>0.46875</v>
      </c>
      <c r="I206" s="13">
        <v>0.5520833333333334</v>
      </c>
      <c r="J206" s="12">
        <v>3.6</v>
      </c>
      <c r="K206" s="12">
        <v>0.11</v>
      </c>
      <c r="L206" s="14">
        <v>80.6</v>
      </c>
      <c r="M206" s="14">
        <v>77.5</v>
      </c>
      <c r="N206" s="14">
        <v>77.7</v>
      </c>
      <c r="O206" s="14">
        <v>78.5</v>
      </c>
      <c r="P206" s="14">
        <v>81.3</v>
      </c>
      <c r="Q206" s="14">
        <v>79.12</v>
      </c>
      <c r="R206" s="14">
        <v>7.82</v>
      </c>
      <c r="S206" s="14">
        <v>7.85</v>
      </c>
      <c r="T206" s="14">
        <v>7.83</v>
      </c>
      <c r="U206" s="14">
        <v>7.79</v>
      </c>
      <c r="V206" s="14">
        <v>7.79</v>
      </c>
      <c r="W206" s="14">
        <v>7.816</v>
      </c>
      <c r="X206" s="14">
        <v>17.8</v>
      </c>
      <c r="Y206" s="14">
        <v>17.9</v>
      </c>
      <c r="Z206" s="14">
        <v>18.2</v>
      </c>
      <c r="AA206" s="14">
        <v>18.0</v>
      </c>
      <c r="AB206" s="14">
        <v>17.9</v>
      </c>
      <c r="AC206" s="14">
        <v>17.96</v>
      </c>
      <c r="AD206" s="14">
        <v>929.0</v>
      </c>
      <c r="AE206" s="14">
        <v>911.0</v>
      </c>
      <c r="AF206" s="14">
        <v>887.0</v>
      </c>
      <c r="AG206" s="14">
        <v>858.0</v>
      </c>
      <c r="AH206" s="14">
        <v>830.0</v>
      </c>
      <c r="AI206" s="14">
        <v>883.0</v>
      </c>
      <c r="AJ206" s="14">
        <v>1.82</v>
      </c>
      <c r="AK206" s="14">
        <v>2.32</v>
      </c>
      <c r="AL206" s="14">
        <v>2.33</v>
      </c>
      <c r="AM206" s="14">
        <v>1.62</v>
      </c>
      <c r="AN206" s="14">
        <v>2.073</v>
      </c>
      <c r="AO206" s="14">
        <v>2.0326</v>
      </c>
      <c r="AP206" s="14">
        <v>139.0</v>
      </c>
      <c r="AQ206" s="14">
        <v>157.0</v>
      </c>
      <c r="AR206" s="14">
        <v>250.0</v>
      </c>
      <c r="AS206" s="14">
        <v>89.0</v>
      </c>
      <c r="AT206" s="14">
        <v>4.44</v>
      </c>
      <c r="AU206" s="14">
        <v>1.1E8</v>
      </c>
      <c r="AV206" s="15">
        <v>11.313</v>
      </c>
      <c r="AW206" s="15">
        <v>38.8</v>
      </c>
      <c r="AX206" s="15">
        <v>4.9E7</v>
      </c>
      <c r="AY206" s="14">
        <v>0.5</v>
      </c>
      <c r="AZ206" s="14">
        <v>0.5</v>
      </c>
      <c r="BA206" s="14">
        <v>39.8</v>
      </c>
    </row>
    <row r="207" ht="14.25" customHeight="1">
      <c r="A207" s="10" t="s">
        <v>294</v>
      </c>
      <c r="B207" s="11" t="s">
        <v>55</v>
      </c>
      <c r="C207" s="11"/>
      <c r="D207" s="12"/>
      <c r="E207" s="11">
        <v>43147.0</v>
      </c>
      <c r="F207" s="12">
        <v>1.0</v>
      </c>
      <c r="G207" s="12"/>
      <c r="H207" s="13">
        <v>0.25</v>
      </c>
      <c r="I207" s="13">
        <v>0.3333333333333333</v>
      </c>
      <c r="J207" s="12">
        <v>8.5</v>
      </c>
      <c r="K207" s="12">
        <v>0.36</v>
      </c>
      <c r="L207" s="14">
        <v>4517.0</v>
      </c>
      <c r="M207" s="14">
        <v>4314.0</v>
      </c>
      <c r="N207" s="14">
        <v>4606.0</v>
      </c>
      <c r="O207" s="14">
        <v>4709.0</v>
      </c>
      <c r="P207" s="14">
        <v>4261.0</v>
      </c>
      <c r="Q207" s="14">
        <v>4481.4</v>
      </c>
      <c r="R207" s="14">
        <v>7.39</v>
      </c>
      <c r="S207" s="14">
        <v>7.55</v>
      </c>
      <c r="T207" s="14">
        <v>7.61</v>
      </c>
      <c r="U207" s="14">
        <v>7.46</v>
      </c>
      <c r="V207" s="14">
        <v>7.64</v>
      </c>
      <c r="W207" s="14">
        <v>7.529999999999999</v>
      </c>
      <c r="X207" s="14">
        <v>18.6</v>
      </c>
      <c r="Y207" s="14">
        <v>18.7</v>
      </c>
      <c r="Z207" s="14">
        <v>19.2</v>
      </c>
      <c r="AA207" s="14">
        <v>19.8</v>
      </c>
      <c r="AB207" s="14">
        <v>19.3</v>
      </c>
      <c r="AC207" s="14">
        <v>19.119999999999997</v>
      </c>
      <c r="AD207" s="14">
        <v>627.0</v>
      </c>
      <c r="AE207" s="14">
        <v>633.0</v>
      </c>
      <c r="AF207" s="14">
        <v>625.0</v>
      </c>
      <c r="AG207" s="14">
        <v>619.0</v>
      </c>
      <c r="AH207" s="14">
        <v>612.0</v>
      </c>
      <c r="AI207" s="14">
        <v>623.2</v>
      </c>
      <c r="AJ207" s="14">
        <v>1.09</v>
      </c>
      <c r="AK207" s="14">
        <v>1.43</v>
      </c>
      <c r="AL207" s="14">
        <v>0.82</v>
      </c>
      <c r="AM207" s="14">
        <v>1.15</v>
      </c>
      <c r="AN207" s="14">
        <v>1.44</v>
      </c>
      <c r="AO207" s="14">
        <v>1.186</v>
      </c>
      <c r="AP207" s="14">
        <v>2.0</v>
      </c>
      <c r="AQ207" s="14">
        <v>83.06</v>
      </c>
      <c r="AR207" s="14">
        <v>16.0</v>
      </c>
      <c r="AS207" s="14">
        <v>7.0</v>
      </c>
      <c r="AT207" s="14">
        <v>2.2</v>
      </c>
      <c r="AU207" s="14">
        <v>1.6E7</v>
      </c>
      <c r="AV207" s="15">
        <v>1.485</v>
      </c>
      <c r="AW207" s="15">
        <v>24.6</v>
      </c>
      <c r="AX207" s="15">
        <v>33000.0</v>
      </c>
      <c r="AY207" s="14">
        <v>0.5</v>
      </c>
      <c r="AZ207" s="14">
        <v>0.5</v>
      </c>
      <c r="BA207" s="14">
        <v>25.6</v>
      </c>
    </row>
    <row r="208" ht="14.25" customHeight="1">
      <c r="A208" s="10" t="s">
        <v>295</v>
      </c>
      <c r="B208" s="11" t="s">
        <v>59</v>
      </c>
      <c r="C208" s="11"/>
      <c r="D208" s="12"/>
      <c r="E208" s="11">
        <v>43147.0</v>
      </c>
      <c r="F208" s="12">
        <v>1.0</v>
      </c>
      <c r="G208" s="12"/>
      <c r="H208" s="13">
        <v>0.34375</v>
      </c>
      <c r="I208" s="13">
        <v>0.4270833333333333</v>
      </c>
      <c r="J208" s="12">
        <v>1.2</v>
      </c>
      <c r="K208" s="12">
        <v>0.2</v>
      </c>
      <c r="L208" s="14">
        <v>47.8</v>
      </c>
      <c r="M208" s="14">
        <v>51.9</v>
      </c>
      <c r="N208" s="14">
        <v>57.8</v>
      </c>
      <c r="O208" s="14">
        <v>57.0</v>
      </c>
      <c r="P208" s="14">
        <v>56.3</v>
      </c>
      <c r="Q208" s="14">
        <v>54.160000000000004</v>
      </c>
      <c r="R208" s="14">
        <v>8.19</v>
      </c>
      <c r="S208" s="14">
        <v>8.03</v>
      </c>
      <c r="T208" s="14">
        <v>8.08</v>
      </c>
      <c r="U208" s="14">
        <v>8.1</v>
      </c>
      <c r="V208" s="14">
        <v>8.12</v>
      </c>
      <c r="W208" s="14">
        <v>8.104</v>
      </c>
      <c r="X208" s="14">
        <v>14.1</v>
      </c>
      <c r="Y208" s="14">
        <v>14.2</v>
      </c>
      <c r="Z208" s="14">
        <v>14.9</v>
      </c>
      <c r="AA208" s="14">
        <v>15.2</v>
      </c>
      <c r="AB208" s="14">
        <v>15.4</v>
      </c>
      <c r="AC208" s="14">
        <v>14.76</v>
      </c>
      <c r="AD208" s="14">
        <v>350.0</v>
      </c>
      <c r="AE208" s="14">
        <v>347.0</v>
      </c>
      <c r="AF208" s="14">
        <v>355.0</v>
      </c>
      <c r="AG208" s="14">
        <v>387.0</v>
      </c>
      <c r="AH208" s="14">
        <v>407.0</v>
      </c>
      <c r="AI208" s="14">
        <v>369.2</v>
      </c>
      <c r="AJ208" s="14">
        <v>5.84</v>
      </c>
      <c r="AK208" s="14">
        <v>5.35</v>
      </c>
      <c r="AL208" s="14">
        <v>6.32</v>
      </c>
      <c r="AM208" s="14">
        <v>6.23</v>
      </c>
      <c r="AN208" s="14">
        <v>6.31</v>
      </c>
      <c r="AO208" s="14">
        <v>6.01</v>
      </c>
      <c r="AP208" s="14">
        <v>2.0</v>
      </c>
      <c r="AQ208" s="14">
        <v>44.75</v>
      </c>
      <c r="AR208" s="14">
        <v>10.0</v>
      </c>
      <c r="AS208" s="14">
        <v>8.0</v>
      </c>
      <c r="AT208" s="14">
        <v>0.23</v>
      </c>
      <c r="AU208" s="14">
        <v>2400000.0</v>
      </c>
      <c r="AV208" s="15">
        <v>1.036</v>
      </c>
      <c r="AW208" s="15">
        <v>14.6</v>
      </c>
      <c r="AX208" s="15">
        <v>2000.0</v>
      </c>
      <c r="AY208" s="14">
        <v>1.88</v>
      </c>
      <c r="AZ208" s="14">
        <v>0.59</v>
      </c>
      <c r="BA208" s="14">
        <v>17.07</v>
      </c>
    </row>
    <row r="209" ht="14.25" customHeight="1">
      <c r="A209" s="10" t="s">
        <v>296</v>
      </c>
      <c r="B209" s="11" t="s">
        <v>57</v>
      </c>
      <c r="C209" s="11"/>
      <c r="D209" s="12"/>
      <c r="E209" s="11">
        <v>43147.0</v>
      </c>
      <c r="F209" s="12">
        <v>1.0</v>
      </c>
      <c r="G209" s="12"/>
      <c r="H209" s="13">
        <v>0.4375</v>
      </c>
      <c r="I209" s="13">
        <v>0.5208333333333334</v>
      </c>
      <c r="J209" s="12">
        <v>0.45</v>
      </c>
      <c r="K209" s="12">
        <v>0.14</v>
      </c>
      <c r="L209" s="14">
        <v>6.9</v>
      </c>
      <c r="M209" s="14">
        <v>8.0</v>
      </c>
      <c r="N209" s="14">
        <v>7.6</v>
      </c>
      <c r="O209" s="14">
        <v>7.4</v>
      </c>
      <c r="P209" s="14">
        <v>8.7</v>
      </c>
      <c r="Q209" s="14">
        <v>7.719999999999999</v>
      </c>
      <c r="R209" s="14">
        <v>7.13</v>
      </c>
      <c r="S209" s="14">
        <v>7.04</v>
      </c>
      <c r="T209" s="14">
        <v>7.15</v>
      </c>
      <c r="U209" s="14">
        <v>6.72</v>
      </c>
      <c r="V209" s="14">
        <v>7.1</v>
      </c>
      <c r="W209" s="14">
        <v>7.0280000000000005</v>
      </c>
      <c r="X209" s="14">
        <v>15.1</v>
      </c>
      <c r="Y209" s="14">
        <v>15.7</v>
      </c>
      <c r="Z209" s="14">
        <v>16.4</v>
      </c>
      <c r="AA209" s="14">
        <v>16.4</v>
      </c>
      <c r="AB209" s="14">
        <v>16.1</v>
      </c>
      <c r="AC209" s="14">
        <v>15.939999999999998</v>
      </c>
      <c r="AD209" s="14">
        <v>186.6</v>
      </c>
      <c r="AE209" s="14">
        <v>179.6</v>
      </c>
      <c r="AF209" s="14">
        <v>177.1</v>
      </c>
      <c r="AG209" s="14">
        <v>178.7</v>
      </c>
      <c r="AH209" s="14">
        <v>178.1</v>
      </c>
      <c r="AI209" s="14">
        <v>180.02</v>
      </c>
      <c r="AJ209" s="14">
        <v>4.53</v>
      </c>
      <c r="AK209" s="14">
        <v>5.19</v>
      </c>
      <c r="AL209" s="14">
        <v>4.6</v>
      </c>
      <c r="AM209" s="14">
        <v>5.85</v>
      </c>
      <c r="AN209" s="14">
        <v>5.3</v>
      </c>
      <c r="AO209" s="14">
        <v>5.094</v>
      </c>
      <c r="AP209" s="14">
        <v>13.8</v>
      </c>
      <c r="AQ209" s="14">
        <v>21.8</v>
      </c>
      <c r="AR209" s="14">
        <v>40.0</v>
      </c>
      <c r="AS209" s="14">
        <v>6.0</v>
      </c>
      <c r="AT209" s="14">
        <v>0.21</v>
      </c>
      <c r="AU209" s="14">
        <v>1600000.0</v>
      </c>
      <c r="AV209" s="15">
        <v>0.353</v>
      </c>
      <c r="AW209" s="15">
        <v>3.2</v>
      </c>
      <c r="AX209" s="15">
        <v>1800.0</v>
      </c>
      <c r="AY209" s="14">
        <v>11.36</v>
      </c>
      <c r="AZ209" s="14">
        <v>0.52</v>
      </c>
      <c r="BA209" s="14">
        <v>15.079999999999998</v>
      </c>
    </row>
    <row r="210" ht="14.25" customHeight="1">
      <c r="A210" s="10" t="s">
        <v>297</v>
      </c>
      <c r="B210" s="11" t="s">
        <v>100</v>
      </c>
      <c r="C210" s="11"/>
      <c r="D210" s="12"/>
      <c r="E210" s="11">
        <v>43140.0</v>
      </c>
      <c r="F210" s="12">
        <v>1.0</v>
      </c>
      <c r="G210" s="12"/>
      <c r="H210" s="13">
        <v>0.25</v>
      </c>
      <c r="I210" s="13">
        <v>0.3333333333333333</v>
      </c>
      <c r="J210" s="12">
        <v>2.0</v>
      </c>
      <c r="K210" s="12">
        <v>0.08</v>
      </c>
      <c r="L210" s="14">
        <v>51.0</v>
      </c>
      <c r="M210" s="14">
        <v>38.0</v>
      </c>
      <c r="N210" s="14">
        <v>80.0</v>
      </c>
      <c r="O210" s="14">
        <v>75.0</v>
      </c>
      <c r="P210" s="14">
        <v>72.0</v>
      </c>
      <c r="Q210" s="14">
        <v>63.2</v>
      </c>
      <c r="R210" s="14">
        <v>7.53</v>
      </c>
      <c r="S210" s="14">
        <v>7.65</v>
      </c>
      <c r="T210" s="14">
        <v>7.7</v>
      </c>
      <c r="U210" s="14">
        <v>7.37</v>
      </c>
      <c r="V210" s="14">
        <v>7.69</v>
      </c>
      <c r="W210" s="14">
        <v>7.587999999999999</v>
      </c>
      <c r="X210" s="14">
        <v>13.9</v>
      </c>
      <c r="Y210" s="14">
        <v>13.9</v>
      </c>
      <c r="Z210" s="14">
        <v>14.0</v>
      </c>
      <c r="AA210" s="14">
        <v>13.9</v>
      </c>
      <c r="AB210" s="14">
        <v>14.1</v>
      </c>
      <c r="AC210" s="14">
        <v>13.959999999999999</v>
      </c>
      <c r="AD210" s="14">
        <v>464.0</v>
      </c>
      <c r="AE210" s="14">
        <v>496.0</v>
      </c>
      <c r="AF210" s="14">
        <v>509.0</v>
      </c>
      <c r="AG210" s="14">
        <v>523.0</v>
      </c>
      <c r="AH210" s="14">
        <v>549.0</v>
      </c>
      <c r="AI210" s="14">
        <v>508.2</v>
      </c>
      <c r="AJ210" s="14">
        <v>1.54</v>
      </c>
      <c r="AK210" s="14">
        <v>1.39</v>
      </c>
      <c r="AL210" s="14">
        <v>0.8</v>
      </c>
      <c r="AM210" s="14">
        <v>1.46</v>
      </c>
      <c r="AN210" s="14">
        <v>1.7</v>
      </c>
      <c r="AO210" s="14">
        <v>1.378</v>
      </c>
      <c r="AP210" s="14">
        <v>58.0</v>
      </c>
      <c r="AQ210" s="14">
        <v>167.0</v>
      </c>
      <c r="AR210" s="14">
        <v>4.0</v>
      </c>
      <c r="AS210" s="14">
        <v>20.0</v>
      </c>
      <c r="AT210" s="14">
        <v>0.96</v>
      </c>
      <c r="AU210" s="14">
        <v>1.6E7</v>
      </c>
      <c r="AV210" s="20">
        <v>4.844</v>
      </c>
      <c r="AW210" s="20">
        <v>30.0</v>
      </c>
      <c r="AX210" s="20">
        <v>3500000.0</v>
      </c>
      <c r="AY210" s="14">
        <v>0.5</v>
      </c>
      <c r="AZ210" s="14">
        <v>0.5</v>
      </c>
      <c r="BA210" s="14">
        <v>31.0</v>
      </c>
    </row>
    <row r="211" ht="14.25" customHeight="1">
      <c r="A211" s="10" t="s">
        <v>298</v>
      </c>
      <c r="B211" s="11" t="s">
        <v>74</v>
      </c>
      <c r="C211" s="11"/>
      <c r="D211" s="12"/>
      <c r="E211" s="11">
        <v>43140.0</v>
      </c>
      <c r="F211" s="12">
        <v>1.0</v>
      </c>
      <c r="G211" s="12"/>
      <c r="H211" s="13">
        <v>0.3541666666666667</v>
      </c>
      <c r="I211" s="13">
        <v>0.4375</v>
      </c>
      <c r="J211" s="12"/>
      <c r="K211" s="12"/>
      <c r="L211" s="14">
        <v>2.41</v>
      </c>
      <c r="M211" s="14">
        <v>2.73</v>
      </c>
      <c r="N211" s="14">
        <v>2.63</v>
      </c>
      <c r="O211" s="14">
        <v>2.88</v>
      </c>
      <c r="P211" s="14">
        <v>2.91</v>
      </c>
      <c r="Q211" s="14">
        <v>2.712</v>
      </c>
      <c r="R211" s="14">
        <v>7.37</v>
      </c>
      <c r="S211" s="14">
        <v>7.64</v>
      </c>
      <c r="T211" s="14">
        <v>7.83</v>
      </c>
      <c r="U211" s="14">
        <v>7.66</v>
      </c>
      <c r="V211" s="14">
        <v>7.83</v>
      </c>
      <c r="W211" s="14">
        <v>7.6659999999999995</v>
      </c>
      <c r="X211" s="14">
        <v>12.7</v>
      </c>
      <c r="Y211" s="14">
        <v>12.7</v>
      </c>
      <c r="Z211" s="14">
        <v>12.4</v>
      </c>
      <c r="AA211" s="14">
        <v>12.6</v>
      </c>
      <c r="AB211" s="14">
        <v>13.1</v>
      </c>
      <c r="AC211" s="14">
        <v>12.7</v>
      </c>
      <c r="AD211" s="14">
        <v>274.0</v>
      </c>
      <c r="AE211" s="14">
        <v>279.0</v>
      </c>
      <c r="AF211" s="14">
        <v>282.0</v>
      </c>
      <c r="AG211" s="14">
        <v>284.0</v>
      </c>
      <c r="AH211" s="14">
        <v>282.0</v>
      </c>
      <c r="AI211" s="14">
        <v>280.2</v>
      </c>
      <c r="AJ211" s="14">
        <v>6.09</v>
      </c>
      <c r="AK211" s="14">
        <v>6.06</v>
      </c>
      <c r="AL211" s="14">
        <v>6.74</v>
      </c>
      <c r="AM211" s="14">
        <v>6.22</v>
      </c>
      <c r="AN211" s="14">
        <v>6.32</v>
      </c>
      <c r="AO211" s="14">
        <v>6.286</v>
      </c>
      <c r="AP211" s="14">
        <v>2.0</v>
      </c>
      <c r="AQ211" s="14">
        <v>45.79</v>
      </c>
      <c r="AR211" s="14">
        <v>46.0</v>
      </c>
      <c r="AS211" s="14">
        <v>6.0</v>
      </c>
      <c r="AT211" s="14">
        <v>0.4</v>
      </c>
      <c r="AU211" s="14">
        <v>88000.0</v>
      </c>
      <c r="AV211" s="20">
        <v>0.222</v>
      </c>
      <c r="AW211" s="25">
        <v>1.0</v>
      </c>
      <c r="AX211" s="20">
        <v>1600.0</v>
      </c>
      <c r="AY211" s="14">
        <v>21.05</v>
      </c>
      <c r="AZ211" s="14">
        <v>0.5</v>
      </c>
      <c r="BA211" s="14">
        <v>22.55</v>
      </c>
    </row>
    <row r="212" ht="14.25" customHeight="1">
      <c r="A212" s="10" t="s">
        <v>299</v>
      </c>
      <c r="B212" s="11" t="s">
        <v>102</v>
      </c>
      <c r="C212" s="11"/>
      <c r="D212" s="12"/>
      <c r="E212" s="11">
        <v>43140.0</v>
      </c>
      <c r="F212" s="12">
        <v>1.0</v>
      </c>
      <c r="G212" s="12"/>
      <c r="H212" s="13">
        <v>0.4479166666666667</v>
      </c>
      <c r="I212" s="13">
        <v>0.53125</v>
      </c>
      <c r="J212" s="12">
        <v>1.0</v>
      </c>
      <c r="K212" s="12">
        <v>0.12</v>
      </c>
      <c r="L212" s="14">
        <v>40.0</v>
      </c>
      <c r="M212" s="14">
        <v>33.0</v>
      </c>
      <c r="N212" s="14">
        <v>31.0</v>
      </c>
      <c r="O212" s="14">
        <v>39.0</v>
      </c>
      <c r="P212" s="14">
        <v>40.0</v>
      </c>
      <c r="Q212" s="14">
        <v>36.6</v>
      </c>
      <c r="R212" s="14">
        <v>7.95</v>
      </c>
      <c r="S212" s="14">
        <v>7.97</v>
      </c>
      <c r="T212" s="14">
        <v>7.95</v>
      </c>
      <c r="U212" s="14">
        <v>7.92</v>
      </c>
      <c r="V212" s="14">
        <v>7.97</v>
      </c>
      <c r="W212" s="14">
        <v>7.952</v>
      </c>
      <c r="X212" s="14">
        <v>15.5</v>
      </c>
      <c r="Y212" s="14">
        <v>15.45</v>
      </c>
      <c r="Z212" s="14">
        <v>15.6</v>
      </c>
      <c r="AA212" s="14">
        <v>16.6</v>
      </c>
      <c r="AB212" s="14">
        <v>16.4</v>
      </c>
      <c r="AC212" s="14">
        <v>15.91</v>
      </c>
      <c r="AD212" s="14">
        <v>386.0</v>
      </c>
      <c r="AE212" s="14">
        <v>398.0</v>
      </c>
      <c r="AF212" s="14">
        <v>415.0</v>
      </c>
      <c r="AG212" s="14">
        <v>418.0</v>
      </c>
      <c r="AH212" s="14">
        <v>427.0</v>
      </c>
      <c r="AI212" s="14">
        <v>408.8</v>
      </c>
      <c r="AJ212" s="14">
        <v>5.44</v>
      </c>
      <c r="AK212" s="14">
        <v>5.2</v>
      </c>
      <c r="AL212" s="14">
        <v>6.21</v>
      </c>
      <c r="AM212" s="14">
        <v>5.12</v>
      </c>
      <c r="AN212" s="14">
        <v>5.21</v>
      </c>
      <c r="AO212" s="14">
        <v>5.436000000000001</v>
      </c>
      <c r="AP212" s="14">
        <v>37.0</v>
      </c>
      <c r="AQ212" s="14">
        <v>78.8</v>
      </c>
      <c r="AR212" s="14">
        <v>24.0</v>
      </c>
      <c r="AS212" s="14">
        <v>18.0</v>
      </c>
      <c r="AT212" s="14">
        <v>0.74</v>
      </c>
      <c r="AU212" s="14">
        <v>1900000.0</v>
      </c>
      <c r="AV212" s="20">
        <v>1.832</v>
      </c>
      <c r="AW212" s="20">
        <v>26.7</v>
      </c>
      <c r="AX212" s="20">
        <v>220000.0</v>
      </c>
      <c r="AY212" s="14">
        <v>0.5</v>
      </c>
      <c r="AZ212" s="14">
        <v>0.5</v>
      </c>
      <c r="BA212" s="14">
        <v>27.7</v>
      </c>
    </row>
    <row r="213" ht="14.25" customHeight="1">
      <c r="A213" s="10" t="s">
        <v>300</v>
      </c>
      <c r="B213" s="11" t="s">
        <v>135</v>
      </c>
      <c r="C213" s="11"/>
      <c r="D213" s="12"/>
      <c r="E213" s="11">
        <v>43140.0</v>
      </c>
      <c r="F213" s="12">
        <v>1.0</v>
      </c>
      <c r="G213" s="12"/>
      <c r="H213" s="13">
        <v>0.2916666666666667</v>
      </c>
      <c r="I213" s="13">
        <v>0.375</v>
      </c>
      <c r="J213" s="12">
        <v>1.7</v>
      </c>
      <c r="K213" s="12">
        <v>0.21</v>
      </c>
      <c r="L213" s="14">
        <v>54.8</v>
      </c>
      <c r="M213" s="14">
        <v>36.0</v>
      </c>
      <c r="N213" s="14">
        <v>42.6</v>
      </c>
      <c r="O213" s="14">
        <v>55.9</v>
      </c>
      <c r="P213" s="14">
        <v>58.9</v>
      </c>
      <c r="Q213" s="14">
        <v>49.64</v>
      </c>
      <c r="R213" s="14">
        <v>7.64</v>
      </c>
      <c r="S213" s="14">
        <v>7.7</v>
      </c>
      <c r="T213" s="14">
        <v>7.59</v>
      </c>
      <c r="U213" s="14">
        <v>7.66</v>
      </c>
      <c r="V213" s="14">
        <v>7.6</v>
      </c>
      <c r="W213" s="14">
        <v>7.638</v>
      </c>
      <c r="X213" s="14">
        <v>13.9</v>
      </c>
      <c r="Y213" s="14">
        <v>13.9</v>
      </c>
      <c r="Z213" s="14">
        <v>14.1</v>
      </c>
      <c r="AA213" s="14">
        <v>14.2</v>
      </c>
      <c r="AB213" s="14">
        <v>15.1</v>
      </c>
      <c r="AC213" s="14">
        <v>14.239999999999998</v>
      </c>
      <c r="AD213" s="14">
        <v>357.0</v>
      </c>
      <c r="AE213" s="14">
        <v>378.0</v>
      </c>
      <c r="AF213" s="14">
        <v>368.0</v>
      </c>
      <c r="AG213" s="14">
        <v>415.0</v>
      </c>
      <c r="AH213" s="14">
        <v>450.0</v>
      </c>
      <c r="AI213" s="14">
        <v>393.6</v>
      </c>
      <c r="AJ213" s="14">
        <v>2.32</v>
      </c>
      <c r="AK213" s="14">
        <v>2.46</v>
      </c>
      <c r="AL213" s="14">
        <v>2.38</v>
      </c>
      <c r="AM213" s="14">
        <v>2.57</v>
      </c>
      <c r="AN213" s="14">
        <v>2.5</v>
      </c>
      <c r="AO213" s="14">
        <v>2.4459999999999997</v>
      </c>
      <c r="AP213" s="14">
        <v>52.2</v>
      </c>
      <c r="AQ213" s="14">
        <v>71.1</v>
      </c>
      <c r="AR213" s="14">
        <v>32.0</v>
      </c>
      <c r="AS213" s="14">
        <v>18.0</v>
      </c>
      <c r="AT213" s="14">
        <v>2.23</v>
      </c>
      <c r="AU213" s="14">
        <v>2400000.0</v>
      </c>
      <c r="AV213" s="20">
        <v>2.683</v>
      </c>
      <c r="AW213" s="20">
        <v>20.7</v>
      </c>
      <c r="AX213" s="20">
        <v>70000.0</v>
      </c>
      <c r="AY213" s="14">
        <v>0.5</v>
      </c>
      <c r="AZ213" s="14">
        <v>0.5</v>
      </c>
      <c r="BA213" s="14">
        <v>21.7</v>
      </c>
    </row>
    <row r="214" ht="14.25" customHeight="1">
      <c r="A214" s="10" t="s">
        <v>301</v>
      </c>
      <c r="B214" s="11" t="s">
        <v>133</v>
      </c>
      <c r="C214" s="11"/>
      <c r="D214" s="12"/>
      <c r="E214" s="11">
        <v>43140.0</v>
      </c>
      <c r="F214" s="12">
        <v>1.0</v>
      </c>
      <c r="G214" s="12"/>
      <c r="H214" s="13">
        <v>0.3958333333333333</v>
      </c>
      <c r="I214" s="13">
        <v>0.4791666666666667</v>
      </c>
      <c r="J214" s="12"/>
      <c r="K214" s="12"/>
      <c r="L214" s="14">
        <v>29.2</v>
      </c>
      <c r="M214" s="14">
        <v>27.86</v>
      </c>
      <c r="N214" s="14">
        <v>28.57</v>
      </c>
      <c r="O214" s="14">
        <v>26.79</v>
      </c>
      <c r="P214" s="14">
        <v>27.93</v>
      </c>
      <c r="Q214" s="14">
        <v>28.07</v>
      </c>
      <c r="R214" s="14">
        <v>7.41</v>
      </c>
      <c r="S214" s="14">
        <v>7.4</v>
      </c>
      <c r="T214" s="14">
        <v>7.49</v>
      </c>
      <c r="U214" s="14">
        <v>7.03</v>
      </c>
      <c r="V214" s="14">
        <v>7.58</v>
      </c>
      <c r="W214" s="14">
        <v>7.382000000000001</v>
      </c>
      <c r="X214" s="14">
        <v>13.0</v>
      </c>
      <c r="Y214" s="14">
        <v>12.9</v>
      </c>
      <c r="Z214" s="14">
        <v>13.0</v>
      </c>
      <c r="AA214" s="14">
        <v>13.3</v>
      </c>
      <c r="AB214" s="14">
        <v>14.1</v>
      </c>
      <c r="AC214" s="14">
        <v>13.26</v>
      </c>
      <c r="AD214" s="14">
        <v>106.3</v>
      </c>
      <c r="AE214" s="14">
        <v>125.2</v>
      </c>
      <c r="AF214" s="14">
        <v>106.0</v>
      </c>
      <c r="AG214" s="14">
        <v>105.9</v>
      </c>
      <c r="AH214" s="14">
        <v>106.3</v>
      </c>
      <c r="AI214" s="14">
        <v>109.93999999999998</v>
      </c>
      <c r="AJ214" s="14">
        <v>6.33</v>
      </c>
      <c r="AK214" s="14">
        <v>5.73</v>
      </c>
      <c r="AL214" s="14">
        <v>6.59</v>
      </c>
      <c r="AM214" s="14">
        <v>6.66</v>
      </c>
      <c r="AN214" s="14">
        <v>6.86</v>
      </c>
      <c r="AO214" s="14">
        <v>6.434</v>
      </c>
      <c r="AP214" s="14">
        <v>3.2</v>
      </c>
      <c r="AQ214" s="14">
        <v>17.4</v>
      </c>
      <c r="AR214" s="14">
        <v>6.0</v>
      </c>
      <c r="AS214" s="14">
        <v>6.0</v>
      </c>
      <c r="AT214" s="14">
        <v>1.3</v>
      </c>
      <c r="AU214" s="14">
        <v>7800.0</v>
      </c>
      <c r="AV214" s="20">
        <v>0.224</v>
      </c>
      <c r="AW214" s="25">
        <v>1.0</v>
      </c>
      <c r="AX214" s="20">
        <v>470.0</v>
      </c>
      <c r="AY214" s="14">
        <v>10.22</v>
      </c>
      <c r="AZ214" s="14">
        <v>0.5</v>
      </c>
      <c r="BA214" s="14">
        <v>11.72</v>
      </c>
    </row>
    <row r="215" ht="14.25" customHeight="1">
      <c r="A215" s="10" t="s">
        <v>302</v>
      </c>
      <c r="B215" s="11" t="s">
        <v>131</v>
      </c>
      <c r="C215" s="11"/>
      <c r="D215" s="12"/>
      <c r="E215" s="11">
        <v>43140.0</v>
      </c>
      <c r="F215" s="12">
        <v>1.0</v>
      </c>
      <c r="G215" s="12"/>
      <c r="H215" s="13">
        <v>0.5</v>
      </c>
      <c r="I215" s="13">
        <v>0.5833333333333334</v>
      </c>
      <c r="J215" s="12">
        <v>2.2</v>
      </c>
      <c r="K215" s="12">
        <v>0.3</v>
      </c>
      <c r="L215" s="14">
        <v>30.5</v>
      </c>
      <c r="M215" s="14">
        <v>35.2</v>
      </c>
      <c r="N215" s="14">
        <v>31.5</v>
      </c>
      <c r="O215" s="14">
        <v>36.4</v>
      </c>
      <c r="P215" s="14">
        <v>30.2</v>
      </c>
      <c r="Q215" s="14">
        <v>32.76</v>
      </c>
      <c r="R215" s="14">
        <v>7.06</v>
      </c>
      <c r="S215" s="14">
        <v>7.47</v>
      </c>
      <c r="T215" s="14">
        <v>7.5</v>
      </c>
      <c r="U215" s="14">
        <v>7.64</v>
      </c>
      <c r="V215" s="14">
        <v>7.55</v>
      </c>
      <c r="W215" s="14">
        <v>7.444</v>
      </c>
      <c r="X215" s="14">
        <v>16.2</v>
      </c>
      <c r="Y215" s="14">
        <v>16.8</v>
      </c>
      <c r="Z215" s="14">
        <v>17.1</v>
      </c>
      <c r="AA215" s="14">
        <v>17.4</v>
      </c>
      <c r="AB215" s="14">
        <v>17.9</v>
      </c>
      <c r="AC215" s="14">
        <v>17.080000000000002</v>
      </c>
      <c r="AD215" s="14">
        <v>230.0</v>
      </c>
      <c r="AE215" s="14">
        <v>179.5</v>
      </c>
      <c r="AF215" s="14">
        <v>185.5</v>
      </c>
      <c r="AG215" s="14">
        <v>193.2</v>
      </c>
      <c r="AH215" s="14">
        <v>252.0</v>
      </c>
      <c r="AI215" s="14">
        <v>208.04000000000002</v>
      </c>
      <c r="AJ215" s="14">
        <v>5.72</v>
      </c>
      <c r="AK215" s="14">
        <v>5.36</v>
      </c>
      <c r="AL215" s="14">
        <v>5.24</v>
      </c>
      <c r="AM215" s="14">
        <v>5.03</v>
      </c>
      <c r="AN215" s="14">
        <v>5.22</v>
      </c>
      <c r="AO215" s="14">
        <v>5.314</v>
      </c>
      <c r="AP215" s="14">
        <v>15.8</v>
      </c>
      <c r="AQ215" s="14">
        <v>27.8</v>
      </c>
      <c r="AR215" s="14">
        <v>4.0</v>
      </c>
      <c r="AS215" s="14">
        <v>10.0</v>
      </c>
      <c r="AT215" s="14">
        <v>0.99</v>
      </c>
      <c r="AU215" s="14">
        <v>180000.0</v>
      </c>
      <c r="AV215" s="20">
        <v>0.578</v>
      </c>
      <c r="AW215" s="20">
        <v>4.0</v>
      </c>
      <c r="AX215" s="20">
        <v>2400.0</v>
      </c>
      <c r="AY215" s="14">
        <v>0.5</v>
      </c>
      <c r="AZ215" s="14">
        <v>0.5</v>
      </c>
      <c r="BA215" s="14">
        <v>5.0</v>
      </c>
    </row>
    <row r="216" ht="14.25" customHeight="1">
      <c r="A216" s="10" t="s">
        <v>303</v>
      </c>
      <c r="B216" s="11" t="s">
        <v>114</v>
      </c>
      <c r="C216" s="11"/>
      <c r="D216" s="12"/>
      <c r="E216" s="11">
        <v>43154.0</v>
      </c>
      <c r="F216" s="12">
        <v>1.0</v>
      </c>
      <c r="G216" s="12"/>
      <c r="H216" s="13">
        <v>0.375</v>
      </c>
      <c r="I216" s="13">
        <v>0.4583333333333333</v>
      </c>
      <c r="J216" s="12">
        <v>2.0</v>
      </c>
      <c r="K216" s="12">
        <v>0.07</v>
      </c>
      <c r="L216" s="14">
        <v>17.4</v>
      </c>
      <c r="M216" s="14">
        <v>17.8</v>
      </c>
      <c r="N216" s="14">
        <v>16.2</v>
      </c>
      <c r="O216" s="14">
        <v>19.0</v>
      </c>
      <c r="P216" s="14">
        <v>18.5</v>
      </c>
      <c r="Q216" s="14">
        <v>17.78</v>
      </c>
      <c r="R216" s="14">
        <v>7.36</v>
      </c>
      <c r="S216" s="14">
        <v>7.33</v>
      </c>
      <c r="T216" s="14">
        <v>7.48</v>
      </c>
      <c r="U216" s="14">
        <v>7.43</v>
      </c>
      <c r="V216" s="14">
        <v>7.44</v>
      </c>
      <c r="W216" s="14">
        <v>7.4079999999999995</v>
      </c>
      <c r="X216" s="14">
        <v>19.5</v>
      </c>
      <c r="Y216" s="14">
        <v>19.4</v>
      </c>
      <c r="Z216" s="14">
        <v>19.5</v>
      </c>
      <c r="AA216" s="14">
        <v>19.1</v>
      </c>
      <c r="AB216" s="14">
        <v>18.5</v>
      </c>
      <c r="AC216" s="14">
        <v>19.2</v>
      </c>
      <c r="AD216" s="14">
        <v>475.0</v>
      </c>
      <c r="AE216" s="14">
        <v>412.0</v>
      </c>
      <c r="AF216" s="14">
        <v>409.0</v>
      </c>
      <c r="AG216" s="14">
        <v>419.0</v>
      </c>
      <c r="AH216" s="14">
        <v>395.0</v>
      </c>
      <c r="AI216" s="14">
        <v>422.0</v>
      </c>
      <c r="AJ216" s="14">
        <v>2.17</v>
      </c>
      <c r="AK216" s="14">
        <v>1.79</v>
      </c>
      <c r="AL216" s="14">
        <v>1.79</v>
      </c>
      <c r="AM216" s="14">
        <v>1.58</v>
      </c>
      <c r="AN216" s="14">
        <v>1.64</v>
      </c>
      <c r="AO216" s="14">
        <v>1.794</v>
      </c>
      <c r="AP216" s="14">
        <v>49.8</v>
      </c>
      <c r="AQ216" s="14">
        <v>79.6</v>
      </c>
      <c r="AR216" s="14">
        <v>24.0</v>
      </c>
      <c r="AS216" s="14">
        <v>21.0</v>
      </c>
      <c r="AT216" s="14">
        <v>1.59</v>
      </c>
      <c r="AU216" s="14">
        <v>1.6E7</v>
      </c>
      <c r="AV216" s="15">
        <v>1.702</v>
      </c>
      <c r="AW216" s="15">
        <v>17.2</v>
      </c>
      <c r="AX216" s="15">
        <v>1100000.0</v>
      </c>
      <c r="AY216" s="14">
        <v>0.5</v>
      </c>
      <c r="AZ216" s="14">
        <v>0.5</v>
      </c>
      <c r="BA216" s="14">
        <v>18.2</v>
      </c>
    </row>
    <row r="217" ht="14.25" customHeight="1">
      <c r="A217" s="10" t="s">
        <v>304</v>
      </c>
      <c r="B217" s="11" t="s">
        <v>129</v>
      </c>
      <c r="C217" s="11"/>
      <c r="D217" s="12"/>
      <c r="E217" s="11">
        <v>43154.0</v>
      </c>
      <c r="F217" s="12">
        <v>1.0</v>
      </c>
      <c r="G217" s="12"/>
      <c r="H217" s="13">
        <v>0.46527777777777773</v>
      </c>
      <c r="I217" s="13">
        <v>0.548611111111111</v>
      </c>
      <c r="J217" s="12">
        <v>5.5</v>
      </c>
      <c r="K217" s="12">
        <v>0.15</v>
      </c>
      <c r="L217" s="14">
        <v>104.2</v>
      </c>
      <c r="M217" s="14">
        <v>114.9</v>
      </c>
      <c r="N217" s="14">
        <v>107.3</v>
      </c>
      <c r="O217" s="14">
        <v>113.5</v>
      </c>
      <c r="P217" s="14">
        <v>109.8</v>
      </c>
      <c r="Q217" s="14">
        <v>109.94000000000001</v>
      </c>
      <c r="R217" s="14">
        <v>8.1</v>
      </c>
      <c r="S217" s="14">
        <v>8.23</v>
      </c>
      <c r="T217" s="14">
        <v>8.16</v>
      </c>
      <c r="U217" s="14">
        <v>8.11</v>
      </c>
      <c r="V217" s="14">
        <v>8.09</v>
      </c>
      <c r="W217" s="14">
        <v>8.138</v>
      </c>
      <c r="X217" s="14">
        <v>17.1</v>
      </c>
      <c r="Y217" s="14">
        <v>17.3</v>
      </c>
      <c r="Z217" s="14">
        <v>17.6</v>
      </c>
      <c r="AA217" s="14">
        <v>17.9</v>
      </c>
      <c r="AB217" s="14">
        <v>18.1</v>
      </c>
      <c r="AC217" s="14">
        <v>17.6</v>
      </c>
      <c r="AD217" s="14">
        <v>581.0</v>
      </c>
      <c r="AE217" s="14">
        <v>577.0</v>
      </c>
      <c r="AF217" s="14">
        <v>566.0</v>
      </c>
      <c r="AG217" s="14">
        <v>561.0</v>
      </c>
      <c r="AH217" s="14">
        <v>567.0</v>
      </c>
      <c r="AI217" s="14">
        <v>570.4</v>
      </c>
      <c r="AJ217" s="14">
        <v>0.36</v>
      </c>
      <c r="AK217" s="14">
        <v>1.0</v>
      </c>
      <c r="AL217" s="14">
        <v>0.64</v>
      </c>
      <c r="AM217" s="14">
        <v>0.91</v>
      </c>
      <c r="AN217" s="14">
        <v>0.31</v>
      </c>
      <c r="AO217" s="14">
        <v>0.644</v>
      </c>
      <c r="AP217" s="14">
        <v>130.0</v>
      </c>
      <c r="AQ217" s="14">
        <v>161.0</v>
      </c>
      <c r="AR217" s="14">
        <v>6.0</v>
      </c>
      <c r="AS217" s="14">
        <v>44.0</v>
      </c>
      <c r="AT217" s="14">
        <v>7.6</v>
      </c>
      <c r="AU217" s="14">
        <v>3.5E7</v>
      </c>
      <c r="AV217" s="26">
        <v>4.919</v>
      </c>
      <c r="AW217" s="26">
        <v>38.9</v>
      </c>
      <c r="AX217" s="26">
        <v>1300000.0</v>
      </c>
      <c r="AY217" s="14">
        <v>0.5</v>
      </c>
      <c r="AZ217" s="14">
        <v>0.5</v>
      </c>
      <c r="BA217" s="14">
        <v>39.9</v>
      </c>
    </row>
    <row r="218" ht="14.25" customHeight="1">
      <c r="A218" s="10" t="s">
        <v>305</v>
      </c>
      <c r="B218" s="11" t="s">
        <v>133</v>
      </c>
      <c r="C218" s="11"/>
      <c r="D218" s="12"/>
      <c r="E218" s="11">
        <v>43516.0</v>
      </c>
      <c r="F218" s="12">
        <v>1.0</v>
      </c>
      <c r="G218" s="12"/>
      <c r="H218" s="13">
        <v>0.2708333333333333</v>
      </c>
      <c r="I218" s="13">
        <v>0.3541666666666667</v>
      </c>
      <c r="J218" s="12"/>
      <c r="K218" s="12"/>
      <c r="L218" s="14">
        <v>31.6</v>
      </c>
      <c r="M218" s="14">
        <v>46.6</v>
      </c>
      <c r="N218" s="14">
        <v>45.8</v>
      </c>
      <c r="O218" s="14">
        <v>50.3</v>
      </c>
      <c r="P218" s="14">
        <v>38.3</v>
      </c>
      <c r="Q218" s="14">
        <v>42.52</v>
      </c>
      <c r="R218" s="14">
        <v>6.89</v>
      </c>
      <c r="S218" s="14">
        <v>6.84</v>
      </c>
      <c r="T218" s="14">
        <v>6.87</v>
      </c>
      <c r="U218" s="14">
        <v>6.88</v>
      </c>
      <c r="V218" s="14">
        <v>6.92</v>
      </c>
      <c r="W218" s="14">
        <v>6.88</v>
      </c>
      <c r="X218" s="14">
        <v>12.7</v>
      </c>
      <c r="Y218" s="14">
        <v>12.8</v>
      </c>
      <c r="Z218" s="14">
        <v>12.7</v>
      </c>
      <c r="AA218" s="14">
        <v>12.8</v>
      </c>
      <c r="AB218" s="14">
        <v>12.8</v>
      </c>
      <c r="AC218" s="14">
        <v>12.76</v>
      </c>
      <c r="AD218" s="14">
        <v>203.0</v>
      </c>
      <c r="AE218" s="14">
        <v>203.0</v>
      </c>
      <c r="AF218" s="14">
        <v>203.0</v>
      </c>
      <c r="AG218" s="14">
        <v>204.0</v>
      </c>
      <c r="AH218" s="14">
        <v>202.0</v>
      </c>
      <c r="AI218" s="14">
        <v>203.0</v>
      </c>
      <c r="AJ218" s="14">
        <v>11.48</v>
      </c>
      <c r="AK218" s="14">
        <v>11.69</v>
      </c>
      <c r="AL218" s="14">
        <v>11.66</v>
      </c>
      <c r="AM218" s="14">
        <v>11.55</v>
      </c>
      <c r="AN218" s="14">
        <v>11.09</v>
      </c>
      <c r="AO218" s="14">
        <v>11.494</v>
      </c>
      <c r="AP218" s="14">
        <v>3.4</v>
      </c>
      <c r="AQ218" s="14">
        <v>14.8</v>
      </c>
      <c r="AR218" s="14">
        <v>17.0</v>
      </c>
      <c r="AS218" s="14">
        <v>10.0</v>
      </c>
      <c r="AT218" s="14">
        <v>0.4</v>
      </c>
      <c r="AU218" s="14">
        <v>30760.0</v>
      </c>
      <c r="AV218" s="15">
        <v>0.115</v>
      </c>
      <c r="AW218" s="19">
        <v>0.3</v>
      </c>
      <c r="AX218" s="19">
        <v>1.0</v>
      </c>
      <c r="AY218" s="14">
        <v>4.1</v>
      </c>
      <c r="AZ218" s="14">
        <v>0.086</v>
      </c>
      <c r="BA218" s="14">
        <v>4.486</v>
      </c>
    </row>
    <row r="219" ht="14.25" customHeight="1">
      <c r="A219" s="10" t="s">
        <v>306</v>
      </c>
      <c r="B219" s="11" t="s">
        <v>131</v>
      </c>
      <c r="C219" s="11"/>
      <c r="D219" s="12"/>
      <c r="E219" s="11">
        <v>43516.0</v>
      </c>
      <c r="F219" s="12">
        <v>1.0</v>
      </c>
      <c r="G219" s="12"/>
      <c r="H219" s="13">
        <v>0.3854166666666667</v>
      </c>
      <c r="I219" s="13">
        <v>0.46875</v>
      </c>
      <c r="J219" s="12"/>
      <c r="K219" s="12"/>
      <c r="L219" s="14">
        <v>32.4</v>
      </c>
      <c r="M219" s="14">
        <v>41.6</v>
      </c>
      <c r="N219" s="14">
        <v>36.8</v>
      </c>
      <c r="O219" s="14">
        <v>39.3</v>
      </c>
      <c r="P219" s="14">
        <v>35.7</v>
      </c>
      <c r="Q219" s="14">
        <v>37.160000000000004</v>
      </c>
      <c r="R219" s="14">
        <v>7.8</v>
      </c>
      <c r="S219" s="14">
        <v>7.79</v>
      </c>
      <c r="T219" s="14">
        <v>7.77</v>
      </c>
      <c r="U219" s="14">
        <v>7.77</v>
      </c>
      <c r="V219" s="14">
        <v>7.85</v>
      </c>
      <c r="W219" s="14">
        <v>7.795999999999999</v>
      </c>
      <c r="X219" s="14">
        <v>15.0</v>
      </c>
      <c r="Y219" s="14">
        <v>14.9</v>
      </c>
      <c r="Z219" s="14">
        <v>15.0</v>
      </c>
      <c r="AA219" s="14">
        <v>15.2</v>
      </c>
      <c r="AB219" s="14">
        <v>15.7</v>
      </c>
      <c r="AC219" s="14">
        <v>15.16</v>
      </c>
      <c r="AD219" s="14">
        <v>413.0</v>
      </c>
      <c r="AE219" s="14">
        <v>410.0</v>
      </c>
      <c r="AF219" s="14">
        <v>406.0</v>
      </c>
      <c r="AG219" s="14">
        <v>394.0</v>
      </c>
      <c r="AH219" s="14">
        <v>402.0</v>
      </c>
      <c r="AI219" s="14">
        <v>405.0</v>
      </c>
      <c r="AJ219" s="14">
        <v>6.36</v>
      </c>
      <c r="AK219" s="14">
        <v>6.54</v>
      </c>
      <c r="AL219" s="14">
        <v>6.22</v>
      </c>
      <c r="AM219" s="14">
        <v>6.5</v>
      </c>
      <c r="AN219" s="14">
        <v>6.73</v>
      </c>
      <c r="AO219" s="14">
        <v>6.470000000000001</v>
      </c>
      <c r="AP219" s="14">
        <v>17.0</v>
      </c>
      <c r="AQ219" s="14">
        <v>76.4</v>
      </c>
      <c r="AR219" s="14">
        <v>13.0</v>
      </c>
      <c r="AS219" s="14">
        <v>10.0</v>
      </c>
      <c r="AT219" s="14">
        <v>0.56</v>
      </c>
      <c r="AU219" s="14">
        <v>1.9863E7</v>
      </c>
      <c r="AV219" s="15">
        <v>1.73</v>
      </c>
      <c r="AW219" s="15">
        <v>14.4</v>
      </c>
      <c r="AX219" s="19">
        <v>1.0</v>
      </c>
      <c r="AY219" s="14">
        <v>1.39</v>
      </c>
      <c r="AZ219" s="14">
        <v>0.3</v>
      </c>
      <c r="BA219" s="14">
        <v>16.09</v>
      </c>
    </row>
    <row r="220" ht="14.25" customHeight="1">
      <c r="A220" s="10" t="s">
        <v>307</v>
      </c>
      <c r="B220" s="11" t="s">
        <v>135</v>
      </c>
      <c r="C220" s="11"/>
      <c r="D220" s="12"/>
      <c r="E220" s="11">
        <v>43516.0</v>
      </c>
      <c r="F220" s="12">
        <v>1.0</v>
      </c>
      <c r="G220" s="12" t="s">
        <v>308</v>
      </c>
      <c r="H220" s="13">
        <v>0.5625</v>
      </c>
      <c r="I220" s="13">
        <v>0.6458333333333334</v>
      </c>
      <c r="J220" s="12"/>
      <c r="K220" s="12"/>
      <c r="L220" s="14">
        <v>98.4</v>
      </c>
      <c r="M220" s="14">
        <v>106.4</v>
      </c>
      <c r="N220" s="14">
        <v>92.5</v>
      </c>
      <c r="O220" s="14">
        <v>64.0</v>
      </c>
      <c r="P220" s="14">
        <v>83.3</v>
      </c>
      <c r="Q220" s="14">
        <v>88.92</v>
      </c>
      <c r="R220" s="14">
        <v>7.56</v>
      </c>
      <c r="S220" s="14">
        <v>7.58</v>
      </c>
      <c r="T220" s="14">
        <v>7.58</v>
      </c>
      <c r="U220" s="14">
        <v>7.61</v>
      </c>
      <c r="V220" s="14">
        <v>7.6</v>
      </c>
      <c r="W220" s="14">
        <v>7.586</v>
      </c>
      <c r="X220" s="14">
        <v>19.9</v>
      </c>
      <c r="Y220" s="14">
        <v>19.9</v>
      </c>
      <c r="Z220" s="14">
        <v>19.7</v>
      </c>
      <c r="AA220" s="14">
        <v>19.5</v>
      </c>
      <c r="AB220" s="14">
        <v>19.5</v>
      </c>
      <c r="AC220" s="14">
        <v>19.7</v>
      </c>
      <c r="AD220" s="14">
        <v>537.0</v>
      </c>
      <c r="AE220" s="14">
        <v>538.0</v>
      </c>
      <c r="AF220" s="14">
        <v>530.0</v>
      </c>
      <c r="AG220" s="14">
        <v>540.0</v>
      </c>
      <c r="AH220" s="14">
        <v>538.0</v>
      </c>
      <c r="AI220" s="14">
        <v>536.6</v>
      </c>
      <c r="AJ220" s="14">
        <v>3.96</v>
      </c>
      <c r="AK220" s="14">
        <v>4.83</v>
      </c>
      <c r="AL220" s="14">
        <v>5.45</v>
      </c>
      <c r="AM220" s="14">
        <v>4.44</v>
      </c>
      <c r="AN220" s="14">
        <v>4.72</v>
      </c>
      <c r="AO220" s="14">
        <v>4.68</v>
      </c>
      <c r="AP220" s="14">
        <v>89.2</v>
      </c>
      <c r="AQ220" s="14">
        <v>218.0</v>
      </c>
      <c r="AR220" s="14">
        <v>114.0</v>
      </c>
      <c r="AS220" s="14">
        <v>10.0</v>
      </c>
      <c r="AT220" s="14">
        <v>2.6</v>
      </c>
      <c r="AU220" s="14">
        <v>109000.0</v>
      </c>
      <c r="AV220" s="15">
        <v>3.243</v>
      </c>
      <c r="AW220" s="15">
        <v>25.6</v>
      </c>
      <c r="AX220" s="19">
        <v>1.0</v>
      </c>
      <c r="AY220" s="14">
        <v>1.78</v>
      </c>
      <c r="AZ220" s="14">
        <v>0.007</v>
      </c>
      <c r="BA220" s="14">
        <v>27.387</v>
      </c>
    </row>
    <row r="221" ht="14.25" customHeight="1">
      <c r="A221" s="10" t="s">
        <v>309</v>
      </c>
      <c r="B221" s="11" t="s">
        <v>145</v>
      </c>
      <c r="C221" s="11"/>
      <c r="D221" s="12"/>
      <c r="E221" s="11">
        <v>43523.0</v>
      </c>
      <c r="F221" s="12">
        <v>1.0</v>
      </c>
      <c r="G221" s="12" t="s">
        <v>308</v>
      </c>
      <c r="H221" s="13">
        <v>0.2916666666666667</v>
      </c>
      <c r="I221" s="13">
        <v>0.375</v>
      </c>
      <c r="J221" s="12"/>
      <c r="K221" s="12"/>
      <c r="L221" s="14">
        <v>0.4</v>
      </c>
      <c r="M221" s="14">
        <v>0.38</v>
      </c>
      <c r="N221" s="14">
        <v>0.5</v>
      </c>
      <c r="O221" s="14">
        <v>0.37</v>
      </c>
      <c r="P221" s="14">
        <v>0.54</v>
      </c>
      <c r="Q221" s="14">
        <v>0.438</v>
      </c>
      <c r="R221" s="14">
        <v>8.18</v>
      </c>
      <c r="S221" s="14">
        <v>8.14</v>
      </c>
      <c r="T221" s="14">
        <v>8.08</v>
      </c>
      <c r="U221" s="14">
        <v>8.09</v>
      </c>
      <c r="V221" s="14">
        <v>8.12</v>
      </c>
      <c r="W221" s="14">
        <v>8.121999999999998</v>
      </c>
      <c r="X221" s="14">
        <v>15.7</v>
      </c>
      <c r="Y221" s="14">
        <v>16.1</v>
      </c>
      <c r="Z221" s="14">
        <v>16.2</v>
      </c>
      <c r="AA221" s="14">
        <v>16.5</v>
      </c>
      <c r="AB221" s="14">
        <v>16.5</v>
      </c>
      <c r="AC221" s="14">
        <v>16.2</v>
      </c>
      <c r="AD221" s="14">
        <v>949.0</v>
      </c>
      <c r="AE221" s="14">
        <v>794.0</v>
      </c>
      <c r="AF221" s="14">
        <v>895.0</v>
      </c>
      <c r="AG221" s="14">
        <v>769.0</v>
      </c>
      <c r="AH221" s="14">
        <v>792.0</v>
      </c>
      <c r="AI221" s="14">
        <v>839.8</v>
      </c>
      <c r="AJ221" s="14">
        <v>3.1</v>
      </c>
      <c r="AK221" s="14">
        <v>3.15</v>
      </c>
      <c r="AL221" s="14">
        <v>4.01</v>
      </c>
      <c r="AM221" s="14">
        <v>4.04</v>
      </c>
      <c r="AN221" s="14">
        <v>3.73</v>
      </c>
      <c r="AO221" s="14">
        <v>3.6060000000000003</v>
      </c>
      <c r="AP221" s="14">
        <v>208.0</v>
      </c>
      <c r="AQ221" s="14">
        <v>1665.0</v>
      </c>
      <c r="AR221" s="14">
        <v>862.0</v>
      </c>
      <c r="AS221" s="14">
        <v>106.0</v>
      </c>
      <c r="AT221" s="14">
        <v>3.8</v>
      </c>
      <c r="AU221" s="14">
        <v>1.296E10</v>
      </c>
      <c r="AV221" s="15">
        <v>5.738</v>
      </c>
      <c r="AW221" s="15">
        <v>24.1</v>
      </c>
      <c r="AX221" s="15">
        <v>980400.0</v>
      </c>
      <c r="AY221" s="14">
        <v>1.18</v>
      </c>
      <c r="AZ221" s="14">
        <v>0.007</v>
      </c>
      <c r="BA221" s="14">
        <v>25.287000000000003</v>
      </c>
    </row>
    <row r="222" ht="14.25" customHeight="1">
      <c r="A222" s="10" t="s">
        <v>310</v>
      </c>
      <c r="B222" s="11" t="s">
        <v>138</v>
      </c>
      <c r="C222" s="11"/>
      <c r="D222" s="12"/>
      <c r="E222" s="11">
        <v>43523.0</v>
      </c>
      <c r="F222" s="12">
        <v>1.0</v>
      </c>
      <c r="G222" s="12" t="s">
        <v>308</v>
      </c>
      <c r="H222" s="13">
        <v>0.3958333333333333</v>
      </c>
      <c r="I222" s="13">
        <v>0.4791666666666667</v>
      </c>
      <c r="J222" s="12"/>
      <c r="K222" s="12"/>
      <c r="L222" s="14">
        <v>17.6</v>
      </c>
      <c r="M222" s="14">
        <v>18.2</v>
      </c>
      <c r="N222" s="14">
        <v>20.9</v>
      </c>
      <c r="O222" s="14">
        <v>19.5</v>
      </c>
      <c r="P222" s="14">
        <v>20.2</v>
      </c>
      <c r="Q222" s="14">
        <v>19.279999999999998</v>
      </c>
      <c r="R222" s="14">
        <v>8.07</v>
      </c>
      <c r="S222" s="14">
        <v>8.0</v>
      </c>
      <c r="T222" s="14">
        <v>7.91</v>
      </c>
      <c r="U222" s="14">
        <v>7.85</v>
      </c>
      <c r="V222" s="14">
        <v>7.83</v>
      </c>
      <c r="W222" s="14">
        <v>7.9319999999999995</v>
      </c>
      <c r="X222" s="14">
        <v>15.4</v>
      </c>
      <c r="Y222" s="14">
        <v>15.7</v>
      </c>
      <c r="Z222" s="14">
        <v>16.0</v>
      </c>
      <c r="AA222" s="14">
        <v>16.9</v>
      </c>
      <c r="AB222" s="14">
        <v>17.1</v>
      </c>
      <c r="AC222" s="14">
        <v>16.22</v>
      </c>
      <c r="AD222" s="14">
        <v>1122.0</v>
      </c>
      <c r="AE222" s="14">
        <v>1068.0</v>
      </c>
      <c r="AF222" s="14">
        <v>1047.0</v>
      </c>
      <c r="AG222" s="14">
        <v>991.0</v>
      </c>
      <c r="AH222" s="14">
        <v>1008.0</v>
      </c>
      <c r="AI222" s="14">
        <v>1047.2</v>
      </c>
      <c r="AJ222" s="14">
        <v>2.67</v>
      </c>
      <c r="AK222" s="14">
        <v>2.36</v>
      </c>
      <c r="AL222" s="14">
        <v>2.64</v>
      </c>
      <c r="AM222" s="14">
        <v>2.82</v>
      </c>
      <c r="AN222" s="14">
        <v>2.14</v>
      </c>
      <c r="AO222" s="14">
        <v>2.5260000000000002</v>
      </c>
      <c r="AP222" s="14">
        <v>196.0</v>
      </c>
      <c r="AQ222" s="14">
        <v>678.0</v>
      </c>
      <c r="AR222" s="14">
        <v>240.0</v>
      </c>
      <c r="AS222" s="14">
        <v>44.7</v>
      </c>
      <c r="AT222" s="14">
        <v>4.82</v>
      </c>
      <c r="AU222" s="14">
        <v>1.314E9</v>
      </c>
      <c r="AV222" s="15">
        <v>9.192</v>
      </c>
      <c r="AW222" s="15">
        <v>78.1</v>
      </c>
      <c r="AX222" s="15">
        <v>128700.0</v>
      </c>
      <c r="AY222" s="14">
        <v>0.63</v>
      </c>
      <c r="AZ222" s="14">
        <v>0.007</v>
      </c>
      <c r="BA222" s="14">
        <v>78.737</v>
      </c>
    </row>
    <row r="223" ht="14.25" customHeight="1">
      <c r="A223" s="10" t="s">
        <v>311</v>
      </c>
      <c r="B223" s="11" t="s">
        <v>126</v>
      </c>
      <c r="C223" s="11"/>
      <c r="D223" s="12"/>
      <c r="E223" s="11">
        <v>43530.0</v>
      </c>
      <c r="F223" s="12">
        <v>1.0</v>
      </c>
      <c r="G223" s="12" t="s">
        <v>308</v>
      </c>
      <c r="H223" s="13">
        <v>0.2708333333333333</v>
      </c>
      <c r="I223" s="13">
        <v>0.3541666666666667</v>
      </c>
      <c r="J223" s="12"/>
      <c r="K223" s="12"/>
      <c r="L223" s="14">
        <v>6.6</v>
      </c>
      <c r="M223" s="14">
        <v>6.2</v>
      </c>
      <c r="N223" s="14">
        <v>6.4</v>
      </c>
      <c r="O223" s="14">
        <v>8.5</v>
      </c>
      <c r="P223" s="14">
        <v>6.8</v>
      </c>
      <c r="Q223" s="14">
        <v>6.9</v>
      </c>
      <c r="R223" s="14">
        <v>7.786</v>
      </c>
      <c r="S223" s="14">
        <v>7.816</v>
      </c>
      <c r="T223" s="14">
        <v>7.782</v>
      </c>
      <c r="U223" s="14">
        <v>7.81</v>
      </c>
      <c r="V223" s="14">
        <v>7.82</v>
      </c>
      <c r="W223" s="14">
        <v>7.8027999999999995</v>
      </c>
      <c r="X223" s="14">
        <v>13.3</v>
      </c>
      <c r="Y223" s="14">
        <v>13.5</v>
      </c>
      <c r="Z223" s="14">
        <v>13.5</v>
      </c>
      <c r="AA223" s="14">
        <v>13.3</v>
      </c>
      <c r="AB223" s="14">
        <v>13.7</v>
      </c>
      <c r="AC223" s="14">
        <v>13.459999999999999</v>
      </c>
      <c r="AD223" s="14">
        <v>385.0</v>
      </c>
      <c r="AE223" s="14">
        <v>392.0</v>
      </c>
      <c r="AF223" s="14">
        <v>408.0</v>
      </c>
      <c r="AG223" s="14">
        <v>478.0</v>
      </c>
      <c r="AH223" s="14">
        <v>493.0</v>
      </c>
      <c r="AI223" s="14">
        <v>431.2</v>
      </c>
      <c r="AJ223" s="14">
        <v>4.78</v>
      </c>
      <c r="AK223" s="14">
        <v>4.9</v>
      </c>
      <c r="AL223" s="14">
        <v>5.38</v>
      </c>
      <c r="AM223" s="14">
        <v>5.21</v>
      </c>
      <c r="AN223" s="14">
        <v>5.16</v>
      </c>
      <c r="AO223" s="14">
        <v>5.086</v>
      </c>
      <c r="AP223" s="14">
        <v>24.8</v>
      </c>
      <c r="AQ223" s="14">
        <v>157.0</v>
      </c>
      <c r="AR223" s="14">
        <v>355.0</v>
      </c>
      <c r="AS223" s="14">
        <v>10.0</v>
      </c>
      <c r="AT223" s="14">
        <v>0.4</v>
      </c>
      <c r="AU223" s="14">
        <v>8164000.0</v>
      </c>
      <c r="AV223" s="15">
        <v>4.109</v>
      </c>
      <c r="AW223" s="15">
        <v>13.8</v>
      </c>
      <c r="AX223" s="15">
        <v>14136.0</v>
      </c>
      <c r="AY223" s="14">
        <v>1.17</v>
      </c>
      <c r="AZ223" s="14">
        <v>0.161</v>
      </c>
      <c r="BA223" s="14">
        <v>15.131</v>
      </c>
    </row>
    <row r="224" ht="14.25" customHeight="1">
      <c r="A224" s="10" t="s">
        <v>312</v>
      </c>
      <c r="B224" s="11" t="s">
        <v>104</v>
      </c>
      <c r="C224" s="11"/>
      <c r="D224" s="12"/>
      <c r="E224" s="11">
        <v>43530.0</v>
      </c>
      <c r="F224" s="12">
        <v>1.0</v>
      </c>
      <c r="G224" s="12" t="s">
        <v>308</v>
      </c>
      <c r="H224" s="13">
        <v>0.4479166666666667</v>
      </c>
      <c r="I224" s="13">
        <v>0.6145833333333334</v>
      </c>
      <c r="J224" s="12"/>
      <c r="K224" s="12"/>
      <c r="L224" s="14">
        <v>10.6</v>
      </c>
      <c r="M224" s="14">
        <v>19.4</v>
      </c>
      <c r="N224" s="14">
        <v>14.5</v>
      </c>
      <c r="O224" s="14">
        <v>9.2</v>
      </c>
      <c r="P224" s="14">
        <v>9.6</v>
      </c>
      <c r="Q224" s="14">
        <v>12.66</v>
      </c>
      <c r="R224" s="14">
        <v>11.7</v>
      </c>
      <c r="S224" s="14">
        <v>13.66</v>
      </c>
      <c r="T224" s="14">
        <v>13.35</v>
      </c>
      <c r="U224" s="14">
        <v>13.54</v>
      </c>
      <c r="V224" s="14">
        <v>12.2</v>
      </c>
      <c r="W224" s="14">
        <v>12.89</v>
      </c>
      <c r="X224" s="14">
        <v>17.8</v>
      </c>
      <c r="Y224" s="14">
        <v>18.3</v>
      </c>
      <c r="Z224" s="14">
        <v>18.2</v>
      </c>
      <c r="AA224" s="14">
        <v>18.9</v>
      </c>
      <c r="AB224" s="14">
        <v>18.9</v>
      </c>
      <c r="AC224" s="14">
        <v>18.419999999999998</v>
      </c>
      <c r="AD224" s="14">
        <v>542.0</v>
      </c>
      <c r="AE224" s="14">
        <v>1440.0</v>
      </c>
      <c r="AF224" s="14">
        <v>1128.0</v>
      </c>
      <c r="AG224" s="14">
        <v>911.0</v>
      </c>
      <c r="AH224" s="14">
        <v>820.0</v>
      </c>
      <c r="AI224" s="14">
        <v>968.2</v>
      </c>
      <c r="AJ224" s="14">
        <v>4.22</v>
      </c>
      <c r="AK224" s="14">
        <v>5.44</v>
      </c>
      <c r="AL224" s="14">
        <v>5.02</v>
      </c>
      <c r="AM224" s="14">
        <v>5.01</v>
      </c>
      <c r="AN224" s="14">
        <v>4.93</v>
      </c>
      <c r="AO224" s="14">
        <v>4.9239999999999995</v>
      </c>
      <c r="AP224" s="14">
        <v>70.0</v>
      </c>
      <c r="AQ224" s="14">
        <v>191.0</v>
      </c>
      <c r="AR224" s="14">
        <v>166.0</v>
      </c>
      <c r="AS224" s="14">
        <v>10.0</v>
      </c>
      <c r="AT224" s="14">
        <v>2.28</v>
      </c>
      <c r="AU224" s="14">
        <v>563.0</v>
      </c>
      <c r="AV224" s="15">
        <v>1.214</v>
      </c>
      <c r="AW224" s="15">
        <v>12.8</v>
      </c>
      <c r="AX224" s="19">
        <v>1.0</v>
      </c>
      <c r="AY224" s="14">
        <v>2.11</v>
      </c>
      <c r="AZ224" s="14">
        <v>1.342</v>
      </c>
      <c r="BA224" s="14">
        <v>16.252000000000002</v>
      </c>
    </row>
    <row r="225" ht="14.25" customHeight="1">
      <c r="A225" s="10" t="s">
        <v>313</v>
      </c>
      <c r="B225" s="11" t="s">
        <v>106</v>
      </c>
      <c r="C225" s="11"/>
      <c r="D225" s="12"/>
      <c r="E225" s="11">
        <v>43530.0</v>
      </c>
      <c r="F225" s="12">
        <v>1.0</v>
      </c>
      <c r="G225" s="12" t="s">
        <v>308</v>
      </c>
      <c r="H225" s="13">
        <v>0.5833333333333334</v>
      </c>
      <c r="I225" s="13">
        <v>0.6666666666666666</v>
      </c>
      <c r="J225" s="12"/>
      <c r="K225" s="12"/>
      <c r="L225" s="14">
        <v>29.6</v>
      </c>
      <c r="M225" s="14">
        <v>27.6</v>
      </c>
      <c r="N225" s="14">
        <v>29.9</v>
      </c>
      <c r="O225" s="14">
        <v>29.4</v>
      </c>
      <c r="P225" s="14">
        <v>29.2</v>
      </c>
      <c r="Q225" s="14">
        <v>29.139999999999997</v>
      </c>
      <c r="R225" s="14">
        <v>9.98</v>
      </c>
      <c r="S225" s="14">
        <v>9.83</v>
      </c>
      <c r="T225" s="14">
        <v>9.91</v>
      </c>
      <c r="U225" s="14">
        <v>9.13</v>
      </c>
      <c r="V225" s="14">
        <v>9.22</v>
      </c>
      <c r="W225" s="14">
        <v>9.614</v>
      </c>
      <c r="X225" s="14">
        <v>19.7</v>
      </c>
      <c r="Y225" s="14">
        <v>19.4</v>
      </c>
      <c r="Z225" s="14">
        <v>18.3</v>
      </c>
      <c r="AA225" s="14">
        <v>18.8</v>
      </c>
      <c r="AB225" s="14">
        <v>18.6</v>
      </c>
      <c r="AC225" s="14">
        <v>18.959999999999997</v>
      </c>
      <c r="AD225" s="14">
        <v>542.0</v>
      </c>
      <c r="AE225" s="14">
        <v>548.0</v>
      </c>
      <c r="AF225" s="14">
        <v>554.0</v>
      </c>
      <c r="AG225" s="14">
        <v>577.0</v>
      </c>
      <c r="AH225" s="14">
        <v>595.0</v>
      </c>
      <c r="AI225" s="14">
        <v>563.2</v>
      </c>
      <c r="AJ225" s="14">
        <v>4.04</v>
      </c>
      <c r="AK225" s="14">
        <v>3.74</v>
      </c>
      <c r="AL225" s="14">
        <v>3.95</v>
      </c>
      <c r="AM225" s="14">
        <v>4.4</v>
      </c>
      <c r="AN225" s="14">
        <v>4.55</v>
      </c>
      <c r="AO225" s="14">
        <v>4.136000000000001</v>
      </c>
      <c r="AP225" s="14">
        <v>56.0</v>
      </c>
      <c r="AQ225" s="14">
        <v>452.0</v>
      </c>
      <c r="AR225" s="14">
        <v>270.0</v>
      </c>
      <c r="AS225" s="14">
        <v>10.0</v>
      </c>
      <c r="AT225" s="14">
        <v>2.05</v>
      </c>
      <c r="AU225" s="14">
        <v>3.654E8</v>
      </c>
      <c r="AV225" s="15">
        <v>3.905</v>
      </c>
      <c r="AW225" s="15">
        <v>17.2</v>
      </c>
      <c r="AX225" s="15">
        <v>1046200.0</v>
      </c>
      <c r="AY225" s="14">
        <v>1.56</v>
      </c>
      <c r="AZ225" s="14">
        <v>0.007</v>
      </c>
      <c r="BA225" s="14">
        <v>18.767</v>
      </c>
    </row>
    <row r="226" ht="14.25" customHeight="1">
      <c r="A226" s="10" t="s">
        <v>314</v>
      </c>
      <c r="B226" s="11" t="s">
        <v>95</v>
      </c>
      <c r="C226" s="11"/>
      <c r="D226" s="12"/>
      <c r="E226" s="11">
        <v>43538.0</v>
      </c>
      <c r="F226" s="12">
        <v>1.0</v>
      </c>
      <c r="G226" s="12" t="s">
        <v>315</v>
      </c>
      <c r="H226" s="13">
        <v>0.28125</v>
      </c>
      <c r="I226" s="13">
        <v>0.3645833333333333</v>
      </c>
      <c r="J226" s="12"/>
      <c r="K226" s="12"/>
      <c r="L226" s="14">
        <v>2.22</v>
      </c>
      <c r="M226" s="14">
        <v>2.13</v>
      </c>
      <c r="N226" s="14">
        <v>2.08</v>
      </c>
      <c r="O226" s="14">
        <v>2.39</v>
      </c>
      <c r="P226" s="14">
        <v>2.29</v>
      </c>
      <c r="Q226" s="14">
        <v>2.222</v>
      </c>
      <c r="R226" s="14">
        <v>7.94</v>
      </c>
      <c r="S226" s="14">
        <v>8.0</v>
      </c>
      <c r="T226" s="14">
        <v>8.04</v>
      </c>
      <c r="U226" s="14">
        <v>8.05</v>
      </c>
      <c r="V226" s="14">
        <v>8.04</v>
      </c>
      <c r="W226" s="14">
        <v>8.014</v>
      </c>
      <c r="X226" s="14">
        <v>16.0</v>
      </c>
      <c r="Y226" s="14">
        <v>16.2</v>
      </c>
      <c r="Z226" s="14">
        <v>16.4</v>
      </c>
      <c r="AA226" s="14">
        <v>16.6</v>
      </c>
      <c r="AB226" s="14">
        <v>16.9</v>
      </c>
      <c r="AC226" s="14">
        <v>16.419999999999998</v>
      </c>
      <c r="AD226" s="14">
        <v>415.0</v>
      </c>
      <c r="AE226" s="14">
        <v>427.0</v>
      </c>
      <c r="AF226" s="14">
        <v>428.0</v>
      </c>
      <c r="AG226" s="14">
        <v>474.0</v>
      </c>
      <c r="AH226" s="14">
        <v>445.0</v>
      </c>
      <c r="AI226" s="14">
        <v>437.8</v>
      </c>
      <c r="AJ226" s="14">
        <v>4.42</v>
      </c>
      <c r="AK226" s="14">
        <v>5.31</v>
      </c>
      <c r="AL226" s="14">
        <v>5.34</v>
      </c>
      <c r="AM226" s="14">
        <v>4.37</v>
      </c>
      <c r="AN226" s="14">
        <v>4.14</v>
      </c>
      <c r="AO226" s="14">
        <v>4.716</v>
      </c>
      <c r="AP226" s="14">
        <v>72.4</v>
      </c>
      <c r="AQ226" s="14">
        <v>208.0</v>
      </c>
      <c r="AR226" s="14">
        <v>72.0</v>
      </c>
      <c r="AS226" s="14">
        <v>10.9</v>
      </c>
      <c r="AT226" s="14">
        <v>1.53</v>
      </c>
      <c r="AU226" s="14">
        <v>6.867E8</v>
      </c>
      <c r="AV226" s="15">
        <v>4.472</v>
      </c>
      <c r="AW226" s="15">
        <v>37.5</v>
      </c>
      <c r="AX226" s="15">
        <v>1.5531E7</v>
      </c>
      <c r="AY226" s="14">
        <v>1.01</v>
      </c>
      <c r="AZ226" s="14">
        <v>0.009</v>
      </c>
      <c r="BA226" s="14">
        <v>38.519</v>
      </c>
    </row>
    <row r="227" ht="14.25" customHeight="1">
      <c r="A227" s="10" t="s">
        <v>316</v>
      </c>
      <c r="B227" s="11" t="s">
        <v>97</v>
      </c>
      <c r="C227" s="11"/>
      <c r="D227" s="12"/>
      <c r="E227" s="11">
        <v>43538.0</v>
      </c>
      <c r="F227" s="12">
        <v>1.0</v>
      </c>
      <c r="G227" s="12" t="s">
        <v>308</v>
      </c>
      <c r="H227" s="13">
        <v>0.3958333333333333</v>
      </c>
      <c r="I227" s="13">
        <v>0.4791666666666667</v>
      </c>
      <c r="J227" s="12"/>
      <c r="K227" s="12"/>
      <c r="L227" s="14">
        <v>10.8</v>
      </c>
      <c r="M227" s="14">
        <v>6.6</v>
      </c>
      <c r="N227" s="14">
        <v>5.8</v>
      </c>
      <c r="O227" s="14">
        <v>4.7</v>
      </c>
      <c r="P227" s="14">
        <v>6.9</v>
      </c>
      <c r="Q227" s="14">
        <v>6.959999999999999</v>
      </c>
      <c r="R227" s="14">
        <v>8.12</v>
      </c>
      <c r="S227" s="14">
        <v>8.1</v>
      </c>
      <c r="T227" s="14">
        <v>7.97</v>
      </c>
      <c r="U227" s="14">
        <v>7.87</v>
      </c>
      <c r="V227" s="14">
        <v>7.81</v>
      </c>
      <c r="W227" s="14">
        <v>7.973999999999999</v>
      </c>
      <c r="X227" s="14">
        <v>18.4</v>
      </c>
      <c r="Y227" s="14">
        <v>18.4</v>
      </c>
      <c r="Z227" s="14">
        <v>18.8</v>
      </c>
      <c r="AA227" s="14">
        <v>19.2</v>
      </c>
      <c r="AB227" s="14">
        <v>20.1</v>
      </c>
      <c r="AC227" s="14">
        <v>18.98</v>
      </c>
      <c r="AD227" s="14">
        <v>404.0</v>
      </c>
      <c r="AE227" s="14">
        <v>397.0</v>
      </c>
      <c r="AF227" s="14">
        <v>409.0</v>
      </c>
      <c r="AG227" s="14">
        <v>396.0</v>
      </c>
      <c r="AH227" s="14">
        <v>456.0</v>
      </c>
      <c r="AI227" s="14">
        <v>412.4</v>
      </c>
      <c r="AJ227" s="14">
        <v>1.09</v>
      </c>
      <c r="AK227" s="14">
        <v>1.36</v>
      </c>
      <c r="AL227" s="14">
        <v>1.36</v>
      </c>
      <c r="AM227" s="14">
        <v>2.31</v>
      </c>
      <c r="AN227" s="14">
        <v>2.4</v>
      </c>
      <c r="AO227" s="14">
        <v>1.7040000000000002</v>
      </c>
      <c r="AP227" s="14">
        <v>89.2</v>
      </c>
      <c r="AQ227" s="14">
        <v>249.0</v>
      </c>
      <c r="AR227" s="14">
        <v>263.0</v>
      </c>
      <c r="AS227" s="14">
        <v>35.4</v>
      </c>
      <c r="AT227" s="14">
        <v>3.46</v>
      </c>
      <c r="AU227" s="14">
        <v>6.867E8</v>
      </c>
      <c r="AV227" s="15">
        <v>2.728</v>
      </c>
      <c r="AW227" s="15">
        <v>23.7</v>
      </c>
      <c r="AX227" s="15">
        <v>1.9863E7</v>
      </c>
      <c r="AY227" s="14">
        <v>1.26</v>
      </c>
      <c r="AZ227" s="14">
        <v>0.009</v>
      </c>
      <c r="BA227" s="14">
        <v>24.968999999999998</v>
      </c>
    </row>
    <row r="228" ht="14.25" customHeight="1">
      <c r="A228" s="10" t="s">
        <v>317</v>
      </c>
      <c r="B228" s="11" t="s">
        <v>85</v>
      </c>
      <c r="C228" s="11"/>
      <c r="D228" s="12"/>
      <c r="E228" s="11">
        <v>43538.0</v>
      </c>
      <c r="F228" s="12">
        <v>1.0</v>
      </c>
      <c r="G228" s="12" t="s">
        <v>308</v>
      </c>
      <c r="H228" s="13">
        <v>0.5520833333333334</v>
      </c>
      <c r="I228" s="13">
        <v>0.6354166666666666</v>
      </c>
      <c r="J228" s="12"/>
      <c r="K228" s="12"/>
      <c r="L228" s="14">
        <v>387.0</v>
      </c>
      <c r="M228" s="14">
        <v>227.0</v>
      </c>
      <c r="N228" s="14">
        <v>243.0</v>
      </c>
      <c r="O228" s="14">
        <v>275.0</v>
      </c>
      <c r="P228" s="14">
        <v>268.0</v>
      </c>
      <c r="Q228" s="14">
        <v>280.0</v>
      </c>
      <c r="R228" s="14">
        <v>8.41</v>
      </c>
      <c r="S228" s="14">
        <v>8.3</v>
      </c>
      <c r="T228" s="14">
        <v>8.34</v>
      </c>
      <c r="U228" s="14">
        <v>8.35</v>
      </c>
      <c r="V228" s="14">
        <v>8.02</v>
      </c>
      <c r="W228" s="14">
        <v>8.284</v>
      </c>
      <c r="X228" s="14">
        <v>20.3</v>
      </c>
      <c r="Y228" s="14">
        <v>20.1</v>
      </c>
      <c r="Z228" s="14">
        <v>20.1</v>
      </c>
      <c r="AA228" s="14">
        <v>19.9</v>
      </c>
      <c r="AB228" s="14">
        <v>19.9</v>
      </c>
      <c r="AC228" s="14">
        <v>20.060000000000002</v>
      </c>
      <c r="AD228" s="14">
        <v>714.0</v>
      </c>
      <c r="AE228" s="14">
        <v>721.0</v>
      </c>
      <c r="AF228" s="14">
        <v>731.0</v>
      </c>
      <c r="AG228" s="14">
        <v>713.0</v>
      </c>
      <c r="AH228" s="14">
        <v>730.0</v>
      </c>
      <c r="AI228" s="14">
        <v>721.8</v>
      </c>
      <c r="AJ228" s="14">
        <v>0.95</v>
      </c>
      <c r="AK228" s="14">
        <v>0.97</v>
      </c>
      <c r="AL228" s="14">
        <v>1.15</v>
      </c>
      <c r="AM228" s="14">
        <v>1.23</v>
      </c>
      <c r="AN228" s="14">
        <v>0.91</v>
      </c>
      <c r="AO228" s="14">
        <v>1.042</v>
      </c>
      <c r="AP228" s="14">
        <v>280.0</v>
      </c>
      <c r="AQ228" s="14">
        <v>732.0</v>
      </c>
      <c r="AR228" s="14">
        <v>150.0</v>
      </c>
      <c r="AS228" s="14">
        <v>64.6</v>
      </c>
      <c r="AT228" s="14">
        <v>6.8</v>
      </c>
      <c r="AU228" s="14">
        <v>1.2033E9</v>
      </c>
      <c r="AV228" s="15">
        <v>4.936</v>
      </c>
      <c r="AW228" s="15">
        <v>64.2</v>
      </c>
      <c r="AX228" s="19">
        <v>1.0</v>
      </c>
      <c r="AY228" s="14">
        <v>0.87</v>
      </c>
      <c r="AZ228" s="14">
        <v>0.04</v>
      </c>
      <c r="BA228" s="14">
        <v>65.11</v>
      </c>
    </row>
    <row r="229" ht="14.25" customHeight="1">
      <c r="A229" s="10" t="s">
        <v>318</v>
      </c>
      <c r="B229" s="11" t="s">
        <v>63</v>
      </c>
      <c r="C229" s="11"/>
      <c r="D229" s="12"/>
      <c r="E229" s="11">
        <v>43538.0</v>
      </c>
      <c r="F229" s="12">
        <v>1.0</v>
      </c>
      <c r="G229" s="12" t="s">
        <v>308</v>
      </c>
      <c r="H229" s="13">
        <v>0.6666666666666666</v>
      </c>
      <c r="I229" s="13">
        <v>0.75</v>
      </c>
      <c r="J229" s="12"/>
      <c r="K229" s="12"/>
      <c r="L229" s="14">
        <v>334.0</v>
      </c>
      <c r="M229" s="14">
        <v>363.0</v>
      </c>
      <c r="N229" s="14">
        <v>371.0</v>
      </c>
      <c r="O229" s="14">
        <v>367.0</v>
      </c>
      <c r="P229" s="14">
        <v>381.0</v>
      </c>
      <c r="Q229" s="14">
        <v>363.2</v>
      </c>
      <c r="R229" s="14">
        <v>8.15</v>
      </c>
      <c r="S229" s="14">
        <v>8.12</v>
      </c>
      <c r="T229" s="14">
        <v>8.16</v>
      </c>
      <c r="U229" s="14">
        <v>8.04</v>
      </c>
      <c r="V229" s="14">
        <v>8.03</v>
      </c>
      <c r="W229" s="14">
        <v>8.1</v>
      </c>
      <c r="X229" s="14">
        <v>19.8</v>
      </c>
      <c r="Y229" s="14">
        <v>19.9</v>
      </c>
      <c r="Z229" s="14">
        <v>19.8</v>
      </c>
      <c r="AA229" s="14">
        <v>19.4</v>
      </c>
      <c r="AB229" s="14">
        <v>19.3</v>
      </c>
      <c r="AC229" s="14">
        <v>19.64</v>
      </c>
      <c r="AD229" s="14">
        <v>755.0</v>
      </c>
      <c r="AE229" s="14">
        <v>755.0</v>
      </c>
      <c r="AF229" s="14">
        <v>766.0</v>
      </c>
      <c r="AG229" s="14">
        <v>777.0</v>
      </c>
      <c r="AH229" s="14">
        <v>783.0</v>
      </c>
      <c r="AI229" s="14">
        <v>767.2</v>
      </c>
      <c r="AJ229" s="14">
        <v>0.41</v>
      </c>
      <c r="AK229" s="14">
        <v>0.65</v>
      </c>
      <c r="AL229" s="14">
        <v>0.47</v>
      </c>
      <c r="AM229" s="14">
        <v>0.83</v>
      </c>
      <c r="AN229" s="14">
        <v>0.55</v>
      </c>
      <c r="AO229" s="14">
        <v>0.5820000000000001</v>
      </c>
      <c r="AP229" s="14">
        <v>268.0</v>
      </c>
      <c r="AQ229" s="14">
        <v>605.0</v>
      </c>
      <c r="AR229" s="14">
        <v>175.0</v>
      </c>
      <c r="AS229" s="14">
        <v>76.5</v>
      </c>
      <c r="AT229" s="14">
        <v>6.38</v>
      </c>
      <c r="AU229" s="14">
        <v>1.9863E9</v>
      </c>
      <c r="AV229" s="15">
        <v>5.192</v>
      </c>
      <c r="AW229" s="15">
        <v>60.7</v>
      </c>
      <c r="AX229" s="15">
        <v>3.255E7</v>
      </c>
      <c r="AY229" s="14">
        <v>2.92</v>
      </c>
      <c r="AZ229" s="14">
        <v>0.014</v>
      </c>
      <c r="BA229" s="14">
        <v>63.634</v>
      </c>
    </row>
    <row r="230" ht="14.25" customHeight="1">
      <c r="A230" s="10" t="s">
        <v>319</v>
      </c>
      <c r="B230" s="11" t="s">
        <v>57</v>
      </c>
      <c r="C230" s="11"/>
      <c r="D230" s="12"/>
      <c r="E230" s="11">
        <v>43544.0</v>
      </c>
      <c r="F230" s="12">
        <v>1.0</v>
      </c>
      <c r="G230" s="12" t="s">
        <v>308</v>
      </c>
      <c r="H230" s="13">
        <v>0.2708333333333333</v>
      </c>
      <c r="I230" s="13">
        <v>0.3541666666666667</v>
      </c>
      <c r="J230" s="12"/>
      <c r="K230" s="12"/>
      <c r="L230" s="14">
        <v>4.86</v>
      </c>
      <c r="M230" s="14">
        <v>5.1</v>
      </c>
      <c r="N230" s="14">
        <v>5.05</v>
      </c>
      <c r="O230" s="14">
        <v>6.72</v>
      </c>
      <c r="P230" s="14">
        <v>6.1</v>
      </c>
      <c r="Q230" s="14">
        <v>5.566</v>
      </c>
      <c r="R230" s="14">
        <v>7.76</v>
      </c>
      <c r="S230" s="14">
        <v>7.84</v>
      </c>
      <c r="T230" s="14">
        <v>7.87</v>
      </c>
      <c r="U230" s="14">
        <v>8.0</v>
      </c>
      <c r="V230" s="14">
        <v>7.98</v>
      </c>
      <c r="W230" s="14">
        <v>7.890000000000001</v>
      </c>
      <c r="X230" s="14">
        <v>13.9</v>
      </c>
      <c r="Y230" s="14">
        <v>13.9</v>
      </c>
      <c r="Z230" s="14">
        <v>14.0</v>
      </c>
      <c r="AA230" s="14">
        <v>14.0</v>
      </c>
      <c r="AB230" s="14">
        <v>14.1</v>
      </c>
      <c r="AC230" s="14">
        <v>13.979999999999999</v>
      </c>
      <c r="AD230" s="14">
        <v>474.0</v>
      </c>
      <c r="AE230" s="14">
        <v>474.0</v>
      </c>
      <c r="AF230" s="14">
        <v>489.0</v>
      </c>
      <c r="AG230" s="14">
        <v>511.0</v>
      </c>
      <c r="AH230" s="14">
        <v>541.0</v>
      </c>
      <c r="AI230" s="14">
        <v>497.8</v>
      </c>
      <c r="AJ230" s="14">
        <v>4.84</v>
      </c>
      <c r="AK230" s="14">
        <v>6.23</v>
      </c>
      <c r="AL230" s="14">
        <v>6.45</v>
      </c>
      <c r="AM230" s="14">
        <v>6.13</v>
      </c>
      <c r="AN230" s="14">
        <v>6.45</v>
      </c>
      <c r="AO230" s="14">
        <v>6.02</v>
      </c>
      <c r="AP230" s="14">
        <v>16.0</v>
      </c>
      <c r="AQ230" s="14">
        <v>58.3</v>
      </c>
      <c r="AR230" s="14">
        <v>37.14</v>
      </c>
      <c r="AS230" s="14">
        <v>10.0</v>
      </c>
      <c r="AT230" s="14">
        <v>0.4</v>
      </c>
      <c r="AU230" s="14">
        <v>1.086E8</v>
      </c>
      <c r="AV230" s="15">
        <v>0.516</v>
      </c>
      <c r="AW230" s="15">
        <v>6.7</v>
      </c>
      <c r="AX230" s="15">
        <v>26560.0</v>
      </c>
      <c r="AY230" s="14">
        <v>4.16</v>
      </c>
      <c r="AZ230" s="14">
        <v>0.141</v>
      </c>
      <c r="BA230" s="14">
        <v>11.001000000000001</v>
      </c>
    </row>
    <row r="231" ht="14.25" customHeight="1">
      <c r="A231" s="10" t="s">
        <v>320</v>
      </c>
      <c r="B231" s="11" t="s">
        <v>53</v>
      </c>
      <c r="C231" s="11"/>
      <c r="D231" s="12"/>
      <c r="E231" s="11">
        <v>43544.0</v>
      </c>
      <c r="F231" s="12">
        <v>1.0</v>
      </c>
      <c r="G231" s="12" t="s">
        <v>315</v>
      </c>
      <c r="H231" s="13">
        <v>0.40625</v>
      </c>
      <c r="I231" s="13">
        <v>0.4895833333333333</v>
      </c>
      <c r="J231" s="12"/>
      <c r="K231" s="12"/>
      <c r="L231" s="14">
        <v>46.0</v>
      </c>
      <c r="M231" s="14">
        <v>45.0</v>
      </c>
      <c r="N231" s="14">
        <v>48.6</v>
      </c>
      <c r="O231" s="14">
        <v>50.0</v>
      </c>
      <c r="P231" s="14">
        <v>61.8</v>
      </c>
      <c r="Q231" s="14">
        <v>50.279999999999994</v>
      </c>
      <c r="R231" s="14">
        <v>8.68</v>
      </c>
      <c r="S231" s="14">
        <v>8.71</v>
      </c>
      <c r="T231" s="14">
        <v>8.63</v>
      </c>
      <c r="U231" s="14">
        <v>8.55</v>
      </c>
      <c r="V231" s="14">
        <v>8.11</v>
      </c>
      <c r="W231" s="14">
        <v>8.536000000000001</v>
      </c>
      <c r="X231" s="14">
        <v>15.0</v>
      </c>
      <c r="Y231" s="14">
        <v>15.1</v>
      </c>
      <c r="Z231" s="14">
        <v>15.2</v>
      </c>
      <c r="AA231" s="14">
        <v>12.0</v>
      </c>
      <c r="AB231" s="14">
        <v>17.1</v>
      </c>
      <c r="AC231" s="14">
        <v>14.88</v>
      </c>
      <c r="AD231" s="14">
        <v>693.0</v>
      </c>
      <c r="AE231" s="14">
        <v>727.0</v>
      </c>
      <c r="AF231" s="14">
        <v>737.0</v>
      </c>
      <c r="AG231" s="14">
        <v>734.0</v>
      </c>
      <c r="AH231" s="14">
        <v>697.0</v>
      </c>
      <c r="AI231" s="14">
        <v>717.6</v>
      </c>
      <c r="AJ231" s="14">
        <v>8.16</v>
      </c>
      <c r="AK231" s="14">
        <v>7.72</v>
      </c>
      <c r="AL231" s="14">
        <v>8.01</v>
      </c>
      <c r="AM231" s="14">
        <v>6.42</v>
      </c>
      <c r="AN231" s="14">
        <v>6.3</v>
      </c>
      <c r="AO231" s="14">
        <v>7.322</v>
      </c>
      <c r="AP231" s="14">
        <v>30.2</v>
      </c>
      <c r="AQ231" s="14">
        <v>144.0</v>
      </c>
      <c r="AR231" s="14">
        <v>63.33</v>
      </c>
      <c r="AS231" s="14">
        <v>10.0</v>
      </c>
      <c r="AT231" s="14">
        <v>0.51</v>
      </c>
      <c r="AU231" s="14">
        <v>9.804E8</v>
      </c>
      <c r="AV231" s="15">
        <v>2.476</v>
      </c>
      <c r="AW231" s="15">
        <v>7.8</v>
      </c>
      <c r="AX231" s="15">
        <v>19760.0</v>
      </c>
      <c r="AY231" s="14">
        <v>0.85</v>
      </c>
      <c r="AZ231" s="14">
        <v>5.939</v>
      </c>
      <c r="BA231" s="14">
        <v>14.588999999999999</v>
      </c>
    </row>
    <row r="232" ht="14.25" customHeight="1">
      <c r="A232" s="10" t="s">
        <v>321</v>
      </c>
      <c r="B232" s="11" t="s">
        <v>59</v>
      </c>
      <c r="C232" s="11"/>
      <c r="D232" s="12"/>
      <c r="E232" s="11">
        <v>43544.0</v>
      </c>
      <c r="F232" s="12">
        <v>1.0</v>
      </c>
      <c r="G232" s="12" t="s">
        <v>308</v>
      </c>
      <c r="H232" s="13">
        <v>0.5416666666666666</v>
      </c>
      <c r="I232" s="13">
        <v>0.625</v>
      </c>
      <c r="J232" s="12"/>
      <c r="K232" s="12"/>
      <c r="L232" s="14">
        <v>57.5</v>
      </c>
      <c r="M232" s="14">
        <v>61.0</v>
      </c>
      <c r="N232" s="14">
        <v>55.8</v>
      </c>
      <c r="O232" s="14">
        <v>81.0</v>
      </c>
      <c r="P232" s="14">
        <v>71.9</v>
      </c>
      <c r="Q232" s="14">
        <v>65.44000000000001</v>
      </c>
      <c r="R232" s="14">
        <v>8.48</v>
      </c>
      <c r="S232" s="14">
        <v>8.39</v>
      </c>
      <c r="T232" s="14">
        <v>8.38</v>
      </c>
      <c r="U232" s="14">
        <v>8.33</v>
      </c>
      <c r="V232" s="14">
        <v>8.29</v>
      </c>
      <c r="W232" s="14">
        <v>8.373999999999999</v>
      </c>
      <c r="X232" s="14">
        <v>18.2</v>
      </c>
      <c r="Y232" s="14">
        <v>16.4</v>
      </c>
      <c r="Z232" s="14">
        <v>16.5</v>
      </c>
      <c r="AA232" s="14">
        <v>16.5</v>
      </c>
      <c r="AB232" s="14">
        <v>16.4</v>
      </c>
      <c r="AC232" s="14">
        <v>16.8</v>
      </c>
      <c r="AD232" s="14">
        <v>722.0</v>
      </c>
      <c r="AE232" s="14">
        <v>721.0</v>
      </c>
      <c r="AF232" s="14">
        <v>720.0</v>
      </c>
      <c r="AG232" s="14">
        <v>723.0</v>
      </c>
      <c r="AH232" s="14">
        <v>722.0</v>
      </c>
      <c r="AI232" s="14">
        <v>721.6</v>
      </c>
      <c r="AJ232" s="14">
        <v>5.14</v>
      </c>
      <c r="AK232" s="14">
        <v>5.18</v>
      </c>
      <c r="AL232" s="14">
        <v>4.75</v>
      </c>
      <c r="AM232" s="14">
        <v>4.55</v>
      </c>
      <c r="AN232" s="14">
        <v>4.72</v>
      </c>
      <c r="AO232" s="14">
        <v>4.868</v>
      </c>
      <c r="AP232" s="14">
        <v>67.4</v>
      </c>
      <c r="AQ232" s="14">
        <v>253.0</v>
      </c>
      <c r="AR232" s="14">
        <v>102.0</v>
      </c>
      <c r="AS232" s="14">
        <v>19.1</v>
      </c>
      <c r="AT232" s="14">
        <v>1.75</v>
      </c>
      <c r="AU232" s="14">
        <v>1.467E9</v>
      </c>
      <c r="AV232" s="15">
        <v>3.192</v>
      </c>
      <c r="AW232" s="15">
        <v>35.5</v>
      </c>
      <c r="AX232" s="15">
        <v>93300.0</v>
      </c>
      <c r="AY232" s="14">
        <v>0.17</v>
      </c>
      <c r="AZ232" s="14">
        <v>0.014</v>
      </c>
      <c r="BA232" s="14">
        <v>35.684</v>
      </c>
    </row>
    <row r="233" ht="14.25" customHeight="1">
      <c r="A233" s="10" t="s">
        <v>322</v>
      </c>
      <c r="B233" s="11" t="s">
        <v>55</v>
      </c>
      <c r="C233" s="11"/>
      <c r="D233" s="12"/>
      <c r="E233" s="11">
        <v>43544.0</v>
      </c>
      <c r="F233" s="12">
        <v>1.0</v>
      </c>
      <c r="G233" s="12"/>
      <c r="H233" s="13">
        <v>0.6354166666666666</v>
      </c>
      <c r="I233" s="13">
        <v>0.71875</v>
      </c>
      <c r="J233" s="12"/>
      <c r="K233" s="12"/>
      <c r="L233" s="14">
        <v>76.0</v>
      </c>
      <c r="M233" s="14">
        <v>83.0</v>
      </c>
      <c r="N233" s="14">
        <v>92.0</v>
      </c>
      <c r="O233" s="14">
        <v>92.0</v>
      </c>
      <c r="P233" s="14">
        <v>126.0</v>
      </c>
      <c r="Q233" s="14">
        <v>93.8</v>
      </c>
      <c r="R233" s="14">
        <v>8.32</v>
      </c>
      <c r="S233" s="14">
        <v>8.34</v>
      </c>
      <c r="T233" s="14">
        <v>8.25</v>
      </c>
      <c r="U233" s="14">
        <v>8.16</v>
      </c>
      <c r="V233" s="14">
        <v>8.22</v>
      </c>
      <c r="W233" s="14">
        <v>8.258</v>
      </c>
      <c r="X233" s="14">
        <v>17.0</v>
      </c>
      <c r="Y233" s="14">
        <v>16.9</v>
      </c>
      <c r="Z233" s="14">
        <v>16.9</v>
      </c>
      <c r="AA233" s="14">
        <v>16.8</v>
      </c>
      <c r="AB233" s="14">
        <v>16.5</v>
      </c>
      <c r="AC233" s="14">
        <v>16.82</v>
      </c>
      <c r="AD233" s="14">
        <v>787.0</v>
      </c>
      <c r="AE233" s="14">
        <v>779.0</v>
      </c>
      <c r="AF233" s="14">
        <v>762.0</v>
      </c>
      <c r="AG233" s="14">
        <v>769.0</v>
      </c>
      <c r="AH233" s="14">
        <v>792.0</v>
      </c>
      <c r="AI233" s="14">
        <v>777.8</v>
      </c>
      <c r="AJ233" s="14">
        <v>5.21</v>
      </c>
      <c r="AK233" s="14">
        <v>4.37</v>
      </c>
      <c r="AL233" s="14">
        <v>4.86</v>
      </c>
      <c r="AM233" s="14">
        <v>4.31</v>
      </c>
      <c r="AN233" s="14">
        <v>4.28</v>
      </c>
      <c r="AO233" s="14">
        <v>4.606</v>
      </c>
      <c r="AP233" s="14">
        <v>79.2</v>
      </c>
      <c r="AQ233" s="14">
        <v>267.0</v>
      </c>
      <c r="AR233" s="14">
        <v>86.67</v>
      </c>
      <c r="AS233" s="14">
        <v>21.8</v>
      </c>
      <c r="AT233" s="14">
        <v>2.88</v>
      </c>
      <c r="AU233" s="14">
        <v>9.804E8</v>
      </c>
      <c r="AV233" s="15">
        <v>3.327</v>
      </c>
      <c r="AW233" s="15">
        <v>37.0</v>
      </c>
      <c r="AX233" s="15">
        <v>1090000.0</v>
      </c>
      <c r="AY233" s="14">
        <v>0.17</v>
      </c>
      <c r="AZ233" s="14">
        <v>0.014</v>
      </c>
      <c r="BA233" s="14">
        <v>37.184</v>
      </c>
    </row>
    <row r="234" ht="14.25" customHeight="1">
      <c r="A234" s="10" t="s">
        <v>323</v>
      </c>
      <c r="B234" s="16" t="s">
        <v>79</v>
      </c>
      <c r="C234" s="11"/>
      <c r="D234" s="12"/>
      <c r="E234" s="17">
        <v>43552.0</v>
      </c>
      <c r="F234" s="18">
        <v>1.0</v>
      </c>
      <c r="G234" s="18" t="s">
        <v>315</v>
      </c>
      <c r="H234" s="13">
        <v>0.2916666666666667</v>
      </c>
      <c r="I234" s="13">
        <v>0.375</v>
      </c>
      <c r="J234" s="18"/>
      <c r="K234" s="18"/>
      <c r="L234" s="15">
        <v>2.6</v>
      </c>
      <c r="M234" s="15">
        <v>2.4</v>
      </c>
      <c r="N234" s="15">
        <v>2.9</v>
      </c>
      <c r="O234" s="15">
        <v>3.0</v>
      </c>
      <c r="P234" s="15">
        <v>3.2</v>
      </c>
      <c r="Q234" s="15">
        <v>2.8200000000000003</v>
      </c>
      <c r="R234" s="15">
        <v>7.59</v>
      </c>
      <c r="S234" s="15">
        <v>7.63</v>
      </c>
      <c r="T234" s="15">
        <v>7.62</v>
      </c>
      <c r="U234" s="15">
        <v>7.77</v>
      </c>
      <c r="V234" s="15">
        <v>7.8</v>
      </c>
      <c r="W234" s="15">
        <v>7.6819999999999995</v>
      </c>
      <c r="X234" s="15">
        <v>12.3</v>
      </c>
      <c r="Y234" s="15">
        <v>12.4</v>
      </c>
      <c r="Z234" s="15">
        <v>12.5</v>
      </c>
      <c r="AA234" s="15">
        <v>12.5</v>
      </c>
      <c r="AB234" s="15">
        <v>12.6</v>
      </c>
      <c r="AC234" s="15">
        <v>12.46</v>
      </c>
      <c r="AD234" s="15">
        <v>272.0</v>
      </c>
      <c r="AE234" s="15">
        <v>327.0</v>
      </c>
      <c r="AF234" s="15">
        <v>388.0</v>
      </c>
      <c r="AG234" s="15">
        <v>416.0</v>
      </c>
      <c r="AH234" s="15">
        <v>433.0</v>
      </c>
      <c r="AI234" s="15">
        <v>367.2</v>
      </c>
      <c r="AJ234" s="15">
        <v>4.85</v>
      </c>
      <c r="AK234" s="15">
        <v>4.63</v>
      </c>
      <c r="AL234" s="15">
        <v>4.1</v>
      </c>
      <c r="AM234" s="15">
        <v>4.06</v>
      </c>
      <c r="AN234" s="15">
        <v>4.07</v>
      </c>
      <c r="AO234" s="15">
        <v>4.3420000000000005</v>
      </c>
      <c r="AP234" s="15">
        <v>41.6</v>
      </c>
      <c r="AQ234" s="15">
        <v>102.0</v>
      </c>
      <c r="AR234" s="15">
        <v>48.0</v>
      </c>
      <c r="AS234" s="15">
        <v>41.7</v>
      </c>
      <c r="AT234" s="15">
        <v>1.23</v>
      </c>
      <c r="AU234" s="15">
        <v>2.4196E8</v>
      </c>
      <c r="AV234" s="15">
        <v>2.687</v>
      </c>
      <c r="AW234" s="15">
        <v>28.2</v>
      </c>
      <c r="AX234" s="15">
        <v>103900.0</v>
      </c>
      <c r="AY234" s="15">
        <v>0.44</v>
      </c>
      <c r="AZ234" s="15">
        <v>0.012</v>
      </c>
      <c r="BA234" s="15">
        <v>28.652</v>
      </c>
    </row>
    <row r="235" ht="14.25" customHeight="1">
      <c r="A235" s="10" t="s">
        <v>324</v>
      </c>
      <c r="B235" s="16" t="s">
        <v>93</v>
      </c>
      <c r="C235" s="11"/>
      <c r="D235" s="12"/>
      <c r="E235" s="11">
        <v>43552.0</v>
      </c>
      <c r="F235" s="12">
        <v>1.0</v>
      </c>
      <c r="G235" s="12" t="s">
        <v>315</v>
      </c>
      <c r="H235" s="13">
        <v>0.46527777777777773</v>
      </c>
      <c r="I235" s="13">
        <v>0.548611111111111</v>
      </c>
      <c r="J235" s="12"/>
      <c r="K235" s="12"/>
      <c r="L235" s="14">
        <v>102.4</v>
      </c>
      <c r="M235" s="14">
        <v>107.5</v>
      </c>
      <c r="N235" s="14">
        <v>107.7</v>
      </c>
      <c r="O235" s="14">
        <v>99.8</v>
      </c>
      <c r="P235" s="14">
        <v>97.9</v>
      </c>
      <c r="Q235" s="14">
        <v>103.06000000000002</v>
      </c>
      <c r="R235" s="14">
        <v>7.98</v>
      </c>
      <c r="S235" s="14">
        <v>7.96</v>
      </c>
      <c r="T235" s="14">
        <v>7.91</v>
      </c>
      <c r="U235" s="14">
        <v>7.84</v>
      </c>
      <c r="V235" s="14">
        <v>7.84</v>
      </c>
      <c r="W235" s="14">
        <v>7.906000000000001</v>
      </c>
      <c r="X235" s="14">
        <v>17.8</v>
      </c>
      <c r="Y235" s="14">
        <v>17.8</v>
      </c>
      <c r="Z235" s="14">
        <v>17.9</v>
      </c>
      <c r="AA235" s="14">
        <v>18.6</v>
      </c>
      <c r="AB235" s="14">
        <v>18.9</v>
      </c>
      <c r="AC235" s="14">
        <v>18.2</v>
      </c>
      <c r="AD235" s="14">
        <v>917.0</v>
      </c>
      <c r="AE235" s="14">
        <v>914.0</v>
      </c>
      <c r="AF235" s="14">
        <v>892.0</v>
      </c>
      <c r="AG235" s="14">
        <v>804.0</v>
      </c>
      <c r="AH235" s="14">
        <v>749.0</v>
      </c>
      <c r="AI235" s="14">
        <v>855.2</v>
      </c>
      <c r="AJ235" s="14">
        <v>2.87</v>
      </c>
      <c r="AK235" s="14">
        <v>3.01</v>
      </c>
      <c r="AL235" s="14">
        <v>3.05</v>
      </c>
      <c r="AM235" s="14">
        <v>3.04</v>
      </c>
      <c r="AN235" s="14">
        <v>3.09</v>
      </c>
      <c r="AO235" s="14">
        <v>3.0119999999999996</v>
      </c>
      <c r="AP235" s="14">
        <v>220.0</v>
      </c>
      <c r="AQ235" s="14">
        <v>771.0</v>
      </c>
      <c r="AR235" s="14">
        <v>325.0</v>
      </c>
      <c r="AS235" s="14">
        <v>65.1</v>
      </c>
      <c r="AT235" s="14">
        <v>5.34</v>
      </c>
      <c r="AU235" s="14">
        <v>5.38E9</v>
      </c>
      <c r="AV235" s="15">
        <v>8.862</v>
      </c>
      <c r="AW235" s="15">
        <v>55.3</v>
      </c>
      <c r="AX235" s="15">
        <v>3654000.0</v>
      </c>
      <c r="AY235" s="14">
        <v>2.33</v>
      </c>
      <c r="AZ235" s="14">
        <v>0.054</v>
      </c>
      <c r="BA235" s="14">
        <v>57.684</v>
      </c>
    </row>
    <row r="236" ht="14.25" customHeight="1">
      <c r="A236" s="10" t="s">
        <v>325</v>
      </c>
      <c r="B236" s="11" t="s">
        <v>83</v>
      </c>
      <c r="C236" s="11"/>
      <c r="D236" s="12"/>
      <c r="E236" s="11">
        <v>43552.0</v>
      </c>
      <c r="F236" s="12">
        <v>1.0</v>
      </c>
      <c r="G236" s="12" t="s">
        <v>308</v>
      </c>
      <c r="H236" s="13">
        <v>0.6041666666666666</v>
      </c>
      <c r="I236" s="13">
        <v>0.6875</v>
      </c>
      <c r="J236" s="12"/>
      <c r="K236" s="12"/>
      <c r="L236" s="14">
        <v>276.5</v>
      </c>
      <c r="M236" s="14">
        <v>294.6</v>
      </c>
      <c r="N236" s="14">
        <v>304.2</v>
      </c>
      <c r="O236" s="14">
        <v>253.0</v>
      </c>
      <c r="P236" s="14">
        <v>296.3</v>
      </c>
      <c r="Q236" s="14">
        <v>284.91999999999996</v>
      </c>
      <c r="R236" s="14">
        <v>7.67</v>
      </c>
      <c r="S236" s="14">
        <v>7.72</v>
      </c>
      <c r="T236" s="14">
        <v>7.68</v>
      </c>
      <c r="U236" s="14">
        <v>7.71</v>
      </c>
      <c r="V236" s="14">
        <v>7.7</v>
      </c>
      <c r="W236" s="14">
        <v>7.696000000000001</v>
      </c>
      <c r="X236" s="14">
        <v>18.6</v>
      </c>
      <c r="Y236" s="14">
        <v>18.4</v>
      </c>
      <c r="Z236" s="14">
        <v>18.6</v>
      </c>
      <c r="AA236" s="14">
        <v>18.1</v>
      </c>
      <c r="AB236" s="14">
        <v>18.2</v>
      </c>
      <c r="AC236" s="14">
        <v>18.380000000000003</v>
      </c>
      <c r="AD236" s="14">
        <v>684.0</v>
      </c>
      <c r="AE236" s="14">
        <v>673.0</v>
      </c>
      <c r="AF236" s="14">
        <v>669.0</v>
      </c>
      <c r="AG236" s="14">
        <v>663.0</v>
      </c>
      <c r="AH236" s="14">
        <v>655.0</v>
      </c>
      <c r="AI236" s="14">
        <v>668.8</v>
      </c>
      <c r="AJ236" s="14">
        <v>4.3</v>
      </c>
      <c r="AK236" s="14">
        <v>3.66</v>
      </c>
      <c r="AL236" s="14">
        <v>4.01</v>
      </c>
      <c r="AM236" s="14">
        <v>4.0</v>
      </c>
      <c r="AN236" s="14">
        <v>3.99</v>
      </c>
      <c r="AO236" s="14">
        <v>3.992</v>
      </c>
      <c r="AP236" s="14">
        <v>140.0</v>
      </c>
      <c r="AQ236" s="14">
        <v>409.0</v>
      </c>
      <c r="AR236" s="14">
        <v>400.0</v>
      </c>
      <c r="AS236" s="14">
        <v>31.6</v>
      </c>
      <c r="AT236" s="14">
        <v>4.7</v>
      </c>
      <c r="AU236" s="14">
        <v>9.9E7</v>
      </c>
      <c r="AV236" s="15">
        <v>4.969</v>
      </c>
      <c r="AW236" s="15">
        <v>35.5</v>
      </c>
      <c r="AX236" s="15">
        <v>1732900.0</v>
      </c>
      <c r="AY236" s="14">
        <v>1.11</v>
      </c>
      <c r="AZ236" s="14">
        <v>0.054</v>
      </c>
      <c r="BA236" s="14">
        <v>36.664</v>
      </c>
    </row>
    <row r="237" ht="14.25" customHeight="1">
      <c r="A237" s="10" t="s">
        <v>326</v>
      </c>
      <c r="B237" s="11" t="s">
        <v>61</v>
      </c>
      <c r="C237" s="11"/>
      <c r="D237" s="12"/>
      <c r="E237" s="11">
        <v>43552.0</v>
      </c>
      <c r="F237" s="12">
        <v>1.0</v>
      </c>
      <c r="G237" s="12" t="s">
        <v>308</v>
      </c>
      <c r="H237" s="13">
        <v>0.625</v>
      </c>
      <c r="I237" s="13">
        <v>0.7083333333333334</v>
      </c>
      <c r="J237" s="12"/>
      <c r="K237" s="12"/>
      <c r="L237" s="14">
        <v>428.0</v>
      </c>
      <c r="M237" s="14">
        <v>426.0</v>
      </c>
      <c r="N237" s="14">
        <v>448.0</v>
      </c>
      <c r="O237" s="14">
        <v>369.0</v>
      </c>
      <c r="P237" s="14">
        <v>383.0</v>
      </c>
      <c r="Q237" s="14">
        <v>410.8</v>
      </c>
      <c r="R237" s="14">
        <v>7.96</v>
      </c>
      <c r="S237" s="14">
        <v>8.1</v>
      </c>
      <c r="T237" s="14">
        <v>7.74</v>
      </c>
      <c r="U237" s="14">
        <v>7.46</v>
      </c>
      <c r="V237" s="14">
        <v>7.97</v>
      </c>
      <c r="W237" s="14">
        <v>7.845999999999999</v>
      </c>
      <c r="X237" s="14">
        <v>21.8</v>
      </c>
      <c r="Y237" s="14">
        <v>20.5</v>
      </c>
      <c r="Z237" s="14">
        <v>20.6</v>
      </c>
      <c r="AA237" s="14">
        <v>19.9</v>
      </c>
      <c r="AB237" s="14">
        <v>19.7</v>
      </c>
      <c r="AC237" s="14">
        <v>20.5</v>
      </c>
      <c r="AD237" s="14">
        <v>748.0</v>
      </c>
      <c r="AE237" s="14">
        <v>739.0</v>
      </c>
      <c r="AF237" s="14">
        <v>741.0</v>
      </c>
      <c r="AG237" s="14">
        <v>717.0</v>
      </c>
      <c r="AH237" s="14">
        <v>719.0</v>
      </c>
      <c r="AI237" s="14">
        <v>732.8</v>
      </c>
      <c r="AJ237" s="14">
        <v>0.92</v>
      </c>
      <c r="AK237" s="14">
        <v>0.56</v>
      </c>
      <c r="AL237" s="14">
        <v>0.82</v>
      </c>
      <c r="AM237" s="14">
        <v>0.84</v>
      </c>
      <c r="AN237" s="14">
        <v>0.91</v>
      </c>
      <c r="AO237" s="14">
        <v>0.8099999999999999</v>
      </c>
      <c r="AP237" s="14">
        <v>132.0</v>
      </c>
      <c r="AQ237" s="14">
        <v>478.0</v>
      </c>
      <c r="AR237" s="14">
        <v>185.0</v>
      </c>
      <c r="AS237" s="14">
        <v>22.3</v>
      </c>
      <c r="AT237" s="14">
        <v>5.11</v>
      </c>
      <c r="AU237" s="14">
        <v>4.8E9</v>
      </c>
      <c r="AV237" s="15">
        <v>6.157</v>
      </c>
      <c r="AW237" s="15">
        <v>45.3</v>
      </c>
      <c r="AX237" s="15">
        <v>1553100.0</v>
      </c>
      <c r="AY237" s="14">
        <v>1.88</v>
      </c>
      <c r="AZ237" s="14">
        <v>0.01</v>
      </c>
      <c r="BA237" s="14">
        <v>47.19</v>
      </c>
    </row>
    <row r="238" ht="14.25" customHeight="1">
      <c r="A238" s="10" t="s">
        <v>327</v>
      </c>
      <c r="B238" s="11" t="s">
        <v>91</v>
      </c>
      <c r="C238" s="11"/>
      <c r="D238" s="12"/>
      <c r="E238" s="11">
        <v>43552.0</v>
      </c>
      <c r="F238" s="12">
        <v>1.0</v>
      </c>
      <c r="G238" s="12" t="s">
        <v>308</v>
      </c>
      <c r="H238" s="13">
        <v>0.25</v>
      </c>
      <c r="I238" s="13">
        <v>0.3333333333333333</v>
      </c>
      <c r="J238" s="12"/>
      <c r="K238" s="12"/>
      <c r="L238" s="14">
        <v>274.0</v>
      </c>
      <c r="M238" s="14">
        <v>255.0</v>
      </c>
      <c r="N238" s="14">
        <v>267.0</v>
      </c>
      <c r="O238" s="14">
        <v>257.0</v>
      </c>
      <c r="P238" s="14">
        <v>257.0</v>
      </c>
      <c r="Q238" s="14">
        <v>262.0</v>
      </c>
      <c r="R238" s="14">
        <v>7.49</v>
      </c>
      <c r="S238" s="14">
        <v>7.5</v>
      </c>
      <c r="T238" s="14">
        <v>7.52</v>
      </c>
      <c r="U238" s="14">
        <v>7.51</v>
      </c>
      <c r="V238" s="14">
        <v>7.53</v>
      </c>
      <c r="W238" s="14">
        <v>7.51</v>
      </c>
      <c r="X238" s="14">
        <v>18.1</v>
      </c>
      <c r="Y238" s="14">
        <v>18.0</v>
      </c>
      <c r="Z238" s="14">
        <v>17.9</v>
      </c>
      <c r="AA238" s="14">
        <v>17.7</v>
      </c>
      <c r="AB238" s="14">
        <v>17.8</v>
      </c>
      <c r="AC238" s="14">
        <v>17.9</v>
      </c>
      <c r="AD238" s="14">
        <v>464.0</v>
      </c>
      <c r="AE238" s="14">
        <v>465.0</v>
      </c>
      <c r="AF238" s="14">
        <v>468.0</v>
      </c>
      <c r="AG238" s="14">
        <v>470.0</v>
      </c>
      <c r="AH238" s="14">
        <v>472.0</v>
      </c>
      <c r="AI238" s="14">
        <v>467.8</v>
      </c>
      <c r="AJ238" s="14">
        <v>0.34</v>
      </c>
      <c r="AK238" s="14">
        <v>1.22</v>
      </c>
      <c r="AL238" s="14">
        <v>0.46</v>
      </c>
      <c r="AM238" s="14">
        <v>0.56</v>
      </c>
      <c r="AN238" s="14">
        <v>0.86</v>
      </c>
      <c r="AO238" s="14">
        <v>0.688</v>
      </c>
      <c r="AP238" s="14">
        <v>52.6</v>
      </c>
      <c r="AQ238" s="14">
        <v>83.65</v>
      </c>
      <c r="AR238" s="14">
        <v>32.5</v>
      </c>
      <c r="AS238" s="14">
        <v>10.0</v>
      </c>
      <c r="AT238" s="14">
        <v>2.17</v>
      </c>
      <c r="AU238" s="14">
        <v>2.4196E8</v>
      </c>
      <c r="AV238" s="15">
        <v>1.619</v>
      </c>
      <c r="AW238" s="15">
        <v>17.3</v>
      </c>
      <c r="AX238" s="15">
        <v>2419600.0</v>
      </c>
      <c r="AY238" s="14">
        <v>0.79</v>
      </c>
      <c r="AZ238" s="14">
        <v>0.007</v>
      </c>
      <c r="BA238" s="14">
        <v>18.097</v>
      </c>
    </row>
    <row r="239" ht="14.25" customHeight="1">
      <c r="A239" s="10" t="s">
        <v>328</v>
      </c>
      <c r="B239" s="11" t="s">
        <v>74</v>
      </c>
      <c r="C239" s="11"/>
      <c r="D239" s="12"/>
      <c r="E239" s="11">
        <v>43559.0</v>
      </c>
      <c r="F239" s="12">
        <v>1.0</v>
      </c>
      <c r="G239" s="12" t="s">
        <v>315</v>
      </c>
      <c r="H239" s="13">
        <v>0.3020833333333333</v>
      </c>
      <c r="I239" s="13">
        <v>0.3854166666666667</v>
      </c>
      <c r="J239" s="12"/>
      <c r="K239" s="12"/>
      <c r="L239" s="14">
        <v>6.8</v>
      </c>
      <c r="M239" s="14">
        <v>6.9</v>
      </c>
      <c r="N239" s="14">
        <v>6.55</v>
      </c>
      <c r="O239" s="14">
        <v>7.46</v>
      </c>
      <c r="P239" s="14">
        <v>6.83</v>
      </c>
      <c r="Q239" s="14">
        <v>6.9079999999999995</v>
      </c>
      <c r="R239" s="14">
        <v>7.32</v>
      </c>
      <c r="S239" s="14">
        <v>7.37</v>
      </c>
      <c r="T239" s="14">
        <v>7.34</v>
      </c>
      <c r="U239" s="14">
        <v>7.45</v>
      </c>
      <c r="V239" s="14">
        <v>7.61</v>
      </c>
      <c r="W239" s="14">
        <v>7.418000000000001</v>
      </c>
      <c r="X239" s="14">
        <v>13.0</v>
      </c>
      <c r="Y239" s="14">
        <v>12.5</v>
      </c>
      <c r="Z239" s="14">
        <v>12.5</v>
      </c>
      <c r="AA239" s="14">
        <v>13.0</v>
      </c>
      <c r="AB239" s="14">
        <v>13.3</v>
      </c>
      <c r="AC239" s="14">
        <v>12.86</v>
      </c>
      <c r="AD239" s="14">
        <v>303.0</v>
      </c>
      <c r="AE239" s="14">
        <v>306.0</v>
      </c>
      <c r="AF239" s="14">
        <v>309.0</v>
      </c>
      <c r="AG239" s="14">
        <v>310.0</v>
      </c>
      <c r="AH239" s="14">
        <v>309.0</v>
      </c>
      <c r="AI239" s="14">
        <v>307.4</v>
      </c>
      <c r="AJ239" s="14">
        <v>6.5</v>
      </c>
      <c r="AK239" s="14">
        <v>6.1</v>
      </c>
      <c r="AL239" s="14">
        <v>6.8</v>
      </c>
      <c r="AM239" s="14">
        <v>6.1</v>
      </c>
      <c r="AN239" s="14">
        <v>6.4</v>
      </c>
      <c r="AO239" s="14">
        <v>6.38</v>
      </c>
      <c r="AP239" s="14">
        <v>4.1</v>
      </c>
      <c r="AQ239" s="14">
        <v>27.2</v>
      </c>
      <c r="AR239" s="14">
        <v>7.0</v>
      </c>
      <c r="AS239" s="14">
        <v>10.0</v>
      </c>
      <c r="AT239" s="14">
        <v>0.49</v>
      </c>
      <c r="AU239" s="14">
        <v>198630.0</v>
      </c>
      <c r="AV239" s="15">
        <v>0.199</v>
      </c>
      <c r="AW239" s="15">
        <v>5.7</v>
      </c>
      <c r="AX239" s="15">
        <v>738.0</v>
      </c>
      <c r="AY239" s="14">
        <v>4.67</v>
      </c>
      <c r="AZ239" s="14">
        <v>0.49</v>
      </c>
      <c r="BA239" s="14">
        <v>10.86</v>
      </c>
    </row>
    <row r="240" ht="14.25" customHeight="1">
      <c r="A240" s="10" t="s">
        <v>329</v>
      </c>
      <c r="B240" s="11" t="s">
        <v>102</v>
      </c>
      <c r="C240" s="11"/>
      <c r="D240" s="12"/>
      <c r="E240" s="11">
        <v>43559.0</v>
      </c>
      <c r="F240" s="12">
        <v>1.0</v>
      </c>
      <c r="G240" s="12" t="s">
        <v>315</v>
      </c>
      <c r="H240" s="13">
        <v>0.40625</v>
      </c>
      <c r="I240" s="13">
        <v>0.4895833333333333</v>
      </c>
      <c r="J240" s="12"/>
      <c r="K240" s="12"/>
      <c r="L240" s="14">
        <v>56.2</v>
      </c>
      <c r="M240" s="14">
        <v>52.3</v>
      </c>
      <c r="N240" s="14">
        <v>45.3</v>
      </c>
      <c r="O240" s="14">
        <v>44.1</v>
      </c>
      <c r="P240" s="14">
        <v>43.4</v>
      </c>
      <c r="Q240" s="14">
        <v>48.260000000000005</v>
      </c>
      <c r="R240" s="14">
        <v>6.99</v>
      </c>
      <c r="S240" s="14">
        <v>6.97</v>
      </c>
      <c r="T240" s="14">
        <v>6.95</v>
      </c>
      <c r="U240" s="14">
        <v>6.88</v>
      </c>
      <c r="V240" s="14">
        <v>7.02</v>
      </c>
      <c r="W240" s="14">
        <v>6.962000000000001</v>
      </c>
      <c r="X240" s="14">
        <v>16.2</v>
      </c>
      <c r="Y240" s="14">
        <v>16.0</v>
      </c>
      <c r="Z240" s="14">
        <v>16.3</v>
      </c>
      <c r="AA240" s="14">
        <v>16.2</v>
      </c>
      <c r="AB240" s="14">
        <v>16.5</v>
      </c>
      <c r="AC240" s="14">
        <v>16.240000000000002</v>
      </c>
      <c r="AD240" s="14">
        <v>385.0</v>
      </c>
      <c r="AE240" s="14">
        <v>400.0</v>
      </c>
      <c r="AF240" s="14">
        <v>415.0</v>
      </c>
      <c r="AG240" s="14">
        <v>409.0</v>
      </c>
      <c r="AH240" s="14">
        <v>396.0</v>
      </c>
      <c r="AI240" s="14">
        <v>401.0</v>
      </c>
      <c r="AJ240" s="14">
        <v>5.4</v>
      </c>
      <c r="AK240" s="14">
        <v>5.3</v>
      </c>
      <c r="AL240" s="14">
        <v>4.7</v>
      </c>
      <c r="AM240" s="14">
        <v>5.2</v>
      </c>
      <c r="AN240" s="14">
        <v>5.3</v>
      </c>
      <c r="AO240" s="14">
        <v>5.18</v>
      </c>
      <c r="AP240" s="14">
        <v>22.3</v>
      </c>
      <c r="AQ240" s="14">
        <v>77.2</v>
      </c>
      <c r="AR240" s="14">
        <v>21.0</v>
      </c>
      <c r="AS240" s="14">
        <v>21.8</v>
      </c>
      <c r="AT240" s="14">
        <v>0.57</v>
      </c>
      <c r="AU240" s="14">
        <v>2.4196E8</v>
      </c>
      <c r="AV240" s="15">
        <v>1.978</v>
      </c>
      <c r="AW240" s="15">
        <v>19.6</v>
      </c>
      <c r="AX240" s="15">
        <v>27550.0</v>
      </c>
      <c r="AY240" s="14">
        <v>0.37</v>
      </c>
      <c r="AZ240" s="14">
        <v>0.029</v>
      </c>
      <c r="BA240" s="14">
        <v>19.999000000000002</v>
      </c>
    </row>
    <row r="241" ht="14.25" customHeight="1">
      <c r="A241" s="10" t="s">
        <v>330</v>
      </c>
      <c r="B241" s="11" t="s">
        <v>100</v>
      </c>
      <c r="C241" s="11"/>
      <c r="D241" s="12"/>
      <c r="E241" s="11">
        <v>43559.0</v>
      </c>
      <c r="F241" s="12">
        <v>1.0</v>
      </c>
      <c r="G241" s="12" t="s">
        <v>315</v>
      </c>
      <c r="H241" s="13">
        <v>0.5416666666666666</v>
      </c>
      <c r="I241" s="13">
        <v>0.625</v>
      </c>
      <c r="J241" s="12"/>
      <c r="K241" s="12"/>
      <c r="L241" s="14">
        <v>18.3</v>
      </c>
      <c r="M241" s="14">
        <v>18.5</v>
      </c>
      <c r="N241" s="14">
        <v>23.2</v>
      </c>
      <c r="O241" s="14">
        <v>32.5</v>
      </c>
      <c r="P241" s="14">
        <v>32.9</v>
      </c>
      <c r="Q241" s="14">
        <v>25.080000000000002</v>
      </c>
      <c r="R241" s="14">
        <v>6.77</v>
      </c>
      <c r="S241" s="14">
        <v>6.86</v>
      </c>
      <c r="T241" s="14">
        <v>6.69</v>
      </c>
      <c r="U241" s="14">
        <v>6.6</v>
      </c>
      <c r="V241" s="14">
        <v>6.49</v>
      </c>
      <c r="W241" s="14">
        <v>6.682</v>
      </c>
      <c r="X241" s="14">
        <v>19.2</v>
      </c>
      <c r="Y241" s="14">
        <v>19.1</v>
      </c>
      <c r="Z241" s="14">
        <v>19.0</v>
      </c>
      <c r="AA241" s="14">
        <v>19.3</v>
      </c>
      <c r="AB241" s="14">
        <v>19.0</v>
      </c>
      <c r="AC241" s="14">
        <v>19.119999999999997</v>
      </c>
      <c r="AD241" s="14">
        <v>756.0</v>
      </c>
      <c r="AE241" s="14">
        <v>764.0</v>
      </c>
      <c r="AF241" s="14">
        <v>763.0</v>
      </c>
      <c r="AG241" s="14">
        <v>815.0</v>
      </c>
      <c r="AH241" s="14">
        <v>824.0</v>
      </c>
      <c r="AI241" s="14">
        <v>784.4</v>
      </c>
      <c r="AJ241" s="14">
        <v>0.1</v>
      </c>
      <c r="AK241" s="14">
        <v>0.1</v>
      </c>
      <c r="AL241" s="14">
        <v>0.1</v>
      </c>
      <c r="AM241" s="14">
        <v>0.1</v>
      </c>
      <c r="AN241" s="14">
        <v>0.1</v>
      </c>
      <c r="AO241" s="14">
        <v>0.1</v>
      </c>
      <c r="AP241" s="14">
        <v>139.3</v>
      </c>
      <c r="AQ241" s="14">
        <v>384.0</v>
      </c>
      <c r="AR241" s="14">
        <v>90.0</v>
      </c>
      <c r="AS241" s="14">
        <v>21.9</v>
      </c>
      <c r="AT241" s="14">
        <v>2.39</v>
      </c>
      <c r="AU241" s="14">
        <v>5.475E8</v>
      </c>
      <c r="AV241" s="15">
        <v>1.842</v>
      </c>
      <c r="AW241" s="15">
        <v>45.0</v>
      </c>
      <c r="AX241" s="15">
        <v>36540.0</v>
      </c>
      <c r="AY241" s="14">
        <v>0.65</v>
      </c>
      <c r="AZ241" s="14">
        <v>0.053</v>
      </c>
      <c r="BA241" s="14">
        <v>45.703</v>
      </c>
    </row>
    <row r="242" ht="14.25" customHeight="1">
      <c r="A242" s="10" t="s">
        <v>331</v>
      </c>
      <c r="B242" s="11" t="s">
        <v>114</v>
      </c>
      <c r="C242" s="11"/>
      <c r="D242" s="12"/>
      <c r="E242" s="11">
        <v>43593.0</v>
      </c>
      <c r="F242" s="12">
        <v>1.0</v>
      </c>
      <c r="G242" s="12" t="s">
        <v>308</v>
      </c>
      <c r="H242" s="13">
        <v>0.2916666666666667</v>
      </c>
      <c r="I242" s="13">
        <v>0.375</v>
      </c>
      <c r="J242" s="12"/>
      <c r="K242" s="12"/>
      <c r="L242" s="14">
        <v>23.0</v>
      </c>
      <c r="M242" s="14">
        <v>23.0</v>
      </c>
      <c r="N242" s="14">
        <v>29.0</v>
      </c>
      <c r="O242" s="14">
        <v>20.0</v>
      </c>
      <c r="P242" s="14" t="s">
        <v>161</v>
      </c>
      <c r="Q242" s="14">
        <v>23.75</v>
      </c>
      <c r="R242" s="14">
        <v>7.28</v>
      </c>
      <c r="S242" s="14">
        <v>7.36</v>
      </c>
      <c r="T242" s="14">
        <v>7.33</v>
      </c>
      <c r="U242" s="14">
        <v>7.45</v>
      </c>
      <c r="V242" s="14" t="s">
        <v>161</v>
      </c>
      <c r="W242" s="14">
        <v>7.3549999999999995</v>
      </c>
      <c r="X242" s="14">
        <v>18.8</v>
      </c>
      <c r="Y242" s="14">
        <v>19.2</v>
      </c>
      <c r="Z242" s="14">
        <v>19.3</v>
      </c>
      <c r="AA242" s="14">
        <v>19.5</v>
      </c>
      <c r="AB242" s="14" t="s">
        <v>161</v>
      </c>
      <c r="AC242" s="14">
        <v>19.2</v>
      </c>
      <c r="AD242" s="14">
        <v>564.0</v>
      </c>
      <c r="AE242" s="14">
        <v>595.0</v>
      </c>
      <c r="AF242" s="14">
        <v>568.0</v>
      </c>
      <c r="AG242" s="14">
        <v>575.0</v>
      </c>
      <c r="AH242" s="14" t="s">
        <v>161</v>
      </c>
      <c r="AI242" s="14">
        <v>575.5</v>
      </c>
      <c r="AJ242" s="14">
        <v>0.76</v>
      </c>
      <c r="AK242" s="14">
        <v>0.66</v>
      </c>
      <c r="AL242" s="14">
        <v>0.72</v>
      </c>
      <c r="AM242" s="14">
        <v>0.69</v>
      </c>
      <c r="AN242" s="14" t="s">
        <v>161</v>
      </c>
      <c r="AO242" s="14">
        <v>0.7074999999999999</v>
      </c>
      <c r="AP242" s="14">
        <v>150.0</v>
      </c>
      <c r="AQ242" s="14">
        <v>234.0</v>
      </c>
      <c r="AR242" s="14">
        <v>98.0</v>
      </c>
      <c r="AS242" s="14">
        <v>10.0</v>
      </c>
      <c r="AT242" s="14">
        <v>1.74</v>
      </c>
      <c r="AU242" s="14">
        <v>1.553E10</v>
      </c>
      <c r="AV242" s="15">
        <v>3.961</v>
      </c>
      <c r="AW242" s="15">
        <v>36.6</v>
      </c>
      <c r="AX242" s="15">
        <v>173000.0</v>
      </c>
      <c r="AY242" s="14">
        <v>1.54</v>
      </c>
      <c r="AZ242" s="14">
        <v>0.01</v>
      </c>
      <c r="BA242" s="14">
        <v>38.15</v>
      </c>
    </row>
    <row r="243" ht="14.25" customHeight="1">
      <c r="A243" s="10" t="s">
        <v>332</v>
      </c>
      <c r="B243" s="11" t="s">
        <v>89</v>
      </c>
      <c r="C243" s="11"/>
      <c r="D243" s="12"/>
      <c r="E243" s="11">
        <v>43593.0</v>
      </c>
      <c r="F243" s="12">
        <v>1.0</v>
      </c>
      <c r="G243" s="12" t="s">
        <v>308</v>
      </c>
      <c r="H243" s="13">
        <v>0.3958333333333333</v>
      </c>
      <c r="I243" s="13">
        <v>0.4791666666666667</v>
      </c>
      <c r="J243" s="12"/>
      <c r="K243" s="12"/>
      <c r="L243" s="14">
        <v>77.0</v>
      </c>
      <c r="M243" s="14">
        <v>92.0</v>
      </c>
      <c r="N243" s="14">
        <v>92.0</v>
      </c>
      <c r="O243" s="14">
        <v>129.0</v>
      </c>
      <c r="P243" s="14">
        <v>97.0</v>
      </c>
      <c r="Q243" s="14">
        <v>97.4</v>
      </c>
      <c r="R243" s="14">
        <v>9.71</v>
      </c>
      <c r="S243" s="14">
        <v>9.09</v>
      </c>
      <c r="T243" s="14">
        <v>9.48</v>
      </c>
      <c r="U243" s="14">
        <v>10.46</v>
      </c>
      <c r="V243" s="14">
        <v>9.5</v>
      </c>
      <c r="W243" s="14">
        <v>9.648</v>
      </c>
      <c r="X243" s="14">
        <v>18.4</v>
      </c>
      <c r="Y243" s="14">
        <v>18.5</v>
      </c>
      <c r="Z243" s="14">
        <v>18.9</v>
      </c>
      <c r="AA243" s="14">
        <v>19.0</v>
      </c>
      <c r="AB243" s="14">
        <v>19.2</v>
      </c>
      <c r="AC243" s="14">
        <v>18.8</v>
      </c>
      <c r="AD243" s="14">
        <v>467.0</v>
      </c>
      <c r="AE243" s="14">
        <v>487.0</v>
      </c>
      <c r="AF243" s="14">
        <v>490.0</v>
      </c>
      <c r="AG243" s="14">
        <v>482.0</v>
      </c>
      <c r="AH243" s="14">
        <v>481.0</v>
      </c>
      <c r="AI243" s="14">
        <v>481.4</v>
      </c>
      <c r="AJ243" s="14">
        <v>2.54</v>
      </c>
      <c r="AK243" s="14">
        <v>2.38</v>
      </c>
      <c r="AL243" s="14">
        <v>2.15</v>
      </c>
      <c r="AM243" s="14">
        <v>2.96</v>
      </c>
      <c r="AN243" s="14">
        <v>2.81</v>
      </c>
      <c r="AO243" s="14">
        <v>2.5680000000000005</v>
      </c>
      <c r="AP243" s="14">
        <v>110.0</v>
      </c>
      <c r="AQ243" s="14">
        <v>177.0</v>
      </c>
      <c r="AR243" s="14">
        <v>536.0</v>
      </c>
      <c r="AS243" s="14">
        <v>10.0</v>
      </c>
      <c r="AT243" s="14">
        <v>0.7</v>
      </c>
      <c r="AU243" s="14">
        <v>1.234E8</v>
      </c>
      <c r="AV243" s="15">
        <v>1.208</v>
      </c>
      <c r="AW243" s="15">
        <v>12.4</v>
      </c>
      <c r="AX243" s="15">
        <v>137200.0</v>
      </c>
      <c r="AY243" s="14">
        <v>0.41</v>
      </c>
      <c r="AZ243" s="14">
        <v>0.007</v>
      </c>
      <c r="BA243" s="14">
        <v>12.817</v>
      </c>
    </row>
    <row r="244" ht="14.25" customHeight="1">
      <c r="A244" s="10" t="s">
        <v>333</v>
      </c>
      <c r="B244" s="11" t="s">
        <v>81</v>
      </c>
      <c r="C244" s="11"/>
      <c r="D244" s="12"/>
      <c r="E244" s="11">
        <v>43593.0</v>
      </c>
      <c r="F244" s="12">
        <v>1.0</v>
      </c>
      <c r="G244" s="12" t="s">
        <v>308</v>
      </c>
      <c r="H244" s="13">
        <v>0.5416666666666666</v>
      </c>
      <c r="I244" s="13">
        <v>0.625</v>
      </c>
      <c r="J244" s="12"/>
      <c r="K244" s="12"/>
      <c r="L244" s="14">
        <v>229.0</v>
      </c>
      <c r="M244" s="14">
        <v>194.0</v>
      </c>
      <c r="N244" s="14">
        <v>199.0</v>
      </c>
      <c r="O244" s="14">
        <v>174.0</v>
      </c>
      <c r="P244" s="14">
        <v>141.0</v>
      </c>
      <c r="Q244" s="14">
        <v>187.4</v>
      </c>
      <c r="R244" s="14">
        <v>10.25</v>
      </c>
      <c r="S244" s="14">
        <v>9.53</v>
      </c>
      <c r="T244" s="14">
        <v>9.39</v>
      </c>
      <c r="U244" s="14">
        <v>9.05</v>
      </c>
      <c r="V244" s="14">
        <v>8.99</v>
      </c>
      <c r="W244" s="14">
        <v>9.442</v>
      </c>
      <c r="X244" s="14">
        <v>19.9</v>
      </c>
      <c r="Y244" s="14">
        <v>20.0</v>
      </c>
      <c r="Z244" s="14">
        <v>20.1</v>
      </c>
      <c r="AA244" s="14">
        <v>20.1</v>
      </c>
      <c r="AB244" s="14">
        <v>19.8</v>
      </c>
      <c r="AC244" s="14">
        <v>19.979999999999997</v>
      </c>
      <c r="AD244" s="14">
        <v>490.0</v>
      </c>
      <c r="AE244" s="14">
        <v>522.0</v>
      </c>
      <c r="AF244" s="14">
        <v>525.0</v>
      </c>
      <c r="AG244" s="14">
        <v>524.0</v>
      </c>
      <c r="AH244" s="14">
        <v>529.0</v>
      </c>
      <c r="AI244" s="14">
        <v>518.0</v>
      </c>
      <c r="AJ244" s="14">
        <v>3.15</v>
      </c>
      <c r="AK244" s="14">
        <v>2.33</v>
      </c>
      <c r="AL244" s="14">
        <v>2.23</v>
      </c>
      <c r="AM244" s="14">
        <v>1.65</v>
      </c>
      <c r="AN244" s="14">
        <v>1.68</v>
      </c>
      <c r="AO244" s="14">
        <v>2.208</v>
      </c>
      <c r="AP244" s="14">
        <v>102.0</v>
      </c>
      <c r="AQ244" s="14">
        <v>172.0</v>
      </c>
      <c r="AR244" s="14">
        <v>158.0</v>
      </c>
      <c r="AS244" s="14">
        <v>10.0</v>
      </c>
      <c r="AT244" s="14">
        <v>1.09</v>
      </c>
      <c r="AU244" s="14">
        <v>4.48E7</v>
      </c>
      <c r="AV244" s="15">
        <v>1.112</v>
      </c>
      <c r="AW244" s="15">
        <v>11.3</v>
      </c>
      <c r="AX244" s="15">
        <v>214300.0</v>
      </c>
      <c r="AY244" s="14">
        <v>0.58</v>
      </c>
      <c r="AZ244" s="14">
        <v>0.007</v>
      </c>
      <c r="BA244" s="14">
        <v>11.887</v>
      </c>
    </row>
    <row r="245" ht="14.25" customHeight="1">
      <c r="A245" s="10" t="s">
        <v>334</v>
      </c>
      <c r="B245" s="11" t="s">
        <v>67</v>
      </c>
      <c r="C245" s="11"/>
      <c r="D245" s="12"/>
      <c r="E245" s="11">
        <v>43593.0</v>
      </c>
      <c r="F245" s="12">
        <v>1.0</v>
      </c>
      <c r="G245" s="12" t="s">
        <v>308</v>
      </c>
      <c r="H245" s="13">
        <v>0.2708333333333333</v>
      </c>
      <c r="I245" s="13">
        <v>0.3541666666666667</v>
      </c>
      <c r="J245" s="12"/>
      <c r="K245" s="12"/>
      <c r="L245" s="14">
        <v>108.1</v>
      </c>
      <c r="M245" s="14">
        <v>106.1</v>
      </c>
      <c r="N245" s="14">
        <v>116.1</v>
      </c>
      <c r="O245" s="14">
        <v>105.2</v>
      </c>
      <c r="P245" s="14">
        <v>104.3</v>
      </c>
      <c r="Q245" s="14">
        <v>107.96</v>
      </c>
      <c r="R245" s="14">
        <v>7.58</v>
      </c>
      <c r="S245" s="14">
        <v>7.62</v>
      </c>
      <c r="T245" s="14">
        <v>7.57</v>
      </c>
      <c r="U245" s="14">
        <v>7.69</v>
      </c>
      <c r="V245" s="14">
        <v>7.67</v>
      </c>
      <c r="W245" s="14">
        <v>7.626</v>
      </c>
      <c r="X245" s="14">
        <v>13.5</v>
      </c>
      <c r="Y245" s="14">
        <v>13.4</v>
      </c>
      <c r="Z245" s="14">
        <v>13.5</v>
      </c>
      <c r="AA245" s="14">
        <v>13.5</v>
      </c>
      <c r="AB245" s="14">
        <v>13.5</v>
      </c>
      <c r="AC245" s="14">
        <v>13.48</v>
      </c>
      <c r="AD245" s="14">
        <v>279.0</v>
      </c>
      <c r="AE245" s="14">
        <v>279.0</v>
      </c>
      <c r="AF245" s="14">
        <v>266.0</v>
      </c>
      <c r="AG245" s="14">
        <v>267.0</v>
      </c>
      <c r="AH245" s="14">
        <v>263.0</v>
      </c>
      <c r="AI245" s="14">
        <v>270.8</v>
      </c>
      <c r="AJ245" s="14">
        <v>5.9</v>
      </c>
      <c r="AK245" s="14" t="s">
        <v>161</v>
      </c>
      <c r="AL245" s="14">
        <v>6.0</v>
      </c>
      <c r="AM245" s="14" t="s">
        <v>161</v>
      </c>
      <c r="AN245" s="14">
        <v>5.3</v>
      </c>
      <c r="AO245" s="14">
        <v>5.733333333333333</v>
      </c>
      <c r="AP245" s="14">
        <v>28.0</v>
      </c>
      <c r="AQ245" s="14">
        <v>135.0</v>
      </c>
      <c r="AR245" s="14">
        <v>80.0</v>
      </c>
      <c r="AS245" s="14">
        <v>10.0</v>
      </c>
      <c r="AT245" s="14">
        <v>0.4</v>
      </c>
      <c r="AU245" s="14">
        <v>4.8E7</v>
      </c>
      <c r="AV245" s="15">
        <v>0.945</v>
      </c>
      <c r="AW245" s="15">
        <v>13.0</v>
      </c>
      <c r="AX245" s="15">
        <v>113700.0</v>
      </c>
      <c r="AY245" s="14">
        <v>0.28</v>
      </c>
      <c r="AZ245" s="14">
        <v>0.041</v>
      </c>
      <c r="BA245" s="14">
        <v>13.321</v>
      </c>
    </row>
    <row r="246" ht="14.25" customHeight="1">
      <c r="A246" s="10" t="s">
        <v>335</v>
      </c>
      <c r="B246" s="11" t="s">
        <v>77</v>
      </c>
      <c r="C246" s="11"/>
      <c r="D246" s="12"/>
      <c r="E246" s="11">
        <v>43593.0</v>
      </c>
      <c r="F246" s="12">
        <v>1.0</v>
      </c>
      <c r="G246" s="12" t="s">
        <v>308</v>
      </c>
      <c r="H246" s="13">
        <v>0.375</v>
      </c>
      <c r="I246" s="13">
        <v>0.4583333333333333</v>
      </c>
      <c r="J246" s="12"/>
      <c r="K246" s="12"/>
      <c r="L246" s="14">
        <v>225.5</v>
      </c>
      <c r="M246" s="14">
        <v>225.4</v>
      </c>
      <c r="N246" s="14">
        <v>229.3</v>
      </c>
      <c r="O246" s="14">
        <v>229.5</v>
      </c>
      <c r="P246" s="14">
        <v>211.6</v>
      </c>
      <c r="Q246" s="14">
        <v>224.26</v>
      </c>
      <c r="R246" s="14">
        <v>7.48</v>
      </c>
      <c r="S246" s="14">
        <v>7.52</v>
      </c>
      <c r="T246" s="14">
        <v>7.43</v>
      </c>
      <c r="U246" s="14">
        <v>7.39</v>
      </c>
      <c r="V246" s="14">
        <v>7.55</v>
      </c>
      <c r="W246" s="14">
        <v>7.473999999999999</v>
      </c>
      <c r="X246" s="14">
        <v>16.6</v>
      </c>
      <c r="Y246" s="14">
        <v>16.7</v>
      </c>
      <c r="Z246" s="14">
        <v>16.7</v>
      </c>
      <c r="AA246" s="14">
        <v>17.0</v>
      </c>
      <c r="AB246" s="14">
        <v>17.0</v>
      </c>
      <c r="AC246" s="14">
        <v>16.8</v>
      </c>
      <c r="AD246" s="14">
        <v>286.0</v>
      </c>
      <c r="AE246" s="14">
        <v>295.0</v>
      </c>
      <c r="AF246" s="14">
        <v>296.0</v>
      </c>
      <c r="AG246" s="14">
        <v>328.0</v>
      </c>
      <c r="AH246" s="14">
        <v>297.0</v>
      </c>
      <c r="AI246" s="14">
        <v>300.4</v>
      </c>
      <c r="AJ246" s="14">
        <v>1.8</v>
      </c>
      <c r="AK246" s="14" t="s">
        <v>161</v>
      </c>
      <c r="AL246" s="14">
        <v>1.8</v>
      </c>
      <c r="AM246" s="14" t="s">
        <v>161</v>
      </c>
      <c r="AN246" s="14">
        <v>2.3</v>
      </c>
      <c r="AO246" s="14">
        <v>1.9666666666666668</v>
      </c>
      <c r="AP246" s="14">
        <v>67.6</v>
      </c>
      <c r="AQ246" s="14">
        <v>176.0</v>
      </c>
      <c r="AR246" s="14">
        <v>120.0</v>
      </c>
      <c r="AS246" s="14">
        <v>190.0</v>
      </c>
      <c r="AT246" s="14">
        <v>0.85</v>
      </c>
      <c r="AU246" s="14">
        <v>7.22E9</v>
      </c>
      <c r="AV246" s="15">
        <v>1.702</v>
      </c>
      <c r="AW246" s="15">
        <v>13.9</v>
      </c>
      <c r="AX246" s="15">
        <v>147000.0</v>
      </c>
      <c r="AY246" s="14">
        <v>0.78</v>
      </c>
      <c r="AZ246" s="14">
        <v>0.007</v>
      </c>
      <c r="BA246" s="14">
        <v>14.687000000000001</v>
      </c>
    </row>
    <row r="247" ht="14.25" customHeight="1">
      <c r="A247" s="10" t="s">
        <v>336</v>
      </c>
      <c r="B247" s="11" t="s">
        <v>65</v>
      </c>
      <c r="C247" s="11"/>
      <c r="D247" s="12"/>
      <c r="E247" s="11">
        <v>43593.0</v>
      </c>
      <c r="F247" s="12">
        <v>1.0</v>
      </c>
      <c r="G247" s="12" t="s">
        <v>337</v>
      </c>
      <c r="H247" s="13">
        <v>0.4895833333333333</v>
      </c>
      <c r="I247" s="13">
        <v>0.5729166666666666</v>
      </c>
      <c r="J247" s="12"/>
      <c r="K247" s="12"/>
      <c r="L247" s="14">
        <v>293.9</v>
      </c>
      <c r="M247" s="14">
        <v>284.1</v>
      </c>
      <c r="N247" s="14">
        <v>285.3</v>
      </c>
      <c r="O247" s="14">
        <v>285.3</v>
      </c>
      <c r="P247" s="14">
        <v>287.3</v>
      </c>
      <c r="Q247" s="14">
        <v>287.17999999999995</v>
      </c>
      <c r="R247" s="14">
        <v>7.49</v>
      </c>
      <c r="S247" s="14">
        <v>7.8</v>
      </c>
      <c r="T247" s="14">
        <v>7.61</v>
      </c>
      <c r="U247" s="14">
        <v>7.62</v>
      </c>
      <c r="V247" s="14">
        <v>7.53</v>
      </c>
      <c r="W247" s="14">
        <v>7.609999999999999</v>
      </c>
      <c r="X247" s="14">
        <v>18.6</v>
      </c>
      <c r="Y247" s="14">
        <v>18.5</v>
      </c>
      <c r="Z247" s="14">
        <v>18.3</v>
      </c>
      <c r="AA247" s="14">
        <v>18.4</v>
      </c>
      <c r="AB247" s="14">
        <v>18.3</v>
      </c>
      <c r="AC247" s="14">
        <v>18.42</v>
      </c>
      <c r="AD247" s="14">
        <v>358.0</v>
      </c>
      <c r="AE247" s="14">
        <v>345.0</v>
      </c>
      <c r="AF247" s="14">
        <v>347.0</v>
      </c>
      <c r="AG247" s="14">
        <v>368.0</v>
      </c>
      <c r="AH247" s="14">
        <v>377.0</v>
      </c>
      <c r="AI247" s="14">
        <v>359.0</v>
      </c>
      <c r="AJ247" s="14">
        <v>0.6</v>
      </c>
      <c r="AK247" s="14" t="s">
        <v>161</v>
      </c>
      <c r="AL247" s="14">
        <v>0.2</v>
      </c>
      <c r="AM247" s="14" t="s">
        <v>161</v>
      </c>
      <c r="AN247" s="14">
        <v>0.5</v>
      </c>
      <c r="AO247" s="14">
        <v>0.43333333333333335</v>
      </c>
      <c r="AP247" s="14">
        <v>48.2</v>
      </c>
      <c r="AQ247" s="14">
        <v>347.0</v>
      </c>
      <c r="AR247" s="14">
        <v>64.0</v>
      </c>
      <c r="AS247" s="14">
        <v>14.8</v>
      </c>
      <c r="AT247" s="14">
        <v>2.09</v>
      </c>
      <c r="AU247" s="14">
        <v>7.76E9</v>
      </c>
      <c r="AV247" s="15">
        <v>2.546</v>
      </c>
      <c r="AW247" s="15">
        <v>16.1</v>
      </c>
      <c r="AX247" s="15">
        <v>167900.0</v>
      </c>
      <c r="AY247" s="14">
        <v>1.09</v>
      </c>
      <c r="AZ247" s="14">
        <v>0.007</v>
      </c>
      <c r="BA247" s="14">
        <v>17.197000000000003</v>
      </c>
    </row>
    <row r="248" ht="14.25" customHeight="1">
      <c r="A248" s="10" t="s">
        <v>338</v>
      </c>
      <c r="B248" s="11" t="s">
        <v>70</v>
      </c>
      <c r="C248" s="11"/>
      <c r="D248" s="12"/>
      <c r="E248" s="11">
        <v>43593.0</v>
      </c>
      <c r="F248" s="12">
        <v>1.0</v>
      </c>
      <c r="G248" s="12" t="s">
        <v>308</v>
      </c>
      <c r="H248" s="13">
        <v>0.625</v>
      </c>
      <c r="I248" s="13">
        <v>0.7083333333333334</v>
      </c>
      <c r="J248" s="12"/>
      <c r="K248" s="12"/>
      <c r="L248" s="14">
        <v>283.0</v>
      </c>
      <c r="M248" s="14">
        <v>310.0</v>
      </c>
      <c r="N248" s="14">
        <v>323.0</v>
      </c>
      <c r="O248" s="14">
        <v>343.0</v>
      </c>
      <c r="P248" s="14">
        <v>303.0</v>
      </c>
      <c r="Q248" s="14">
        <v>312.4</v>
      </c>
      <c r="R248" s="14">
        <v>7.73</v>
      </c>
      <c r="S248" s="14">
        <v>7.61</v>
      </c>
      <c r="T248" s="14">
        <v>7.52</v>
      </c>
      <c r="U248" s="14">
        <v>7.52</v>
      </c>
      <c r="V248" s="14">
        <v>7.47</v>
      </c>
      <c r="W248" s="14">
        <v>7.57</v>
      </c>
      <c r="X248" s="14">
        <v>18.5</v>
      </c>
      <c r="Y248" s="14">
        <v>18.4</v>
      </c>
      <c r="Z248" s="14">
        <v>18.2</v>
      </c>
      <c r="AA248" s="14">
        <v>18.2</v>
      </c>
      <c r="AB248" s="14">
        <v>17.9</v>
      </c>
      <c r="AC248" s="14">
        <v>18.24</v>
      </c>
      <c r="AD248" s="14">
        <v>448.0</v>
      </c>
      <c r="AE248" s="14">
        <v>454.0</v>
      </c>
      <c r="AF248" s="14">
        <v>460.0</v>
      </c>
      <c r="AG248" s="14">
        <v>467.0</v>
      </c>
      <c r="AH248" s="14">
        <v>484.0</v>
      </c>
      <c r="AI248" s="14">
        <v>462.6</v>
      </c>
      <c r="AJ248" s="14">
        <v>1.1</v>
      </c>
      <c r="AK248" s="14" t="s">
        <v>161</v>
      </c>
      <c r="AL248" s="14">
        <v>0.0</v>
      </c>
      <c r="AM248" s="14" t="s">
        <v>161</v>
      </c>
      <c r="AN248" s="14">
        <v>0.0</v>
      </c>
      <c r="AO248" s="14">
        <v>0.3666666666666667</v>
      </c>
      <c r="AP248" s="14">
        <v>82.8</v>
      </c>
      <c r="AQ248" s="14">
        <v>222.0</v>
      </c>
      <c r="AR248" s="14">
        <v>88.0</v>
      </c>
      <c r="AS248" s="14">
        <v>24.7</v>
      </c>
      <c r="AT248" s="14">
        <v>2.48</v>
      </c>
      <c r="AU248" s="14">
        <v>8.33E9</v>
      </c>
      <c r="AV248" s="15">
        <v>1.853</v>
      </c>
      <c r="AW248" s="15">
        <v>26.1</v>
      </c>
      <c r="AX248" s="15">
        <v>195100.0</v>
      </c>
      <c r="AY248" s="14">
        <v>0.99</v>
      </c>
      <c r="AZ248" s="14">
        <v>0.009</v>
      </c>
      <c r="BA248" s="14">
        <v>27.099</v>
      </c>
    </row>
    <row r="249" ht="14.25" customHeight="1">
      <c r="A249" s="10" t="s">
        <v>339</v>
      </c>
      <c r="B249" s="11" t="s">
        <v>118</v>
      </c>
      <c r="C249" s="11"/>
      <c r="D249" s="12"/>
      <c r="E249" s="11">
        <v>43593.0</v>
      </c>
      <c r="F249" s="12">
        <v>1.0</v>
      </c>
      <c r="G249" s="12" t="s">
        <v>308</v>
      </c>
      <c r="H249" s="13">
        <v>0.2708333333333333</v>
      </c>
      <c r="I249" s="13">
        <v>0.3541666666666667</v>
      </c>
      <c r="J249" s="12"/>
      <c r="K249" s="12"/>
      <c r="L249" s="14">
        <v>9.0</v>
      </c>
      <c r="M249" s="14">
        <v>7.0</v>
      </c>
      <c r="N249" s="14">
        <v>12.0</v>
      </c>
      <c r="O249" s="14">
        <v>12.0</v>
      </c>
      <c r="P249" s="14">
        <v>13.0</v>
      </c>
      <c r="Q249" s="14">
        <v>10.6</v>
      </c>
      <c r="R249" s="14">
        <v>7.4</v>
      </c>
      <c r="S249" s="14" t="s">
        <v>161</v>
      </c>
      <c r="T249" s="14" t="s">
        <v>161</v>
      </c>
      <c r="U249" s="14" t="s">
        <v>161</v>
      </c>
      <c r="V249" s="14" t="s">
        <v>161</v>
      </c>
      <c r="W249" s="14" t="s">
        <v>161</v>
      </c>
      <c r="X249" s="14">
        <v>16.0</v>
      </c>
      <c r="Y249" s="14">
        <v>15.7</v>
      </c>
      <c r="Z249" s="14">
        <v>16.2</v>
      </c>
      <c r="AA249" s="14">
        <v>16.6</v>
      </c>
      <c r="AB249" s="14">
        <v>16.1</v>
      </c>
      <c r="AC249" s="14">
        <v>16.119999999999997</v>
      </c>
      <c r="AD249" s="14">
        <v>181.3</v>
      </c>
      <c r="AE249" s="14">
        <v>184.8</v>
      </c>
      <c r="AF249" s="14">
        <v>215.0</v>
      </c>
      <c r="AG249" s="14">
        <v>192.4</v>
      </c>
      <c r="AH249" s="14">
        <v>186.3</v>
      </c>
      <c r="AI249" s="14">
        <v>191.95999999999998</v>
      </c>
      <c r="AJ249" s="14">
        <v>3.7</v>
      </c>
      <c r="AK249" s="14">
        <v>3.5</v>
      </c>
      <c r="AL249" s="14">
        <v>4.4</v>
      </c>
      <c r="AM249" s="14" t="s">
        <v>161</v>
      </c>
      <c r="AN249" s="14" t="s">
        <v>161</v>
      </c>
      <c r="AO249" s="14">
        <v>3.866666666666667</v>
      </c>
      <c r="AP249" s="14">
        <v>7.7</v>
      </c>
      <c r="AQ249" s="14">
        <v>20.9</v>
      </c>
      <c r="AR249" s="14">
        <v>16.0</v>
      </c>
      <c r="AS249" s="14">
        <v>10.0</v>
      </c>
      <c r="AT249" s="14">
        <v>0.4</v>
      </c>
      <c r="AU249" s="14">
        <v>648800.0</v>
      </c>
      <c r="AV249" s="15">
        <v>0.574</v>
      </c>
      <c r="AW249" s="15">
        <v>7.7</v>
      </c>
      <c r="AX249" s="15">
        <v>16480.0</v>
      </c>
      <c r="AY249" s="14">
        <v>2.04</v>
      </c>
      <c r="AZ249" s="14">
        <v>0.144</v>
      </c>
      <c r="BA249" s="14">
        <v>9.884</v>
      </c>
    </row>
    <row r="250" ht="14.25" customHeight="1">
      <c r="A250" s="10" t="s">
        <v>340</v>
      </c>
      <c r="B250" s="11" t="s">
        <v>120</v>
      </c>
      <c r="C250" s="11"/>
      <c r="D250" s="12"/>
      <c r="E250" s="11">
        <v>43593.0</v>
      </c>
      <c r="F250" s="12">
        <v>1.0</v>
      </c>
      <c r="G250" s="12" t="s">
        <v>315</v>
      </c>
      <c r="H250" s="13">
        <v>0.3854166666666667</v>
      </c>
      <c r="I250" s="13">
        <v>0.46875</v>
      </c>
      <c r="J250" s="12"/>
      <c r="K250" s="12"/>
      <c r="L250" s="14">
        <v>39.0</v>
      </c>
      <c r="M250" s="14">
        <v>37.0</v>
      </c>
      <c r="N250" s="14">
        <v>38.0</v>
      </c>
      <c r="O250" s="14">
        <v>39.0</v>
      </c>
      <c r="P250" s="14">
        <v>40.0</v>
      </c>
      <c r="Q250" s="14">
        <v>38.6</v>
      </c>
      <c r="R250" s="14">
        <v>7.9</v>
      </c>
      <c r="S250" s="14" t="s">
        <v>161</v>
      </c>
      <c r="T250" s="14" t="s">
        <v>161</v>
      </c>
      <c r="U250" s="14" t="s">
        <v>161</v>
      </c>
      <c r="V250" s="14" t="s">
        <v>161</v>
      </c>
      <c r="W250" s="14">
        <v>7.9</v>
      </c>
      <c r="X250" s="14">
        <v>20.4</v>
      </c>
      <c r="Y250" s="14">
        <v>20.5</v>
      </c>
      <c r="Z250" s="14">
        <v>20.3</v>
      </c>
      <c r="AA250" s="14">
        <v>20.4</v>
      </c>
      <c r="AB250" s="14">
        <v>20.6</v>
      </c>
      <c r="AC250" s="14">
        <v>20.439999999999998</v>
      </c>
      <c r="AD250" s="14">
        <v>670.0</v>
      </c>
      <c r="AE250" s="14">
        <v>686.0</v>
      </c>
      <c r="AF250" s="14">
        <v>689.0</v>
      </c>
      <c r="AG250" s="14">
        <v>674.0</v>
      </c>
      <c r="AH250" s="14">
        <v>659.0</v>
      </c>
      <c r="AI250" s="14">
        <v>675.6</v>
      </c>
      <c r="AJ250" s="14">
        <v>0.0</v>
      </c>
      <c r="AK250" s="14">
        <v>0.0</v>
      </c>
      <c r="AL250" s="14">
        <v>0.3</v>
      </c>
      <c r="AM250" s="14" t="s">
        <v>161</v>
      </c>
      <c r="AN250" s="14" t="s">
        <v>161</v>
      </c>
      <c r="AO250" s="14">
        <v>0.3</v>
      </c>
      <c r="AP250" s="14">
        <v>184.0</v>
      </c>
      <c r="AQ250" s="14">
        <v>363.0</v>
      </c>
      <c r="AR250" s="14">
        <v>128.0</v>
      </c>
      <c r="AS250" s="14">
        <v>16.9</v>
      </c>
      <c r="AT250" s="14">
        <v>2.22</v>
      </c>
      <c r="AU250" s="14">
        <v>1.9863E9</v>
      </c>
      <c r="AV250" s="15">
        <v>4.956</v>
      </c>
      <c r="AW250" s="15">
        <v>49.4</v>
      </c>
      <c r="AX250" s="15">
        <v>547500.0</v>
      </c>
      <c r="AY250" s="14">
        <v>2.28</v>
      </c>
      <c r="AZ250" s="14">
        <v>0.007</v>
      </c>
      <c r="BA250" s="14">
        <v>51.687</v>
      </c>
    </row>
    <row r="251" ht="14.25" customHeight="1">
      <c r="A251" s="10" t="s">
        <v>341</v>
      </c>
      <c r="B251" s="11" t="s">
        <v>116</v>
      </c>
      <c r="C251" s="11"/>
      <c r="D251" s="12"/>
      <c r="E251" s="11">
        <v>43593.0</v>
      </c>
      <c r="F251" s="12">
        <v>1.0</v>
      </c>
      <c r="G251" s="12" t="s">
        <v>308</v>
      </c>
      <c r="H251" s="13">
        <v>0.4791666666666667</v>
      </c>
      <c r="I251" s="13">
        <v>0.5625</v>
      </c>
      <c r="J251" s="12"/>
      <c r="K251" s="12"/>
      <c r="L251" s="14">
        <v>68.0</v>
      </c>
      <c r="M251" s="14">
        <v>70.0</v>
      </c>
      <c r="N251" s="14">
        <v>85.0</v>
      </c>
      <c r="O251" s="14">
        <v>63.0</v>
      </c>
      <c r="P251" s="14">
        <v>68.0</v>
      </c>
      <c r="Q251" s="14">
        <v>70.8</v>
      </c>
      <c r="R251" s="14">
        <v>8.1</v>
      </c>
      <c r="S251" s="14" t="s">
        <v>161</v>
      </c>
      <c r="T251" s="14" t="s">
        <v>161</v>
      </c>
      <c r="U251" s="14" t="s">
        <v>161</v>
      </c>
      <c r="V251" s="14" t="s">
        <v>161</v>
      </c>
      <c r="W251" s="14">
        <v>8.1</v>
      </c>
      <c r="X251" s="14">
        <v>20.3</v>
      </c>
      <c r="Y251" s="14">
        <v>20.3</v>
      </c>
      <c r="Z251" s="14">
        <v>20.3</v>
      </c>
      <c r="AA251" s="14">
        <v>20.5</v>
      </c>
      <c r="AB251" s="14">
        <v>20.5</v>
      </c>
      <c r="AC251" s="14">
        <v>20.380000000000003</v>
      </c>
      <c r="AD251" s="14">
        <v>614.0</v>
      </c>
      <c r="AE251" s="14">
        <v>618.0</v>
      </c>
      <c r="AF251" s="14">
        <v>620.0</v>
      </c>
      <c r="AG251" s="14">
        <v>614.0</v>
      </c>
      <c r="AH251" s="14">
        <v>608.0</v>
      </c>
      <c r="AI251" s="14">
        <v>614.8</v>
      </c>
      <c r="AJ251" s="14">
        <v>0.7</v>
      </c>
      <c r="AK251" s="14">
        <v>0.3</v>
      </c>
      <c r="AL251" s="14">
        <v>0.4</v>
      </c>
      <c r="AM251" s="14" t="s">
        <v>161</v>
      </c>
      <c r="AN251" s="14" t="s">
        <v>161</v>
      </c>
      <c r="AO251" s="14">
        <v>0.4666666666666666</v>
      </c>
      <c r="AP251" s="14">
        <v>70.0</v>
      </c>
      <c r="AQ251" s="14">
        <v>226.0</v>
      </c>
      <c r="AR251" s="14">
        <v>102.0</v>
      </c>
      <c r="AS251" s="14">
        <v>10.0</v>
      </c>
      <c r="AT251" s="14">
        <v>1.64</v>
      </c>
      <c r="AU251" s="14">
        <v>9.804E8</v>
      </c>
      <c r="AV251" s="15">
        <v>4.319</v>
      </c>
      <c r="AW251" s="15">
        <v>39.6</v>
      </c>
      <c r="AX251" s="15">
        <v>173000.0</v>
      </c>
      <c r="AY251" s="14">
        <v>1.8</v>
      </c>
      <c r="AZ251" s="14">
        <v>0.015</v>
      </c>
      <c r="BA251" s="14">
        <v>41.415</v>
      </c>
    </row>
    <row r="252" ht="14.25" customHeight="1">
      <c r="A252" s="10" t="s">
        <v>342</v>
      </c>
      <c r="B252" s="11" t="s">
        <v>129</v>
      </c>
      <c r="C252" s="11"/>
      <c r="D252" s="12"/>
      <c r="E252" s="11">
        <v>43593.0</v>
      </c>
      <c r="F252" s="12">
        <v>1.0</v>
      </c>
      <c r="G252" s="12" t="s">
        <v>337</v>
      </c>
      <c r="H252" s="13">
        <v>0.6041666666666666</v>
      </c>
      <c r="I252" s="13">
        <v>0.6875</v>
      </c>
      <c r="J252" s="12"/>
      <c r="K252" s="12"/>
      <c r="L252" s="14">
        <v>76.0</v>
      </c>
      <c r="M252" s="14">
        <v>76.0</v>
      </c>
      <c r="N252" s="14">
        <v>63.0</v>
      </c>
      <c r="O252" s="14">
        <v>75.0</v>
      </c>
      <c r="P252" s="14">
        <v>70.0</v>
      </c>
      <c r="Q252" s="14">
        <v>72.0</v>
      </c>
      <c r="R252" s="14">
        <v>7.7</v>
      </c>
      <c r="S252" s="14" t="s">
        <v>161</v>
      </c>
      <c r="T252" s="14" t="s">
        <v>161</v>
      </c>
      <c r="U252" s="14" t="s">
        <v>161</v>
      </c>
      <c r="V252" s="14" t="s">
        <v>161</v>
      </c>
      <c r="W252" s="14">
        <v>7.7</v>
      </c>
      <c r="X252" s="14">
        <v>19.2</v>
      </c>
      <c r="Y252" s="14">
        <v>18.8</v>
      </c>
      <c r="Z252" s="14">
        <v>18.8</v>
      </c>
      <c r="AA252" s="14">
        <v>19.6</v>
      </c>
      <c r="AB252" s="14">
        <v>19.7</v>
      </c>
      <c r="AC252" s="14">
        <v>19.220000000000002</v>
      </c>
      <c r="AD252" s="14">
        <v>572.0</v>
      </c>
      <c r="AE252" s="14">
        <v>589.0</v>
      </c>
      <c r="AF252" s="14">
        <v>588.0</v>
      </c>
      <c r="AG252" s="14">
        <v>584.0</v>
      </c>
      <c r="AH252" s="14">
        <v>558.0</v>
      </c>
      <c r="AI252" s="14">
        <v>578.2</v>
      </c>
      <c r="AJ252" s="14">
        <v>1.1</v>
      </c>
      <c r="AK252" s="14">
        <v>1.7</v>
      </c>
      <c r="AL252" s="14">
        <v>1.4</v>
      </c>
      <c r="AM252" s="14" t="s">
        <v>161</v>
      </c>
      <c r="AN252" s="14" t="s">
        <v>161</v>
      </c>
      <c r="AO252" s="14">
        <v>1.3999999999999997</v>
      </c>
      <c r="AP252" s="14">
        <v>55.0</v>
      </c>
      <c r="AQ252" s="14">
        <v>167.0</v>
      </c>
      <c r="AR252" s="14">
        <v>58.0</v>
      </c>
      <c r="AS252" s="14">
        <v>10.0</v>
      </c>
      <c r="AT252" s="14">
        <v>1.67</v>
      </c>
      <c r="AU252" s="14">
        <v>8.664E8</v>
      </c>
      <c r="AV252" s="15">
        <v>3.456</v>
      </c>
      <c r="AW252" s="15">
        <v>33.5</v>
      </c>
      <c r="AX252" s="15">
        <v>128700.0</v>
      </c>
      <c r="AY252" s="14">
        <v>1.36</v>
      </c>
      <c r="AZ252" s="14">
        <v>0.007</v>
      </c>
      <c r="BA252" s="14">
        <v>34.867</v>
      </c>
    </row>
    <row r="253" ht="14.25" customHeight="1">
      <c r="A253" s="10" t="s">
        <v>343</v>
      </c>
      <c r="B253" s="11" t="s">
        <v>133</v>
      </c>
      <c r="C253" s="11"/>
      <c r="D253" s="12"/>
      <c r="E253" s="11">
        <v>43600.0</v>
      </c>
      <c r="F253" s="12">
        <v>1.0</v>
      </c>
      <c r="G253" s="12" t="s">
        <v>315</v>
      </c>
      <c r="H253" s="13">
        <v>0.2604166666666667</v>
      </c>
      <c r="I253" s="13">
        <v>0.34375</v>
      </c>
      <c r="J253" s="12"/>
      <c r="K253" s="12"/>
      <c r="L253" s="14">
        <v>1153.4</v>
      </c>
      <c r="M253" s="14">
        <v>1269.5</v>
      </c>
      <c r="N253" s="14">
        <v>1112.3</v>
      </c>
      <c r="O253" s="14">
        <v>1265.2</v>
      </c>
      <c r="P253" s="14">
        <v>1216.3</v>
      </c>
      <c r="Q253" s="14">
        <v>1215.825</v>
      </c>
      <c r="R253" s="14">
        <v>7.19</v>
      </c>
      <c r="S253" s="14">
        <v>7.3</v>
      </c>
      <c r="T253" s="14">
        <v>7.29</v>
      </c>
      <c r="U253" s="14">
        <v>7.36</v>
      </c>
      <c r="V253" s="14">
        <v>7.37</v>
      </c>
      <c r="W253" s="14">
        <v>7.302</v>
      </c>
      <c r="X253" s="14">
        <v>10.6</v>
      </c>
      <c r="Y253" s="14">
        <v>10.6</v>
      </c>
      <c r="Z253" s="14">
        <v>10.6</v>
      </c>
      <c r="AA253" s="14">
        <v>10.7</v>
      </c>
      <c r="AB253" s="14">
        <v>10.7</v>
      </c>
      <c r="AC253" s="14">
        <v>10.64</v>
      </c>
      <c r="AD253" s="14">
        <v>22.6</v>
      </c>
      <c r="AE253" s="14">
        <v>23.1</v>
      </c>
      <c r="AF253" s="14">
        <v>23.4</v>
      </c>
      <c r="AG253" s="14">
        <v>24.2</v>
      </c>
      <c r="AH253" s="14">
        <v>24.5</v>
      </c>
      <c r="AI253" s="14">
        <v>23.56</v>
      </c>
      <c r="AJ253" s="14">
        <v>7.7</v>
      </c>
      <c r="AK253" s="14">
        <v>7.4</v>
      </c>
      <c r="AL253" s="14">
        <v>7.8</v>
      </c>
      <c r="AM253" s="14">
        <v>8.3</v>
      </c>
      <c r="AN253" s="14">
        <v>7.1</v>
      </c>
      <c r="AO253" s="14">
        <v>7.660000000000001</v>
      </c>
      <c r="AP253" s="14">
        <v>2.3</v>
      </c>
      <c r="AQ253" s="14">
        <v>44.0</v>
      </c>
      <c r="AR253" s="14">
        <v>14.0</v>
      </c>
      <c r="AS253" s="14">
        <v>17.0</v>
      </c>
      <c r="AT253" s="14">
        <v>0.4</v>
      </c>
      <c r="AU253" s="14">
        <v>52000.0</v>
      </c>
      <c r="AV253" s="19">
        <v>0.06</v>
      </c>
      <c r="AW253" s="15">
        <v>1.3</v>
      </c>
      <c r="AX253" s="15">
        <v>1733.0</v>
      </c>
      <c r="AY253" s="14">
        <v>0.27</v>
      </c>
      <c r="AZ253" s="14">
        <v>0.009</v>
      </c>
      <c r="BA253" s="14">
        <v>1.5790000000000002</v>
      </c>
    </row>
    <row r="254" ht="14.25" customHeight="1">
      <c r="A254" s="10" t="s">
        <v>344</v>
      </c>
      <c r="B254" s="11" t="s">
        <v>131</v>
      </c>
      <c r="C254" s="11"/>
      <c r="D254" s="12"/>
      <c r="E254" s="11">
        <v>43600.0</v>
      </c>
      <c r="F254" s="12">
        <v>1.0</v>
      </c>
      <c r="G254" s="12" t="s">
        <v>308</v>
      </c>
      <c r="H254" s="13">
        <v>0.3958333333333333</v>
      </c>
      <c r="I254" s="13">
        <v>0.4791666666666667</v>
      </c>
      <c r="J254" s="12"/>
      <c r="K254" s="12"/>
      <c r="L254" s="14">
        <v>645.7</v>
      </c>
      <c r="M254" s="14">
        <v>670.3</v>
      </c>
      <c r="N254" s="14">
        <v>626.2</v>
      </c>
      <c r="O254" s="14">
        <v>607.0</v>
      </c>
      <c r="P254" s="14">
        <v>678.4</v>
      </c>
      <c r="Q254" s="14">
        <v>645.52</v>
      </c>
      <c r="R254" s="14">
        <v>8.05</v>
      </c>
      <c r="S254" s="14">
        <v>7.97</v>
      </c>
      <c r="T254" s="14">
        <v>7.82</v>
      </c>
      <c r="U254" s="14">
        <v>7.75</v>
      </c>
      <c r="V254" s="14">
        <v>7.57</v>
      </c>
      <c r="W254" s="14">
        <v>7.831999999999999</v>
      </c>
      <c r="X254" s="14">
        <v>11.4</v>
      </c>
      <c r="Y254" s="14">
        <v>11.5</v>
      </c>
      <c r="Z254" s="14">
        <v>11.7</v>
      </c>
      <c r="AA254" s="14">
        <v>11.9</v>
      </c>
      <c r="AB254" s="14">
        <v>11.8</v>
      </c>
      <c r="AC254" s="14">
        <v>11.66</v>
      </c>
      <c r="AD254" s="14">
        <v>46.4</v>
      </c>
      <c r="AE254" s="14">
        <v>47.1</v>
      </c>
      <c r="AF254" s="14">
        <v>46.1</v>
      </c>
      <c r="AG254" s="14">
        <v>46.7</v>
      </c>
      <c r="AH254" s="14">
        <v>47.2</v>
      </c>
      <c r="AI254" s="14">
        <v>46.7</v>
      </c>
      <c r="AJ254" s="14">
        <v>7.5</v>
      </c>
      <c r="AK254" s="14">
        <v>7.0</v>
      </c>
      <c r="AL254" s="14">
        <v>7.3</v>
      </c>
      <c r="AM254" s="14">
        <v>8.4</v>
      </c>
      <c r="AN254" s="14">
        <v>8.2</v>
      </c>
      <c r="AO254" s="14">
        <v>7.6800000000000015</v>
      </c>
      <c r="AP254" s="14">
        <v>4.6</v>
      </c>
      <c r="AQ254" s="14">
        <v>101.0</v>
      </c>
      <c r="AR254" s="14">
        <v>21.0</v>
      </c>
      <c r="AS254" s="14">
        <v>10.0</v>
      </c>
      <c r="AT254" s="14">
        <v>0.4</v>
      </c>
      <c r="AU254" s="14">
        <v>6200000.0</v>
      </c>
      <c r="AV254" s="15">
        <v>0.135</v>
      </c>
      <c r="AW254" s="15">
        <v>1.4</v>
      </c>
      <c r="AX254" s="15">
        <v>1680.0</v>
      </c>
      <c r="AY254" s="14">
        <v>0.5</v>
      </c>
      <c r="AZ254" s="14">
        <v>0.09</v>
      </c>
      <c r="BA254" s="14">
        <v>1.9899999999999998</v>
      </c>
    </row>
    <row r="255" ht="14.25" customHeight="1">
      <c r="A255" s="10" t="s">
        <v>345</v>
      </c>
      <c r="B255" s="11" t="s">
        <v>135</v>
      </c>
      <c r="C255" s="11"/>
      <c r="D255" s="12"/>
      <c r="E255" s="11">
        <v>43600.0</v>
      </c>
      <c r="F255" s="12">
        <v>1.0</v>
      </c>
      <c r="G255" s="12" t="s">
        <v>315</v>
      </c>
      <c r="H255" s="13">
        <v>0.4930555555555556</v>
      </c>
      <c r="I255" s="13">
        <v>0.576388888888889</v>
      </c>
      <c r="J255" s="12"/>
      <c r="K255" s="12"/>
      <c r="L255" s="14">
        <v>860.7</v>
      </c>
      <c r="M255" s="14">
        <v>1087.2</v>
      </c>
      <c r="N255" s="14">
        <v>1050.1</v>
      </c>
      <c r="O255" s="14">
        <v>995.5</v>
      </c>
      <c r="P255" s="14">
        <v>1012.4</v>
      </c>
      <c r="Q255" s="14">
        <v>1001.18</v>
      </c>
      <c r="R255" s="14">
        <v>7.89</v>
      </c>
      <c r="S255" s="14">
        <v>7.83</v>
      </c>
      <c r="T255" s="14">
        <v>7.71</v>
      </c>
      <c r="U255" s="14">
        <v>7.73</v>
      </c>
      <c r="V255" s="14">
        <v>7.93</v>
      </c>
      <c r="W255" s="14">
        <v>7.8180000000000005</v>
      </c>
      <c r="X255" s="14">
        <v>12.8</v>
      </c>
      <c r="Y255" s="14">
        <v>12.7</v>
      </c>
      <c r="Z255" s="14">
        <v>12.9</v>
      </c>
      <c r="AA255" s="14">
        <v>13.1</v>
      </c>
      <c r="AB255" s="14">
        <v>13.7</v>
      </c>
      <c r="AC255" s="14">
        <v>13.040000000000001</v>
      </c>
      <c r="AD255" s="14">
        <v>90.9</v>
      </c>
      <c r="AE255" s="14">
        <v>85.1</v>
      </c>
      <c r="AF255" s="14">
        <v>85.4</v>
      </c>
      <c r="AG255" s="14">
        <v>87.8</v>
      </c>
      <c r="AH255" s="14">
        <v>87.3</v>
      </c>
      <c r="AI255" s="14">
        <v>87.3</v>
      </c>
      <c r="AJ255" s="14">
        <v>6.6</v>
      </c>
      <c r="AK255" s="14">
        <v>7.3</v>
      </c>
      <c r="AL255" s="14">
        <v>7.4</v>
      </c>
      <c r="AM255" s="14">
        <v>6.4</v>
      </c>
      <c r="AN255" s="14">
        <v>6.8</v>
      </c>
      <c r="AO255" s="14">
        <v>6.899999999999999</v>
      </c>
      <c r="AP255" s="14">
        <v>16.5</v>
      </c>
      <c r="AQ255" s="14">
        <v>89.0</v>
      </c>
      <c r="AR255" s="14">
        <v>34.0</v>
      </c>
      <c r="AS255" s="14">
        <v>10.0</v>
      </c>
      <c r="AT255" s="14">
        <v>0.44</v>
      </c>
      <c r="AU255" s="14">
        <v>1.354E8</v>
      </c>
      <c r="AV255" s="15">
        <v>0.316</v>
      </c>
      <c r="AW255" s="15">
        <v>0.4</v>
      </c>
      <c r="AX255" s="15">
        <v>111990.0</v>
      </c>
      <c r="AY255" s="14">
        <v>0.17</v>
      </c>
      <c r="AZ255" s="14">
        <v>0.08</v>
      </c>
      <c r="BA255" s="14">
        <v>0.65</v>
      </c>
    </row>
    <row r="256" ht="14.25" customHeight="1">
      <c r="A256" s="10" t="s">
        <v>346</v>
      </c>
      <c r="B256" s="11" t="s">
        <v>126</v>
      </c>
      <c r="C256" s="11"/>
      <c r="D256" s="12"/>
      <c r="E256" s="11">
        <v>43600.0</v>
      </c>
      <c r="F256" s="12">
        <v>1.0</v>
      </c>
      <c r="G256" s="12" t="s">
        <v>308</v>
      </c>
      <c r="H256" s="13">
        <v>0.3125</v>
      </c>
      <c r="I256" s="13">
        <v>0.3958333333333333</v>
      </c>
      <c r="J256" s="12"/>
      <c r="K256" s="12"/>
      <c r="L256" s="14">
        <v>19.34</v>
      </c>
      <c r="M256" s="14">
        <v>18.82</v>
      </c>
      <c r="N256" s="14">
        <v>18.08</v>
      </c>
      <c r="O256" s="14">
        <v>19.51</v>
      </c>
      <c r="P256" s="14">
        <v>19.08</v>
      </c>
      <c r="Q256" s="14">
        <v>18.966</v>
      </c>
      <c r="R256" s="14">
        <v>8.06</v>
      </c>
      <c r="S256" s="14">
        <v>8.08</v>
      </c>
      <c r="T256" s="14">
        <v>8.09</v>
      </c>
      <c r="U256" s="14">
        <v>8.08</v>
      </c>
      <c r="V256" s="14">
        <v>8.07</v>
      </c>
      <c r="W256" s="14">
        <v>8.076</v>
      </c>
      <c r="X256" s="14">
        <v>14.1</v>
      </c>
      <c r="Y256" s="14">
        <v>14.0</v>
      </c>
      <c r="Z256" s="14">
        <v>14.2</v>
      </c>
      <c r="AA256" s="14">
        <v>14.2</v>
      </c>
      <c r="AB256" s="14">
        <v>14.3</v>
      </c>
      <c r="AC256" s="14">
        <v>14.16</v>
      </c>
      <c r="AD256" s="14">
        <v>490.0</v>
      </c>
      <c r="AE256" s="14">
        <v>489.0</v>
      </c>
      <c r="AF256" s="14">
        <v>496.0</v>
      </c>
      <c r="AG256" s="14">
        <v>510.0</v>
      </c>
      <c r="AH256" s="14">
        <v>498.0</v>
      </c>
      <c r="AI256" s="14">
        <v>496.6</v>
      </c>
      <c r="AJ256" s="14">
        <v>1.21</v>
      </c>
      <c r="AK256" s="14">
        <v>1.25</v>
      </c>
      <c r="AL256" s="14">
        <v>1.31</v>
      </c>
      <c r="AM256" s="14">
        <v>1.32</v>
      </c>
      <c r="AN256" s="14">
        <v>1.28</v>
      </c>
      <c r="AO256" s="14">
        <v>1.274</v>
      </c>
      <c r="AP256" s="14">
        <v>19.2</v>
      </c>
      <c r="AQ256" s="14">
        <v>74.1</v>
      </c>
      <c r="AR256" s="14">
        <v>64.0</v>
      </c>
      <c r="AS256" s="14">
        <v>10.0</v>
      </c>
      <c r="AT256" s="14">
        <v>0.82</v>
      </c>
      <c r="AU256" s="14">
        <v>1.83E7</v>
      </c>
      <c r="AV256" s="15">
        <v>0.774</v>
      </c>
      <c r="AW256" s="15">
        <v>2.3</v>
      </c>
      <c r="AX256" s="15">
        <v>4730.0</v>
      </c>
      <c r="AY256" s="14">
        <v>1.24</v>
      </c>
      <c r="AZ256" s="14">
        <v>0.385</v>
      </c>
      <c r="BA256" s="14">
        <v>3.925</v>
      </c>
    </row>
    <row r="257" ht="14.25" customHeight="1">
      <c r="A257" s="10" t="s">
        <v>347</v>
      </c>
      <c r="B257" s="11" t="s">
        <v>104</v>
      </c>
      <c r="C257" s="11"/>
      <c r="D257" s="12"/>
      <c r="E257" s="11">
        <v>43600.0</v>
      </c>
      <c r="F257" s="12">
        <v>1.0</v>
      </c>
      <c r="G257" s="12" t="s">
        <v>308</v>
      </c>
      <c r="H257" s="13">
        <v>0.40625</v>
      </c>
      <c r="I257" s="13">
        <v>0.4895833333333333</v>
      </c>
      <c r="J257" s="12"/>
      <c r="K257" s="12"/>
      <c r="L257" s="14">
        <v>14.45</v>
      </c>
      <c r="M257" s="14">
        <v>14.97</v>
      </c>
      <c r="N257" s="14">
        <v>15.84</v>
      </c>
      <c r="O257" s="14">
        <v>16.74</v>
      </c>
      <c r="P257" s="14">
        <v>15.34</v>
      </c>
      <c r="Q257" s="14">
        <v>15.468</v>
      </c>
      <c r="R257" s="14">
        <v>9.7</v>
      </c>
      <c r="S257" s="14">
        <v>9.09</v>
      </c>
      <c r="T257" s="14">
        <v>9.6</v>
      </c>
      <c r="U257" s="14">
        <v>9.92</v>
      </c>
      <c r="V257" s="14">
        <v>10.34</v>
      </c>
      <c r="W257" s="14">
        <v>9.73</v>
      </c>
      <c r="X257" s="14">
        <v>15.3</v>
      </c>
      <c r="Y257" s="14">
        <v>15.3</v>
      </c>
      <c r="Z257" s="14">
        <v>16.0</v>
      </c>
      <c r="AA257" s="14">
        <v>16.2</v>
      </c>
      <c r="AB257" s="14">
        <v>16.7</v>
      </c>
      <c r="AC257" s="14">
        <v>15.9</v>
      </c>
      <c r="AD257" s="14">
        <v>557.0</v>
      </c>
      <c r="AE257" s="14">
        <v>538.0</v>
      </c>
      <c r="AF257" s="14">
        <v>514.0</v>
      </c>
      <c r="AG257" s="14">
        <v>474.0</v>
      </c>
      <c r="AH257" s="14">
        <v>558.0</v>
      </c>
      <c r="AI257" s="14">
        <v>528.2</v>
      </c>
      <c r="AJ257" s="14">
        <v>1.15</v>
      </c>
      <c r="AK257" s="14">
        <v>1.31</v>
      </c>
      <c r="AL257" s="14">
        <v>1.41</v>
      </c>
      <c r="AM257" s="14">
        <v>1.38</v>
      </c>
      <c r="AN257" s="14">
        <v>1.35</v>
      </c>
      <c r="AO257" s="14">
        <v>1.3199999999999998</v>
      </c>
      <c r="AP257" s="14">
        <v>34.8</v>
      </c>
      <c r="AQ257" s="14">
        <v>115.0</v>
      </c>
      <c r="AR257" s="14">
        <v>312.0</v>
      </c>
      <c r="AS257" s="14">
        <v>10.0</v>
      </c>
      <c r="AT257" s="14">
        <v>1.23</v>
      </c>
      <c r="AU257" s="14">
        <v>63000.0</v>
      </c>
      <c r="AV257" s="15">
        <v>0.668</v>
      </c>
      <c r="AW257" s="15">
        <v>3.2</v>
      </c>
      <c r="AX257" s="15">
        <v>23100.0</v>
      </c>
      <c r="AY257" s="14">
        <v>1.03</v>
      </c>
      <c r="AZ257" s="14">
        <v>1.381</v>
      </c>
      <c r="BA257" s="14">
        <v>5.611000000000001</v>
      </c>
    </row>
    <row r="258" ht="14.25" customHeight="1">
      <c r="A258" s="10" t="s">
        <v>348</v>
      </c>
      <c r="B258" s="11" t="s">
        <v>106</v>
      </c>
      <c r="C258" s="11"/>
      <c r="D258" s="12"/>
      <c r="E258" s="11">
        <v>43600.0</v>
      </c>
      <c r="F258" s="12">
        <v>1.0</v>
      </c>
      <c r="G258" s="12" t="s">
        <v>315</v>
      </c>
      <c r="H258" s="13">
        <v>0.5104166666666666</v>
      </c>
      <c r="I258" s="13">
        <v>0.59375</v>
      </c>
      <c r="J258" s="12"/>
      <c r="K258" s="12"/>
      <c r="L258" s="14">
        <v>46.01</v>
      </c>
      <c r="M258" s="14">
        <v>48.91</v>
      </c>
      <c r="N258" s="14">
        <v>50.86</v>
      </c>
      <c r="O258" s="14">
        <v>45.48</v>
      </c>
      <c r="P258" s="14">
        <v>48.54</v>
      </c>
      <c r="Q258" s="14">
        <v>47.959999999999994</v>
      </c>
      <c r="R258" s="14">
        <v>9.2</v>
      </c>
      <c r="S258" s="14">
        <v>9.17</v>
      </c>
      <c r="T258" s="14">
        <v>9.3</v>
      </c>
      <c r="U258" s="14">
        <v>9.14</v>
      </c>
      <c r="V258" s="14">
        <v>9.32</v>
      </c>
      <c r="W258" s="14">
        <v>9.226</v>
      </c>
      <c r="X258" s="14">
        <v>17.6</v>
      </c>
      <c r="Y258" s="14">
        <v>17.5</v>
      </c>
      <c r="Z258" s="14">
        <v>17.4</v>
      </c>
      <c r="AA258" s="14">
        <v>17.7</v>
      </c>
      <c r="AB258" s="14">
        <v>17.5</v>
      </c>
      <c r="AC258" s="14">
        <v>17.54</v>
      </c>
      <c r="AD258" s="14">
        <v>538.0</v>
      </c>
      <c r="AE258" s="14">
        <v>549.0</v>
      </c>
      <c r="AF258" s="14">
        <v>540.0</v>
      </c>
      <c r="AG258" s="14">
        <v>508.0</v>
      </c>
      <c r="AH258" s="14">
        <v>508.0</v>
      </c>
      <c r="AI258" s="14">
        <v>528.6</v>
      </c>
      <c r="AJ258" s="14">
        <v>1.41</v>
      </c>
      <c r="AK258" s="14" t="s">
        <v>161</v>
      </c>
      <c r="AL258" s="14">
        <v>1.32</v>
      </c>
      <c r="AM258" s="14" t="s">
        <v>161</v>
      </c>
      <c r="AN258" s="14">
        <v>1.5</v>
      </c>
      <c r="AO258" s="14">
        <v>1.4100000000000001</v>
      </c>
      <c r="AP258" s="14">
        <v>41.2</v>
      </c>
      <c r="AQ258" s="14">
        <v>251.0</v>
      </c>
      <c r="AR258" s="14">
        <v>324.0</v>
      </c>
      <c r="AS258" s="14">
        <v>15.9</v>
      </c>
      <c r="AT258" s="14">
        <v>1.59</v>
      </c>
      <c r="AU258" s="14">
        <v>9.7E8</v>
      </c>
      <c r="AV258" s="15">
        <v>1.267</v>
      </c>
      <c r="AW258" s="15">
        <v>3.4</v>
      </c>
      <c r="AX258" s="15">
        <v>9.804E7</v>
      </c>
      <c r="AY258" s="14">
        <v>1.04</v>
      </c>
      <c r="AZ258" s="14">
        <v>0.015</v>
      </c>
      <c r="BA258" s="14">
        <v>4.455</v>
      </c>
    </row>
    <row r="259" ht="14.25" customHeight="1">
      <c r="A259" s="10" t="s">
        <v>349</v>
      </c>
      <c r="B259" s="11" t="s">
        <v>145</v>
      </c>
      <c r="C259" s="11"/>
      <c r="D259" s="12"/>
      <c r="E259" s="11">
        <v>43601.0</v>
      </c>
      <c r="F259" s="12">
        <v>1.0</v>
      </c>
      <c r="G259" s="12" t="s">
        <v>315</v>
      </c>
      <c r="H259" s="13">
        <v>0.4166666666666667</v>
      </c>
      <c r="I259" s="13">
        <v>0.5</v>
      </c>
      <c r="J259" s="12"/>
      <c r="K259" s="12"/>
      <c r="L259" s="14">
        <v>0.6617647058823529</v>
      </c>
      <c r="M259" s="14">
        <v>0.6093189964157706</v>
      </c>
      <c r="N259" s="14">
        <v>0.7236842105263158</v>
      </c>
      <c r="O259" s="14">
        <v>0.5792682926829268</v>
      </c>
      <c r="P259" s="14">
        <v>0.625</v>
      </c>
      <c r="Q259" s="14">
        <v>0.6398072411014732</v>
      </c>
      <c r="R259" s="14">
        <v>8.6</v>
      </c>
      <c r="S259" s="14">
        <v>8.69</v>
      </c>
      <c r="T259" s="14">
        <v>8.61</v>
      </c>
      <c r="U259" s="14">
        <v>8.5</v>
      </c>
      <c r="V259" s="14">
        <v>8.46</v>
      </c>
      <c r="W259" s="14">
        <v>8.572</v>
      </c>
      <c r="X259" s="14">
        <v>16.7</v>
      </c>
      <c r="Y259" s="14">
        <v>16.8</v>
      </c>
      <c r="Z259" s="14">
        <v>16.9</v>
      </c>
      <c r="AA259" s="14">
        <v>17.1</v>
      </c>
      <c r="AB259" s="14">
        <v>16.7</v>
      </c>
      <c r="AC259" s="14">
        <v>16.84</v>
      </c>
      <c r="AD259" s="14">
        <v>737.0</v>
      </c>
      <c r="AE259" s="14">
        <v>783.0</v>
      </c>
      <c r="AF259" s="14">
        <v>824.0</v>
      </c>
      <c r="AG259" s="14">
        <v>825.0</v>
      </c>
      <c r="AH259" s="14">
        <v>830.0</v>
      </c>
      <c r="AI259" s="14">
        <v>799.8</v>
      </c>
      <c r="AJ259" s="14">
        <v>2.7</v>
      </c>
      <c r="AK259" s="14">
        <v>2.4</v>
      </c>
      <c r="AL259" s="14">
        <v>3.0</v>
      </c>
      <c r="AM259" s="14">
        <v>3.6</v>
      </c>
      <c r="AN259" s="14">
        <v>4.1</v>
      </c>
      <c r="AO259" s="14">
        <v>3.1599999999999997</v>
      </c>
      <c r="AP259" s="14">
        <v>50.6</v>
      </c>
      <c r="AQ259" s="14">
        <v>549.0</v>
      </c>
      <c r="AR259" s="14">
        <v>412.0</v>
      </c>
      <c r="AS259" s="14">
        <v>18.5</v>
      </c>
      <c r="AT259" s="14">
        <v>4.67</v>
      </c>
      <c r="AU259" s="14">
        <v>1.87E9</v>
      </c>
      <c r="AV259" s="15">
        <v>2.484</v>
      </c>
      <c r="AW259" s="15">
        <v>16.4</v>
      </c>
      <c r="AX259" s="15">
        <v>8164.0</v>
      </c>
      <c r="AY259" s="14">
        <v>2.79</v>
      </c>
      <c r="AZ259" s="14">
        <v>0.028</v>
      </c>
      <c r="BA259" s="14">
        <v>19.218</v>
      </c>
    </row>
    <row r="260" ht="14.25" customHeight="1">
      <c r="A260" s="10" t="s">
        <v>350</v>
      </c>
      <c r="B260" s="11" t="s">
        <v>138</v>
      </c>
      <c r="C260" s="11"/>
      <c r="D260" s="12"/>
      <c r="E260" s="11">
        <v>43601.0</v>
      </c>
      <c r="F260" s="12">
        <v>1.0</v>
      </c>
      <c r="G260" s="12" t="s">
        <v>315</v>
      </c>
      <c r="H260" s="13">
        <v>0.5625</v>
      </c>
      <c r="I260" s="13">
        <v>15.3</v>
      </c>
      <c r="J260" s="12"/>
      <c r="K260" s="12"/>
      <c r="L260" s="14">
        <v>162.0</v>
      </c>
      <c r="M260" s="14">
        <v>199.8</v>
      </c>
      <c r="N260" s="14">
        <v>198.3</v>
      </c>
      <c r="O260" s="14">
        <v>192.7</v>
      </c>
      <c r="P260" s="14">
        <v>225.9</v>
      </c>
      <c r="Q260" s="14">
        <v>195.73999999999998</v>
      </c>
      <c r="R260" s="14">
        <v>8.17</v>
      </c>
      <c r="S260" s="14">
        <v>7.93</v>
      </c>
      <c r="T260" s="14">
        <v>7.95</v>
      </c>
      <c r="U260" s="14">
        <v>7.85</v>
      </c>
      <c r="V260" s="14">
        <v>7.93</v>
      </c>
      <c r="W260" s="14">
        <v>7.965999999999999</v>
      </c>
      <c r="X260" s="14">
        <v>18.3</v>
      </c>
      <c r="Y260" s="14">
        <v>18.9</v>
      </c>
      <c r="Z260" s="14">
        <v>18.7</v>
      </c>
      <c r="AA260" s="14">
        <v>18.8</v>
      </c>
      <c r="AB260" s="14">
        <v>18.6</v>
      </c>
      <c r="AC260" s="14">
        <v>18.660000000000004</v>
      </c>
      <c r="AD260" s="14">
        <v>818.0</v>
      </c>
      <c r="AE260" s="14">
        <v>803.0</v>
      </c>
      <c r="AF260" s="14">
        <v>749.0</v>
      </c>
      <c r="AG260" s="14">
        <v>766.0</v>
      </c>
      <c r="AH260" s="14">
        <v>769.0</v>
      </c>
      <c r="AI260" s="14">
        <v>781.0</v>
      </c>
      <c r="AJ260" s="14">
        <v>2.2</v>
      </c>
      <c r="AK260" s="14">
        <v>2.1</v>
      </c>
      <c r="AL260" s="14">
        <v>2.7</v>
      </c>
      <c r="AM260" s="14">
        <v>1.9</v>
      </c>
      <c r="AN260" s="14">
        <v>1.7</v>
      </c>
      <c r="AO260" s="14">
        <v>2.12</v>
      </c>
      <c r="AP260" s="14">
        <v>238.0</v>
      </c>
      <c r="AQ260" s="14">
        <v>682.0</v>
      </c>
      <c r="AR260" s="14">
        <v>172.0</v>
      </c>
      <c r="AS260" s="14">
        <v>21.9</v>
      </c>
      <c r="AT260" s="14">
        <v>5.93</v>
      </c>
      <c r="AU260" s="14">
        <v>1.236E10</v>
      </c>
      <c r="AV260" s="15">
        <v>5.449</v>
      </c>
      <c r="AW260" s="15">
        <v>16.2</v>
      </c>
      <c r="AX260" s="15">
        <v>5510000.0</v>
      </c>
      <c r="AY260" s="14">
        <v>2.46</v>
      </c>
      <c r="AZ260" s="14">
        <v>0.01</v>
      </c>
      <c r="BA260" s="14">
        <v>18.669999999999998</v>
      </c>
    </row>
    <row r="261" ht="14.25" customHeight="1">
      <c r="A261" s="10" t="s">
        <v>351</v>
      </c>
      <c r="B261" s="11" t="s">
        <v>87</v>
      </c>
      <c r="C261" s="11"/>
      <c r="D261" s="12"/>
      <c r="E261" s="11">
        <v>43602.0</v>
      </c>
      <c r="F261" s="12">
        <v>1.0</v>
      </c>
      <c r="G261" s="12" t="s">
        <v>315</v>
      </c>
      <c r="H261" s="13">
        <v>0.2708333333333333</v>
      </c>
      <c r="I261" s="13">
        <v>0.3541666666666667</v>
      </c>
      <c r="J261" s="12"/>
      <c r="K261" s="12"/>
      <c r="L261" s="14">
        <v>418.0</v>
      </c>
      <c r="M261" s="14">
        <v>404.0</v>
      </c>
      <c r="N261" s="14">
        <v>415.0</v>
      </c>
      <c r="O261" s="14">
        <v>403.0</v>
      </c>
      <c r="P261" s="14">
        <v>427.0</v>
      </c>
      <c r="Q261" s="14">
        <v>413.4</v>
      </c>
      <c r="R261" s="14">
        <v>7.3</v>
      </c>
      <c r="S261" s="14">
        <v>7.32</v>
      </c>
      <c r="T261" s="14">
        <v>7.26</v>
      </c>
      <c r="U261" s="14">
        <v>7.24</v>
      </c>
      <c r="V261" s="14">
        <v>7.2</v>
      </c>
      <c r="W261" s="14">
        <v>7.264000000000001</v>
      </c>
      <c r="X261" s="14">
        <v>16.6</v>
      </c>
      <c r="Y261" s="14">
        <v>16.5</v>
      </c>
      <c r="Z261" s="14">
        <v>16.4</v>
      </c>
      <c r="AA261" s="14">
        <v>17.0</v>
      </c>
      <c r="AB261" s="14">
        <v>17.0</v>
      </c>
      <c r="AC261" s="14">
        <v>16.7</v>
      </c>
      <c r="AD261" s="14">
        <v>440.0</v>
      </c>
      <c r="AE261" s="14">
        <v>439.0</v>
      </c>
      <c r="AF261" s="14">
        <v>450.0</v>
      </c>
      <c r="AG261" s="14">
        <v>437.0</v>
      </c>
      <c r="AH261" s="14">
        <v>443.0</v>
      </c>
      <c r="AI261" s="14">
        <v>441.8</v>
      </c>
      <c r="AJ261" s="14">
        <v>0.98</v>
      </c>
      <c r="AK261" s="14">
        <v>1.41</v>
      </c>
      <c r="AL261" s="14">
        <v>1.12</v>
      </c>
      <c r="AM261" s="14">
        <v>1.36</v>
      </c>
      <c r="AN261" s="14">
        <v>1.23</v>
      </c>
      <c r="AO261" s="14">
        <v>1.22</v>
      </c>
      <c r="AP261" s="14">
        <v>44.8</v>
      </c>
      <c r="AQ261" s="14">
        <v>168.0</v>
      </c>
      <c r="AR261" s="14">
        <v>56.0</v>
      </c>
      <c r="AS261" s="14">
        <v>10.3</v>
      </c>
      <c r="AT261" s="14">
        <v>1.58</v>
      </c>
      <c r="AU261" s="14">
        <v>3.448E8</v>
      </c>
      <c r="AV261" s="15">
        <v>1.754</v>
      </c>
      <c r="AW261" s="15">
        <v>0.4</v>
      </c>
      <c r="AX261" s="15">
        <v>1.1199E7</v>
      </c>
      <c r="AY261" s="14">
        <v>1.5</v>
      </c>
      <c r="AZ261" s="14">
        <v>0.007</v>
      </c>
      <c r="BA261" s="14">
        <v>1.907</v>
      </c>
    </row>
    <row r="262" ht="14.25" customHeight="1">
      <c r="A262" s="10" t="s">
        <v>352</v>
      </c>
      <c r="B262" s="11" t="s">
        <v>91</v>
      </c>
      <c r="C262" s="11"/>
      <c r="D262" s="12"/>
      <c r="E262" s="11">
        <v>43602.0</v>
      </c>
      <c r="F262" s="12">
        <v>1.0</v>
      </c>
      <c r="G262" s="12" t="s">
        <v>315</v>
      </c>
      <c r="H262" s="13">
        <v>0.40972222222222227</v>
      </c>
      <c r="I262" s="13">
        <v>0.4930555555555556</v>
      </c>
      <c r="J262" s="12"/>
      <c r="K262" s="12"/>
      <c r="L262" s="14">
        <v>433.0</v>
      </c>
      <c r="M262" s="14">
        <v>441.6</v>
      </c>
      <c r="N262" s="14">
        <v>419.5</v>
      </c>
      <c r="O262" s="14">
        <v>408.3</v>
      </c>
      <c r="P262" s="14">
        <v>422.2</v>
      </c>
      <c r="Q262" s="14">
        <v>424.91999999999996</v>
      </c>
      <c r="R262" s="14">
        <v>7.12</v>
      </c>
      <c r="S262" s="14">
        <v>7.22</v>
      </c>
      <c r="T262" s="14">
        <v>7.2</v>
      </c>
      <c r="U262" s="14">
        <v>7.18</v>
      </c>
      <c r="V262" s="14">
        <v>7.15</v>
      </c>
      <c r="W262" s="14">
        <v>7.1739999999999995</v>
      </c>
      <c r="X262" s="14">
        <v>17.1</v>
      </c>
      <c r="Y262" s="14">
        <v>17.0</v>
      </c>
      <c r="Z262" s="14">
        <v>16.9</v>
      </c>
      <c r="AA262" s="14">
        <v>16.9</v>
      </c>
      <c r="AB262" s="14">
        <v>17.1</v>
      </c>
      <c r="AC262" s="14">
        <v>17.0</v>
      </c>
      <c r="AD262" s="14">
        <v>451.0</v>
      </c>
      <c r="AE262" s="14">
        <v>452.0</v>
      </c>
      <c r="AF262" s="14">
        <v>452.0</v>
      </c>
      <c r="AG262" s="14">
        <v>431.0</v>
      </c>
      <c r="AH262" s="14">
        <v>386.0</v>
      </c>
      <c r="AI262" s="14">
        <v>434.4</v>
      </c>
      <c r="AJ262" s="14">
        <v>0.74</v>
      </c>
      <c r="AK262" s="14">
        <v>0.83</v>
      </c>
      <c r="AL262" s="14">
        <v>0.91</v>
      </c>
      <c r="AM262" s="14">
        <v>0.92</v>
      </c>
      <c r="AN262" s="14">
        <v>0.98</v>
      </c>
      <c r="AO262" s="14">
        <v>0.876</v>
      </c>
      <c r="AP262" s="14">
        <v>45.6</v>
      </c>
      <c r="AQ262" s="14">
        <v>174.0</v>
      </c>
      <c r="AR262" s="14">
        <v>40.0</v>
      </c>
      <c r="AS262" s="14">
        <v>10.0</v>
      </c>
      <c r="AT262" s="14">
        <v>1.62</v>
      </c>
      <c r="AU262" s="14">
        <v>2.046E8</v>
      </c>
      <c r="AV262" s="15">
        <v>1.859</v>
      </c>
      <c r="AW262" s="15">
        <v>1.2</v>
      </c>
      <c r="AX262" s="15">
        <v>3255000.0</v>
      </c>
      <c r="AY262" s="14">
        <v>1.5</v>
      </c>
      <c r="AZ262" s="14">
        <v>0.007</v>
      </c>
      <c r="BA262" s="14">
        <v>2.707</v>
      </c>
    </row>
    <row r="263" ht="14.25" customHeight="1">
      <c r="A263" s="10" t="s">
        <v>353</v>
      </c>
      <c r="B263" s="16" t="s">
        <v>79</v>
      </c>
      <c r="C263" s="11"/>
      <c r="D263" s="12"/>
      <c r="E263" s="17">
        <v>43607.0</v>
      </c>
      <c r="F263" s="18">
        <v>1.0</v>
      </c>
      <c r="G263" s="18" t="s">
        <v>315</v>
      </c>
      <c r="H263" s="13">
        <v>0.2708333333333333</v>
      </c>
      <c r="I263" s="13">
        <v>0.3541666666666667</v>
      </c>
      <c r="J263" s="18"/>
      <c r="K263" s="18"/>
      <c r="L263" s="15">
        <v>10.5</v>
      </c>
      <c r="M263" s="15">
        <v>13.7</v>
      </c>
      <c r="N263" s="15">
        <v>10.9</v>
      </c>
      <c r="O263" s="15">
        <v>9.6</v>
      </c>
      <c r="P263" s="15">
        <v>12.0</v>
      </c>
      <c r="Q263" s="15">
        <v>11.34</v>
      </c>
      <c r="R263" s="15">
        <v>6.37</v>
      </c>
      <c r="S263" s="15">
        <v>6.35</v>
      </c>
      <c r="T263" s="15">
        <v>6.27</v>
      </c>
      <c r="U263" s="15">
        <v>6.37</v>
      </c>
      <c r="V263" s="15">
        <v>6.49</v>
      </c>
      <c r="W263" s="15">
        <v>6.37</v>
      </c>
      <c r="X263" s="15">
        <v>10.9</v>
      </c>
      <c r="Y263" s="15">
        <v>10.9</v>
      </c>
      <c r="Z263" s="15">
        <v>10.9</v>
      </c>
      <c r="AA263" s="15">
        <v>10.9</v>
      </c>
      <c r="AB263" s="15">
        <v>11.0</v>
      </c>
      <c r="AC263" s="15">
        <v>10.92</v>
      </c>
      <c r="AD263" s="15">
        <v>23.0</v>
      </c>
      <c r="AE263" s="15">
        <v>23.8</v>
      </c>
      <c r="AF263" s="15">
        <v>23.7</v>
      </c>
      <c r="AG263" s="15">
        <v>22.6</v>
      </c>
      <c r="AH263" s="15">
        <v>28.0</v>
      </c>
      <c r="AI263" s="15">
        <v>24.22</v>
      </c>
      <c r="AJ263" s="15">
        <v>7.68</v>
      </c>
      <c r="AK263" s="15">
        <v>7.54</v>
      </c>
      <c r="AL263" s="15">
        <v>7.53</v>
      </c>
      <c r="AM263" s="15">
        <v>7.84</v>
      </c>
      <c r="AN263" s="15">
        <v>7.82</v>
      </c>
      <c r="AO263" s="15">
        <v>7.6819999999999995</v>
      </c>
      <c r="AP263" s="15">
        <v>2.0</v>
      </c>
      <c r="AQ263" s="15">
        <v>22.1</v>
      </c>
      <c r="AR263" s="15">
        <v>6.7</v>
      </c>
      <c r="AS263" s="15">
        <v>10.0</v>
      </c>
      <c r="AT263" s="15">
        <v>0.4</v>
      </c>
      <c r="AU263" s="15">
        <v>373000.0</v>
      </c>
      <c r="AV263" s="15">
        <v>0.091</v>
      </c>
      <c r="AW263" s="15">
        <v>0.7</v>
      </c>
      <c r="AX263" s="15">
        <v>12033.0</v>
      </c>
      <c r="AY263" s="15">
        <v>0.37</v>
      </c>
      <c r="AZ263" s="15">
        <v>0.007</v>
      </c>
      <c r="BA263" s="15">
        <v>1.077</v>
      </c>
    </row>
    <row r="264" ht="14.25" customHeight="1">
      <c r="A264" s="10" t="s">
        <v>354</v>
      </c>
      <c r="B264" s="16" t="s">
        <v>93</v>
      </c>
      <c r="C264" s="11"/>
      <c r="D264" s="12"/>
      <c r="E264" s="11">
        <v>43607.0</v>
      </c>
      <c r="F264" s="12">
        <v>1.0</v>
      </c>
      <c r="G264" s="12" t="s">
        <v>315</v>
      </c>
      <c r="H264" s="13">
        <v>0.375</v>
      </c>
      <c r="I264" s="13">
        <v>0.4583333333333333</v>
      </c>
      <c r="J264" s="12"/>
      <c r="K264" s="12"/>
      <c r="L264" s="14">
        <v>130.1</v>
      </c>
      <c r="M264" s="14">
        <v>119.8</v>
      </c>
      <c r="N264" s="14">
        <v>126.6</v>
      </c>
      <c r="O264" s="14">
        <v>114.8</v>
      </c>
      <c r="P264" s="14">
        <v>94.1</v>
      </c>
      <c r="Q264" s="14">
        <v>117.08</v>
      </c>
      <c r="R264" s="14">
        <v>8.2</v>
      </c>
      <c r="S264" s="14">
        <v>8.11</v>
      </c>
      <c r="T264" s="14">
        <v>8.1</v>
      </c>
      <c r="U264" s="14">
        <v>8.02</v>
      </c>
      <c r="V264" s="14">
        <v>7.99</v>
      </c>
      <c r="W264" s="14">
        <v>8.084</v>
      </c>
      <c r="X264" s="14">
        <v>16.1</v>
      </c>
      <c r="Y264" s="14">
        <v>16.1</v>
      </c>
      <c r="Z264" s="14">
        <v>16.2</v>
      </c>
      <c r="AA264" s="14">
        <v>16.3</v>
      </c>
      <c r="AB264" s="14">
        <v>16.4</v>
      </c>
      <c r="AC264" s="14">
        <v>16.22</v>
      </c>
      <c r="AD264" s="14">
        <v>709.0</v>
      </c>
      <c r="AE264" s="14">
        <v>692.0</v>
      </c>
      <c r="AF264" s="14">
        <v>667.0</v>
      </c>
      <c r="AG264" s="14">
        <v>653.0</v>
      </c>
      <c r="AH264" s="14">
        <v>635.0</v>
      </c>
      <c r="AI264" s="14">
        <v>671.2</v>
      </c>
      <c r="AJ264" s="14">
        <v>5.36</v>
      </c>
      <c r="AK264" s="14">
        <v>5.19</v>
      </c>
      <c r="AL264" s="14">
        <v>5.18</v>
      </c>
      <c r="AM264" s="14">
        <v>5.35</v>
      </c>
      <c r="AN264" s="14">
        <v>5.24</v>
      </c>
      <c r="AO264" s="14">
        <v>5.264</v>
      </c>
      <c r="AP264" s="14">
        <v>174.0</v>
      </c>
      <c r="AQ264" s="14">
        <v>509.0</v>
      </c>
      <c r="AR264" s="14">
        <v>146.0</v>
      </c>
      <c r="AS264" s="14">
        <v>17.5</v>
      </c>
      <c r="AT264" s="14">
        <v>2.83</v>
      </c>
      <c r="AU264" s="14">
        <v>7.33E8</v>
      </c>
      <c r="AV264" s="15">
        <v>6.131</v>
      </c>
      <c r="AW264" s="15">
        <v>3.1</v>
      </c>
      <c r="AX264" s="15">
        <v>3.255E7</v>
      </c>
      <c r="AY264" s="14">
        <v>2.26</v>
      </c>
      <c r="AZ264" s="14">
        <v>0.007</v>
      </c>
      <c r="BA264" s="14">
        <v>5.367</v>
      </c>
    </row>
    <row r="265" ht="14.25" customHeight="1">
      <c r="A265" s="10" t="s">
        <v>355</v>
      </c>
      <c r="B265" s="11" t="s">
        <v>83</v>
      </c>
      <c r="C265" s="11"/>
      <c r="D265" s="12"/>
      <c r="E265" s="11">
        <v>43607.0</v>
      </c>
      <c r="F265" s="12">
        <v>1.0</v>
      </c>
      <c r="G265" s="12" t="s">
        <v>308</v>
      </c>
      <c r="H265" s="13">
        <v>0.4791666666666667</v>
      </c>
      <c r="I265" s="13">
        <v>0.5625</v>
      </c>
      <c r="J265" s="12"/>
      <c r="K265" s="12"/>
      <c r="L265" s="14">
        <v>364.1</v>
      </c>
      <c r="M265" s="14">
        <v>376.6</v>
      </c>
      <c r="N265" s="14">
        <v>399.7</v>
      </c>
      <c r="O265" s="14">
        <v>372.5</v>
      </c>
      <c r="P265" s="14">
        <v>373.7</v>
      </c>
      <c r="Q265" s="14">
        <v>377.32000000000005</v>
      </c>
      <c r="R265" s="14">
        <v>7.76</v>
      </c>
      <c r="S265" s="14">
        <v>7.67</v>
      </c>
      <c r="T265" s="14">
        <v>7.68</v>
      </c>
      <c r="U265" s="14">
        <v>7.62</v>
      </c>
      <c r="V265" s="14">
        <v>7.62</v>
      </c>
      <c r="W265" s="14">
        <v>7.67</v>
      </c>
      <c r="X265" s="14">
        <v>17.9</v>
      </c>
      <c r="Y265" s="14">
        <v>18.7</v>
      </c>
      <c r="Z265" s="14">
        <v>19.2</v>
      </c>
      <c r="AA265" s="14">
        <v>19.6</v>
      </c>
      <c r="AB265" s="14">
        <v>19.5</v>
      </c>
      <c r="AC265" s="14">
        <v>18.98</v>
      </c>
      <c r="AD265" s="14">
        <v>651.0</v>
      </c>
      <c r="AE265" s="14">
        <v>641.0</v>
      </c>
      <c r="AF265" s="14">
        <v>644.0</v>
      </c>
      <c r="AG265" s="14">
        <v>636.0</v>
      </c>
      <c r="AH265" s="14">
        <v>623.0</v>
      </c>
      <c r="AI265" s="14">
        <v>639.0</v>
      </c>
      <c r="AJ265" s="14">
        <v>0.69</v>
      </c>
      <c r="AK265" s="14">
        <v>0.53</v>
      </c>
      <c r="AL265" s="14">
        <v>0.38</v>
      </c>
      <c r="AM265" s="14">
        <v>0.21</v>
      </c>
      <c r="AN265" s="14">
        <v>0.2</v>
      </c>
      <c r="AO265" s="14">
        <v>0.402</v>
      </c>
      <c r="AP265" s="14">
        <v>105.0</v>
      </c>
      <c r="AQ265" s="14">
        <v>452.0</v>
      </c>
      <c r="AR265" s="14">
        <v>148.0</v>
      </c>
      <c r="AS265" s="14">
        <v>29.6</v>
      </c>
      <c r="AT265" s="14">
        <v>3.26</v>
      </c>
      <c r="AU265" s="14">
        <v>7.17E8</v>
      </c>
      <c r="AV265" s="15">
        <v>5.94</v>
      </c>
      <c r="AW265" s="15">
        <v>3.0</v>
      </c>
      <c r="AX265" s="15">
        <v>1.0462E7</v>
      </c>
      <c r="AY265" s="14">
        <v>1.92</v>
      </c>
      <c r="AZ265" s="14">
        <v>0.007</v>
      </c>
      <c r="BA265" s="14">
        <v>4.927</v>
      </c>
    </row>
    <row r="266" ht="14.25" customHeight="1">
      <c r="A266" s="10" t="s">
        <v>356</v>
      </c>
      <c r="B266" s="11" t="s">
        <v>57</v>
      </c>
      <c r="C266" s="11"/>
      <c r="D266" s="12"/>
      <c r="E266" s="11">
        <v>43607.0</v>
      </c>
      <c r="F266" s="12">
        <v>1.0</v>
      </c>
      <c r="G266" s="12" t="s">
        <v>315</v>
      </c>
      <c r="H266" s="13">
        <v>0.25</v>
      </c>
      <c r="I266" s="13">
        <v>0.3333333333333333</v>
      </c>
      <c r="J266" s="12"/>
      <c r="K266" s="12"/>
      <c r="L266" s="14">
        <v>3.2</v>
      </c>
      <c r="M266" s="14">
        <v>4.06</v>
      </c>
      <c r="N266" s="14">
        <v>3.74</v>
      </c>
      <c r="O266" s="14">
        <v>4.46</v>
      </c>
      <c r="P266" s="14">
        <v>3.45</v>
      </c>
      <c r="Q266" s="14">
        <v>3.782</v>
      </c>
      <c r="R266" s="14">
        <v>7.56</v>
      </c>
      <c r="S266" s="14">
        <v>7.56</v>
      </c>
      <c r="T266" s="14">
        <v>7.6</v>
      </c>
      <c r="U266" s="14">
        <v>7.64</v>
      </c>
      <c r="V266" s="14">
        <v>7.69</v>
      </c>
      <c r="W266" s="14">
        <v>7.609999999999999</v>
      </c>
      <c r="X266" s="14">
        <v>13.5</v>
      </c>
      <c r="Y266" s="14">
        <v>13.5</v>
      </c>
      <c r="Z266" s="14">
        <v>13.7</v>
      </c>
      <c r="AA266" s="14">
        <v>13.9</v>
      </c>
      <c r="AB266" s="14">
        <v>13.9</v>
      </c>
      <c r="AC266" s="14">
        <v>13.7</v>
      </c>
      <c r="AD266" s="14">
        <v>369.0</v>
      </c>
      <c r="AE266" s="14">
        <v>369.0</v>
      </c>
      <c r="AF266" s="14">
        <v>374.0</v>
      </c>
      <c r="AG266" s="14">
        <v>427.0</v>
      </c>
      <c r="AH266" s="14">
        <v>459.0</v>
      </c>
      <c r="AI266" s="14">
        <v>399.6</v>
      </c>
      <c r="AJ266" s="14">
        <v>2.54</v>
      </c>
      <c r="AK266" s="14">
        <v>2.76</v>
      </c>
      <c r="AL266" s="14">
        <v>2.82</v>
      </c>
      <c r="AM266" s="14">
        <v>2.81</v>
      </c>
      <c r="AN266" s="14">
        <v>2.84</v>
      </c>
      <c r="AO266" s="14">
        <v>2.754</v>
      </c>
      <c r="AP266" s="14">
        <v>15.0</v>
      </c>
      <c r="AQ266" s="14">
        <v>98.0</v>
      </c>
      <c r="AR266" s="14">
        <v>16.0</v>
      </c>
      <c r="AS266" s="14">
        <v>10.0</v>
      </c>
      <c r="AT266" s="14">
        <v>0.41</v>
      </c>
      <c r="AU266" s="14">
        <v>1.956E7</v>
      </c>
      <c r="AV266" s="15">
        <v>1.455</v>
      </c>
      <c r="AW266" s="15">
        <v>1.0</v>
      </c>
      <c r="AX266" s="15">
        <v>305000.0</v>
      </c>
      <c r="AY266" s="14">
        <v>0.27</v>
      </c>
      <c r="AZ266" s="14">
        <v>0.008</v>
      </c>
      <c r="BA266" s="14">
        <v>1.278</v>
      </c>
    </row>
    <row r="267" ht="14.25" customHeight="1">
      <c r="A267" s="10" t="s">
        <v>357</v>
      </c>
      <c r="B267" s="11" t="s">
        <v>59</v>
      </c>
      <c r="C267" s="11"/>
      <c r="D267" s="12"/>
      <c r="E267" s="11">
        <v>43607.0</v>
      </c>
      <c r="F267" s="12">
        <v>1.0</v>
      </c>
      <c r="G267" s="12" t="s">
        <v>315</v>
      </c>
      <c r="H267" s="13">
        <v>0.4166666666666667</v>
      </c>
      <c r="I267" s="13">
        <v>0.5</v>
      </c>
      <c r="J267" s="12"/>
      <c r="K267" s="12"/>
      <c r="L267" s="14">
        <v>57.91</v>
      </c>
      <c r="M267" s="14">
        <v>58.61</v>
      </c>
      <c r="N267" s="14">
        <v>53.94</v>
      </c>
      <c r="O267" s="14">
        <v>64.26</v>
      </c>
      <c r="P267" s="14">
        <v>65.91</v>
      </c>
      <c r="Q267" s="14">
        <v>60.126</v>
      </c>
      <c r="R267" s="14">
        <v>8.1</v>
      </c>
      <c r="S267" s="14">
        <v>8.25</v>
      </c>
      <c r="T267" s="14">
        <v>8.26</v>
      </c>
      <c r="U267" s="14">
        <v>8.11</v>
      </c>
      <c r="V267" s="14">
        <v>8.15</v>
      </c>
      <c r="W267" s="14">
        <v>8.174</v>
      </c>
      <c r="X267" s="14">
        <v>16.4</v>
      </c>
      <c r="Y267" s="14">
        <v>17.2</v>
      </c>
      <c r="Z267" s="14">
        <v>17.3</v>
      </c>
      <c r="AA267" s="14">
        <v>17.4</v>
      </c>
      <c r="AB267" s="14">
        <v>17.8</v>
      </c>
      <c r="AC267" s="14">
        <v>17.219999999999995</v>
      </c>
      <c r="AD267" s="14">
        <v>583.0</v>
      </c>
      <c r="AE267" s="14">
        <v>633.0</v>
      </c>
      <c r="AF267" s="14">
        <v>686.0</v>
      </c>
      <c r="AG267" s="14">
        <v>705.0</v>
      </c>
      <c r="AH267" s="14">
        <v>713.0</v>
      </c>
      <c r="AI267" s="14">
        <v>664.0</v>
      </c>
      <c r="AJ267" s="14">
        <v>3.21</v>
      </c>
      <c r="AK267" s="14">
        <v>3.11</v>
      </c>
      <c r="AL267" s="14">
        <v>3.36</v>
      </c>
      <c r="AM267" s="14">
        <v>2.85</v>
      </c>
      <c r="AN267" s="14">
        <v>2.95</v>
      </c>
      <c r="AO267" s="14">
        <v>3.096</v>
      </c>
      <c r="AP267" s="14">
        <v>43.0</v>
      </c>
      <c r="AQ267" s="14">
        <v>212.0</v>
      </c>
      <c r="AR267" s="14">
        <v>50.0</v>
      </c>
      <c r="AS267" s="14">
        <v>10.0</v>
      </c>
      <c r="AT267" s="14">
        <v>1.03</v>
      </c>
      <c r="AU267" s="14">
        <v>2.95E9</v>
      </c>
      <c r="AV267" s="15">
        <v>4.425</v>
      </c>
      <c r="AW267" s="15">
        <v>1.4</v>
      </c>
      <c r="AX267" s="15">
        <v>5475000.0</v>
      </c>
      <c r="AY267" s="14">
        <v>0.94</v>
      </c>
      <c r="AZ267" s="14">
        <v>0.007</v>
      </c>
      <c r="BA267" s="14">
        <v>2.347</v>
      </c>
    </row>
    <row r="268" ht="14.25" customHeight="1">
      <c r="A268" s="10" t="s">
        <v>358</v>
      </c>
      <c r="B268" s="11" t="s">
        <v>55</v>
      </c>
      <c r="C268" s="11"/>
      <c r="D268" s="12"/>
      <c r="E268" s="11">
        <v>43607.0</v>
      </c>
      <c r="F268" s="12">
        <v>1.0</v>
      </c>
      <c r="G268" s="12" t="s">
        <v>308</v>
      </c>
      <c r="H268" s="13">
        <v>0.5208333333333334</v>
      </c>
      <c r="I268" s="13">
        <v>0.6041666666666666</v>
      </c>
      <c r="J268" s="12"/>
      <c r="K268" s="12"/>
      <c r="L268" s="14">
        <v>92.21</v>
      </c>
      <c r="M268" s="14">
        <v>96.11</v>
      </c>
      <c r="N268" s="14">
        <v>99.44</v>
      </c>
      <c r="O268" s="14">
        <v>109.36</v>
      </c>
      <c r="P268" s="14">
        <v>96.62</v>
      </c>
      <c r="Q268" s="14">
        <v>98.748</v>
      </c>
      <c r="R268" s="14">
        <v>7.93</v>
      </c>
      <c r="S268" s="14">
        <v>7.99</v>
      </c>
      <c r="T268" s="14">
        <v>7.88</v>
      </c>
      <c r="U268" s="14">
        <v>7.89</v>
      </c>
      <c r="V268" s="14">
        <v>7.86</v>
      </c>
      <c r="W268" s="14">
        <v>7.910000000000001</v>
      </c>
      <c r="X268" s="14">
        <v>21.9</v>
      </c>
      <c r="Y268" s="14">
        <v>21.9</v>
      </c>
      <c r="Z268" s="14">
        <v>21.7</v>
      </c>
      <c r="AA268" s="14">
        <v>21.2</v>
      </c>
      <c r="AB268" s="14">
        <v>20.9</v>
      </c>
      <c r="AC268" s="14">
        <v>21.52</v>
      </c>
      <c r="AD268" s="14">
        <v>798.0</v>
      </c>
      <c r="AE268" s="14">
        <v>810.0</v>
      </c>
      <c r="AF268" s="14">
        <v>809.0</v>
      </c>
      <c r="AG268" s="14">
        <v>802.0</v>
      </c>
      <c r="AH268" s="14">
        <v>786.0</v>
      </c>
      <c r="AI268" s="14">
        <v>801.0</v>
      </c>
      <c r="AJ268" s="14">
        <v>0.9</v>
      </c>
      <c r="AK268" s="14">
        <v>0.84</v>
      </c>
      <c r="AL268" s="14">
        <v>0.66</v>
      </c>
      <c r="AM268" s="14">
        <v>0.85</v>
      </c>
      <c r="AN268" s="14">
        <v>0.75</v>
      </c>
      <c r="AO268" s="14">
        <v>0.8</v>
      </c>
      <c r="AP268" s="14">
        <v>102.4</v>
      </c>
      <c r="AQ268" s="14">
        <v>293.0</v>
      </c>
      <c r="AR268" s="14">
        <v>142.0</v>
      </c>
      <c r="AS268" s="14">
        <v>10.0</v>
      </c>
      <c r="AT268" s="14">
        <v>2.46</v>
      </c>
      <c r="AU268" s="14">
        <v>4.43E9</v>
      </c>
      <c r="AV268" s="15">
        <v>6.316</v>
      </c>
      <c r="AW268" s="15">
        <v>2.3</v>
      </c>
      <c r="AX268" s="15">
        <v>7701000.0</v>
      </c>
      <c r="AY268" s="14">
        <v>1.76</v>
      </c>
      <c r="AZ268" s="14">
        <v>0.007</v>
      </c>
      <c r="BA268" s="14">
        <v>4.067</v>
      </c>
    </row>
    <row r="269" ht="14.25" customHeight="1">
      <c r="A269" s="10" t="s">
        <v>359</v>
      </c>
      <c r="B269" s="11" t="s">
        <v>53</v>
      </c>
      <c r="C269" s="11"/>
      <c r="D269" s="12"/>
      <c r="E269" s="11">
        <v>43607.0</v>
      </c>
      <c r="F269" s="12">
        <v>1.0</v>
      </c>
      <c r="G269" s="12" t="s">
        <v>315</v>
      </c>
      <c r="H269" s="13">
        <v>0.3333333333333333</v>
      </c>
      <c r="I269" s="13">
        <v>0.4166666666666667</v>
      </c>
      <c r="J269" s="12"/>
      <c r="K269" s="12"/>
      <c r="L269" s="14">
        <v>30.22</v>
      </c>
      <c r="M269" s="14">
        <v>31.73</v>
      </c>
      <c r="N269" s="14">
        <v>35.08</v>
      </c>
      <c r="O269" s="14">
        <v>40.37</v>
      </c>
      <c r="P269" s="14">
        <v>38.46</v>
      </c>
      <c r="Q269" s="14">
        <v>35.172000000000004</v>
      </c>
      <c r="R269" s="14">
        <v>7.95</v>
      </c>
      <c r="S269" s="14">
        <v>7.97</v>
      </c>
      <c r="T269" s="14">
        <v>8.0</v>
      </c>
      <c r="U269" s="14">
        <v>8.06</v>
      </c>
      <c r="V269" s="14">
        <v>8.09</v>
      </c>
      <c r="W269" s="14">
        <v>8.014000000000001</v>
      </c>
      <c r="X269" s="14">
        <v>15.0</v>
      </c>
      <c r="Y269" s="14">
        <v>15.0</v>
      </c>
      <c r="Z269" s="14">
        <v>15.1</v>
      </c>
      <c r="AA269" s="14">
        <v>15.2</v>
      </c>
      <c r="AB269" s="14">
        <v>15.4</v>
      </c>
      <c r="AC269" s="14">
        <v>15.14</v>
      </c>
      <c r="AD269" s="14">
        <v>427.0</v>
      </c>
      <c r="AE269" s="14">
        <v>465.0</v>
      </c>
      <c r="AF269" s="14">
        <v>518.0</v>
      </c>
      <c r="AG269" s="14">
        <v>574.0</v>
      </c>
      <c r="AH269" s="14">
        <v>656.0</v>
      </c>
      <c r="AI269" s="14">
        <v>528.0</v>
      </c>
      <c r="AJ269" s="14">
        <v>5.5</v>
      </c>
      <c r="AK269" s="14" t="s">
        <v>161</v>
      </c>
      <c r="AL269" s="14">
        <v>4.5</v>
      </c>
      <c r="AM269" s="14" t="s">
        <v>161</v>
      </c>
      <c r="AN269" s="14">
        <v>3.3</v>
      </c>
      <c r="AO269" s="14">
        <v>4.433333333333334</v>
      </c>
      <c r="AP269" s="14">
        <v>37.2</v>
      </c>
      <c r="AQ269" s="14">
        <v>162.0</v>
      </c>
      <c r="AR269" s="14">
        <v>110.0</v>
      </c>
      <c r="AS269" s="14">
        <v>14.2</v>
      </c>
      <c r="AT269" s="14">
        <v>0.98</v>
      </c>
      <c r="AU269" s="14">
        <v>1.274E8</v>
      </c>
      <c r="AV269" s="15">
        <v>3.245</v>
      </c>
      <c r="AW269" s="15">
        <v>1.3</v>
      </c>
      <c r="AX269" s="15">
        <v>1552000.0</v>
      </c>
      <c r="AY269" s="14">
        <v>0.76</v>
      </c>
      <c r="AZ269" s="14">
        <v>0.007</v>
      </c>
      <c r="BA269" s="14">
        <v>2.067</v>
      </c>
    </row>
    <row r="270" ht="14.25" customHeight="1">
      <c r="A270" s="10" t="s">
        <v>360</v>
      </c>
      <c r="B270" s="11" t="s">
        <v>61</v>
      </c>
      <c r="C270" s="11"/>
      <c r="D270" s="12"/>
      <c r="E270" s="11">
        <v>43607.0</v>
      </c>
      <c r="F270" s="12">
        <v>1.0</v>
      </c>
      <c r="G270" s="12" t="s">
        <v>308</v>
      </c>
      <c r="H270" s="13">
        <v>0.5833333333333334</v>
      </c>
      <c r="I270" s="13">
        <v>0.6666666666666666</v>
      </c>
      <c r="J270" s="12"/>
      <c r="K270" s="12"/>
      <c r="L270" s="14">
        <v>284.0</v>
      </c>
      <c r="M270" s="14">
        <v>358.1</v>
      </c>
      <c r="N270" s="14">
        <v>433.8</v>
      </c>
      <c r="O270" s="14">
        <v>394.2</v>
      </c>
      <c r="P270" s="14">
        <v>389.3</v>
      </c>
      <c r="Q270" s="14">
        <v>371.88</v>
      </c>
      <c r="R270" s="14">
        <v>7.69</v>
      </c>
      <c r="S270" s="14">
        <v>7.64</v>
      </c>
      <c r="T270" s="14">
        <v>7.63</v>
      </c>
      <c r="U270" s="14">
        <v>7.62</v>
      </c>
      <c r="V270" s="14">
        <v>7.6</v>
      </c>
      <c r="W270" s="14">
        <v>7.636</v>
      </c>
      <c r="X270" s="14">
        <v>22.5</v>
      </c>
      <c r="Y270" s="14">
        <v>22.3</v>
      </c>
      <c r="Z270" s="14">
        <v>23.1</v>
      </c>
      <c r="AA270" s="14">
        <v>22.2</v>
      </c>
      <c r="AB270" s="14">
        <v>22.0</v>
      </c>
      <c r="AC270" s="14">
        <v>22.42</v>
      </c>
      <c r="AD270" s="14">
        <v>662.0</v>
      </c>
      <c r="AE270" s="14">
        <v>662.0</v>
      </c>
      <c r="AF270" s="14">
        <v>666.0</v>
      </c>
      <c r="AG270" s="14">
        <v>660.0</v>
      </c>
      <c r="AH270" s="14">
        <v>645.0</v>
      </c>
      <c r="AI270" s="14">
        <v>659.0</v>
      </c>
      <c r="AJ270" s="14">
        <v>0.1</v>
      </c>
      <c r="AK270" s="14" t="s">
        <v>161</v>
      </c>
      <c r="AL270" s="14">
        <v>0.1</v>
      </c>
      <c r="AM270" s="14" t="s">
        <v>161</v>
      </c>
      <c r="AN270" s="14">
        <v>0.1</v>
      </c>
      <c r="AO270" s="14">
        <v>0.10000000000000002</v>
      </c>
      <c r="AP270" s="14">
        <v>143.0</v>
      </c>
      <c r="AQ270" s="14">
        <v>409.0</v>
      </c>
      <c r="AR270" s="14">
        <v>144.0</v>
      </c>
      <c r="AS270" s="14">
        <v>24.2</v>
      </c>
      <c r="AT270" s="14">
        <v>3.66</v>
      </c>
      <c r="AU270" s="14">
        <v>1.187E10</v>
      </c>
      <c r="AV270" s="15">
        <v>5.768</v>
      </c>
      <c r="AW270" s="15">
        <v>3.1</v>
      </c>
      <c r="AX270" s="15">
        <v>2.613E7</v>
      </c>
      <c r="AY270" s="14">
        <v>2.33</v>
      </c>
      <c r="AZ270" s="14">
        <v>0.007</v>
      </c>
      <c r="BA270" s="14">
        <v>5.437</v>
      </c>
    </row>
    <row r="271" ht="14.25" customHeight="1">
      <c r="A271" s="10" t="s">
        <v>361</v>
      </c>
      <c r="B271" s="11" t="s">
        <v>74</v>
      </c>
      <c r="C271" s="11"/>
      <c r="D271" s="12"/>
      <c r="E271" s="11">
        <v>43622.0</v>
      </c>
      <c r="F271" s="12">
        <v>1.0</v>
      </c>
      <c r="G271" s="12" t="s">
        <v>308</v>
      </c>
      <c r="H271" s="13">
        <v>0.25</v>
      </c>
      <c r="I271" s="13">
        <v>0.3333333333333333</v>
      </c>
      <c r="J271" s="12"/>
      <c r="K271" s="12"/>
      <c r="L271" s="14">
        <v>29.15</v>
      </c>
      <c r="M271" s="14">
        <v>31.64</v>
      </c>
      <c r="N271" s="14">
        <v>35.6</v>
      </c>
      <c r="O271" s="14">
        <v>37.25</v>
      </c>
      <c r="P271" s="14">
        <v>37.01</v>
      </c>
      <c r="Q271" s="14">
        <v>34.129999999999995</v>
      </c>
      <c r="R271" s="14">
        <v>7.66</v>
      </c>
      <c r="S271" s="14">
        <v>7.65</v>
      </c>
      <c r="T271" s="14">
        <v>7.69</v>
      </c>
      <c r="U271" s="14">
        <v>7.7</v>
      </c>
      <c r="V271" s="14">
        <v>7.71</v>
      </c>
      <c r="W271" s="14">
        <v>7.6819999999999995</v>
      </c>
      <c r="X271" s="14">
        <v>10.9</v>
      </c>
      <c r="Y271" s="14">
        <v>11.4</v>
      </c>
      <c r="Z271" s="14">
        <v>11.2</v>
      </c>
      <c r="AA271" s="14">
        <v>11.1</v>
      </c>
      <c r="AB271" s="14">
        <v>11.2</v>
      </c>
      <c r="AC271" s="14">
        <v>11.16</v>
      </c>
      <c r="AD271" s="14">
        <v>184.8</v>
      </c>
      <c r="AE271" s="14">
        <v>189.7</v>
      </c>
      <c r="AF271" s="14">
        <v>195.8</v>
      </c>
      <c r="AG271" s="14">
        <v>185.1</v>
      </c>
      <c r="AH271" s="14">
        <v>183.3</v>
      </c>
      <c r="AI271" s="14">
        <v>187.74</v>
      </c>
      <c r="AJ271" s="14">
        <v>6.28</v>
      </c>
      <c r="AK271" s="14">
        <v>7.47</v>
      </c>
      <c r="AL271" s="14">
        <v>7.45</v>
      </c>
      <c r="AM271" s="14">
        <v>7.52</v>
      </c>
      <c r="AN271" s="14">
        <v>7.73</v>
      </c>
      <c r="AO271" s="14">
        <v>7.290000000000001</v>
      </c>
      <c r="AP271" s="14">
        <v>4.4</v>
      </c>
      <c r="AQ271" s="14">
        <v>251.0</v>
      </c>
      <c r="AR271" s="14">
        <v>37.0</v>
      </c>
      <c r="AS271" s="14">
        <v>10.0</v>
      </c>
      <c r="AT271" s="14">
        <v>0.4</v>
      </c>
      <c r="AU271" s="14">
        <v>1782000.0</v>
      </c>
      <c r="AV271" s="15">
        <v>0.166</v>
      </c>
      <c r="AW271" s="15">
        <v>12.4</v>
      </c>
      <c r="AX271" s="15">
        <v>459.0</v>
      </c>
      <c r="AY271" s="14">
        <v>5.57</v>
      </c>
      <c r="AZ271" s="14">
        <v>0.496</v>
      </c>
      <c r="BA271" s="14">
        <v>18.466</v>
      </c>
    </row>
    <row r="272" ht="14.25" customHeight="1">
      <c r="A272" s="10" t="s">
        <v>362</v>
      </c>
      <c r="B272" s="11" t="s">
        <v>102</v>
      </c>
      <c r="C272" s="11"/>
      <c r="D272" s="12"/>
      <c r="E272" s="11">
        <v>43622.0</v>
      </c>
      <c r="F272" s="12">
        <v>1.0</v>
      </c>
      <c r="G272" s="12" t="s">
        <v>308</v>
      </c>
      <c r="H272" s="13">
        <v>0.34722222222222227</v>
      </c>
      <c r="I272" s="13">
        <v>0.4305555555555556</v>
      </c>
      <c r="J272" s="12"/>
      <c r="K272" s="12"/>
      <c r="L272" s="14">
        <v>63.61</v>
      </c>
      <c r="M272" s="14">
        <v>62.87</v>
      </c>
      <c r="N272" s="14">
        <v>63.3</v>
      </c>
      <c r="O272" s="14">
        <v>55.13</v>
      </c>
      <c r="P272" s="14">
        <v>58.88</v>
      </c>
      <c r="Q272" s="14">
        <v>60.757999999999996</v>
      </c>
      <c r="R272" s="14">
        <v>7.96</v>
      </c>
      <c r="S272" s="14">
        <v>7.98</v>
      </c>
      <c r="T272" s="14">
        <v>7.99</v>
      </c>
      <c r="U272" s="14">
        <v>8.23</v>
      </c>
      <c r="V272" s="14">
        <v>7.98</v>
      </c>
      <c r="W272" s="14">
        <v>8.028</v>
      </c>
      <c r="X272" s="14">
        <v>13.6</v>
      </c>
      <c r="Y272" s="14">
        <v>13.7</v>
      </c>
      <c r="Z272" s="14">
        <v>13.7</v>
      </c>
      <c r="AA272" s="14">
        <v>13.8</v>
      </c>
      <c r="AB272" s="14">
        <v>14.0</v>
      </c>
      <c r="AC272" s="14">
        <v>13.76</v>
      </c>
      <c r="AD272" s="14">
        <v>304.0</v>
      </c>
      <c r="AE272" s="14">
        <v>313.0</v>
      </c>
      <c r="AF272" s="14">
        <v>310.0</v>
      </c>
      <c r="AG272" s="14">
        <v>311.0</v>
      </c>
      <c r="AH272" s="14">
        <v>304.0</v>
      </c>
      <c r="AI272" s="14">
        <v>308.4</v>
      </c>
      <c r="AJ272" s="14">
        <v>7.51</v>
      </c>
      <c r="AK272" s="14">
        <v>7.18</v>
      </c>
      <c r="AL272" s="14">
        <v>7.34</v>
      </c>
      <c r="AM272" s="14">
        <v>7.29</v>
      </c>
      <c r="AN272" s="14">
        <v>7.33</v>
      </c>
      <c r="AO272" s="14">
        <v>7.33</v>
      </c>
      <c r="AP272" s="14">
        <v>13.0</v>
      </c>
      <c r="AQ272" s="14">
        <v>48.4</v>
      </c>
      <c r="AR272" s="14">
        <v>26.0</v>
      </c>
      <c r="AS272" s="14">
        <v>10.0</v>
      </c>
      <c r="AT272" s="14">
        <v>0.4</v>
      </c>
      <c r="AU272" s="14">
        <v>4352000.0</v>
      </c>
      <c r="AV272" s="15">
        <v>1.382</v>
      </c>
      <c r="AW272" s="15">
        <v>10.4</v>
      </c>
      <c r="AX272" s="15">
        <v>249.0</v>
      </c>
      <c r="AY272" s="14">
        <v>1.19</v>
      </c>
      <c r="AZ272" s="14">
        <v>0.262</v>
      </c>
      <c r="BA272" s="14">
        <v>11.852</v>
      </c>
    </row>
    <row r="273" ht="14.25" customHeight="1">
      <c r="A273" s="10" t="s">
        <v>363</v>
      </c>
      <c r="B273" s="11" t="s">
        <v>100</v>
      </c>
      <c r="C273" s="11"/>
      <c r="D273" s="12"/>
      <c r="E273" s="11">
        <v>43622.0</v>
      </c>
      <c r="F273" s="12">
        <v>1.0</v>
      </c>
      <c r="G273" s="12" t="s">
        <v>308</v>
      </c>
      <c r="H273" s="13">
        <v>0.4861111111111111</v>
      </c>
      <c r="I273" s="13">
        <v>0.5694444444444444</v>
      </c>
      <c r="J273" s="12"/>
      <c r="K273" s="12"/>
      <c r="L273" s="14">
        <v>86.94</v>
      </c>
      <c r="M273" s="14">
        <v>79.77</v>
      </c>
      <c r="N273" s="14">
        <v>146.84</v>
      </c>
      <c r="O273" s="14">
        <v>150.1</v>
      </c>
      <c r="P273" s="14">
        <v>155.6</v>
      </c>
      <c r="Q273" s="14">
        <v>123.85</v>
      </c>
      <c r="R273" s="14">
        <v>7.69</v>
      </c>
      <c r="S273" s="14">
        <v>7.71</v>
      </c>
      <c r="T273" s="14">
        <v>7.7</v>
      </c>
      <c r="U273" s="14">
        <v>7.66</v>
      </c>
      <c r="V273" s="14">
        <v>7.58</v>
      </c>
      <c r="W273" s="14">
        <v>7.668000000000001</v>
      </c>
      <c r="X273" s="14">
        <v>14.9</v>
      </c>
      <c r="Y273" s="14">
        <v>15.4</v>
      </c>
      <c r="Z273" s="14">
        <v>15.1</v>
      </c>
      <c r="AA273" s="14">
        <v>15.6</v>
      </c>
      <c r="AB273" s="14">
        <v>15.7</v>
      </c>
      <c r="AC273" s="14">
        <v>15.34</v>
      </c>
      <c r="AD273" s="14">
        <v>462.0</v>
      </c>
      <c r="AE273" s="14">
        <v>441.0</v>
      </c>
      <c r="AF273" s="14">
        <v>449.0</v>
      </c>
      <c r="AG273" s="14">
        <v>487.0</v>
      </c>
      <c r="AH273" s="14">
        <v>346.0</v>
      </c>
      <c r="AI273" s="14">
        <v>437.0</v>
      </c>
      <c r="AJ273" s="14">
        <v>1.22</v>
      </c>
      <c r="AK273" s="14">
        <v>1.17</v>
      </c>
      <c r="AL273" s="14">
        <v>1.23</v>
      </c>
      <c r="AM273" s="14">
        <v>1.26</v>
      </c>
      <c r="AN273" s="14">
        <v>1.41</v>
      </c>
      <c r="AO273" s="14">
        <v>1.258</v>
      </c>
      <c r="AP273" s="14">
        <v>102.0</v>
      </c>
      <c r="AQ273" s="14">
        <v>295.0</v>
      </c>
      <c r="AR273" s="14">
        <v>136.0</v>
      </c>
      <c r="AS273" s="14">
        <v>10.0</v>
      </c>
      <c r="AT273" s="14">
        <v>1.53</v>
      </c>
      <c r="AU273" s="14">
        <v>2.53E7</v>
      </c>
      <c r="AV273" s="15">
        <v>2.421</v>
      </c>
      <c r="AW273" s="15">
        <v>24.3</v>
      </c>
      <c r="AX273" s="15">
        <v>83000.0</v>
      </c>
      <c r="AY273" s="14">
        <v>0.71</v>
      </c>
      <c r="AZ273" s="14">
        <v>0.009</v>
      </c>
      <c r="BA273" s="14">
        <v>25.019000000000002</v>
      </c>
    </row>
    <row r="274" ht="14.25" customHeight="1">
      <c r="A274" s="10" t="s">
        <v>364</v>
      </c>
      <c r="B274" s="11" t="s">
        <v>89</v>
      </c>
      <c r="C274" s="11"/>
      <c r="D274" s="12"/>
      <c r="E274" s="11">
        <v>43635.0</v>
      </c>
      <c r="F274" s="12">
        <v>1.0</v>
      </c>
      <c r="G274" s="12" t="s">
        <v>315</v>
      </c>
      <c r="H274" s="13">
        <v>0.3854166666666667</v>
      </c>
      <c r="I274" s="13">
        <v>0.46875</v>
      </c>
      <c r="J274" s="12"/>
      <c r="K274" s="12"/>
      <c r="L274" s="14">
        <v>84.2</v>
      </c>
      <c r="M274" s="14">
        <v>87.0</v>
      </c>
      <c r="N274" s="14">
        <v>83.0</v>
      </c>
      <c r="O274" s="14">
        <v>80.6</v>
      </c>
      <c r="P274" s="14">
        <v>77.4</v>
      </c>
      <c r="Q274" s="14">
        <v>82.43999999999998</v>
      </c>
      <c r="R274" s="14">
        <v>7.39</v>
      </c>
      <c r="S274" s="14">
        <v>7.49</v>
      </c>
      <c r="T274" s="14">
        <v>7.54</v>
      </c>
      <c r="U274" s="14">
        <v>7.58</v>
      </c>
      <c r="V274" s="14">
        <v>7.58</v>
      </c>
      <c r="W274" s="14">
        <v>7.516</v>
      </c>
      <c r="X274" s="14">
        <v>18.1</v>
      </c>
      <c r="Y274" s="14">
        <v>18.6</v>
      </c>
      <c r="Z274" s="14">
        <v>18.8</v>
      </c>
      <c r="AA274" s="14">
        <v>18.9</v>
      </c>
      <c r="AB274" s="14">
        <v>18.8</v>
      </c>
      <c r="AC274" s="14">
        <v>18.64</v>
      </c>
      <c r="AD274" s="14">
        <v>439.0</v>
      </c>
      <c r="AE274" s="14">
        <v>424.0</v>
      </c>
      <c r="AF274" s="14">
        <v>420.0</v>
      </c>
      <c r="AG274" s="14">
        <v>433.0</v>
      </c>
      <c r="AH274" s="14">
        <v>443.0</v>
      </c>
      <c r="AI274" s="14">
        <v>431.8</v>
      </c>
      <c r="AJ274" s="14">
        <v>1.13</v>
      </c>
      <c r="AK274" s="14">
        <v>1.31</v>
      </c>
      <c r="AL274" s="14">
        <v>1.21</v>
      </c>
      <c r="AM274" s="14">
        <v>1.13</v>
      </c>
      <c r="AN274" s="14">
        <v>1.36</v>
      </c>
      <c r="AO274" s="14">
        <v>1.228</v>
      </c>
      <c r="AP274" s="14">
        <v>16.9</v>
      </c>
      <c r="AQ274" s="14">
        <v>67.8</v>
      </c>
      <c r="AR274" s="14">
        <v>86.0</v>
      </c>
      <c r="AS274" s="14">
        <v>10.0</v>
      </c>
      <c r="AT274" s="14">
        <v>0.72</v>
      </c>
      <c r="AU274" s="14">
        <v>1.515E8</v>
      </c>
      <c r="AV274" s="15">
        <v>1.306</v>
      </c>
      <c r="AW274" s="15">
        <v>12.3</v>
      </c>
      <c r="AX274" s="15">
        <v>71200.0</v>
      </c>
      <c r="AY274" s="14">
        <v>0.3</v>
      </c>
      <c r="AZ274" s="14">
        <v>0.007</v>
      </c>
      <c r="BA274" s="14">
        <v>12.607000000000001</v>
      </c>
    </row>
    <row r="275" ht="14.25" customHeight="1">
      <c r="A275" s="10" t="s">
        <v>365</v>
      </c>
      <c r="B275" s="11" t="s">
        <v>81</v>
      </c>
      <c r="C275" s="11"/>
      <c r="D275" s="12"/>
      <c r="E275" s="11">
        <v>43635.0</v>
      </c>
      <c r="F275" s="12">
        <v>1.0</v>
      </c>
      <c r="G275" s="12" t="s">
        <v>308</v>
      </c>
      <c r="H275" s="13">
        <v>0.5104166666666666</v>
      </c>
      <c r="I275" s="13">
        <v>0.59375</v>
      </c>
      <c r="J275" s="12"/>
      <c r="K275" s="12"/>
      <c r="L275" s="14">
        <v>98.8</v>
      </c>
      <c r="M275" s="14">
        <v>102.6</v>
      </c>
      <c r="N275" s="14">
        <v>95.1</v>
      </c>
      <c r="O275" s="14">
        <v>91.3</v>
      </c>
      <c r="P275" s="14">
        <v>100.0</v>
      </c>
      <c r="Q275" s="14">
        <v>97.56</v>
      </c>
      <c r="R275" s="14">
        <v>7.61</v>
      </c>
      <c r="S275" s="14">
        <v>7.61</v>
      </c>
      <c r="T275" s="14">
        <v>7.51</v>
      </c>
      <c r="U275" s="14">
        <v>7.58</v>
      </c>
      <c r="V275" s="14">
        <v>7.74</v>
      </c>
      <c r="W275" s="14">
        <v>7.610000000000001</v>
      </c>
      <c r="X275" s="14">
        <v>21.0</v>
      </c>
      <c r="Y275" s="14">
        <v>21.2</v>
      </c>
      <c r="Z275" s="14">
        <v>21.8</v>
      </c>
      <c r="AA275" s="14">
        <v>22.6</v>
      </c>
      <c r="AB275" s="14">
        <v>24.2</v>
      </c>
      <c r="AC275" s="14">
        <v>22.16</v>
      </c>
      <c r="AD275" s="14">
        <v>454.0</v>
      </c>
      <c r="AE275" s="14">
        <v>453.0</v>
      </c>
      <c r="AF275" s="14">
        <v>453.0</v>
      </c>
      <c r="AG275" s="14">
        <v>463.0</v>
      </c>
      <c r="AH275" s="14">
        <v>479.0</v>
      </c>
      <c r="AI275" s="14">
        <v>460.4</v>
      </c>
      <c r="AJ275" s="14">
        <v>1.01</v>
      </c>
      <c r="AK275" s="14">
        <v>1.07</v>
      </c>
      <c r="AL275" s="14">
        <v>1.04</v>
      </c>
      <c r="AM275" s="14">
        <v>1.02</v>
      </c>
      <c r="AN275" s="14">
        <v>0.98</v>
      </c>
      <c r="AO275" s="14">
        <v>1.0240000000000002</v>
      </c>
      <c r="AP275" s="14">
        <v>25.9</v>
      </c>
      <c r="AQ275" s="14">
        <v>58.7</v>
      </c>
      <c r="AR275" s="14">
        <v>50.0</v>
      </c>
      <c r="AS275" s="14">
        <v>10.0</v>
      </c>
      <c r="AT275" s="14">
        <v>1.91</v>
      </c>
      <c r="AU275" s="14">
        <v>1.75E7</v>
      </c>
      <c r="AV275" s="15">
        <v>1.151</v>
      </c>
      <c r="AW275" s="15">
        <v>10.2</v>
      </c>
      <c r="AX275" s="15">
        <v>167000.0</v>
      </c>
      <c r="AY275" s="14">
        <v>0.5</v>
      </c>
      <c r="AZ275" s="14">
        <v>0.007</v>
      </c>
      <c r="BA275" s="14">
        <v>10.706999999999999</v>
      </c>
    </row>
    <row r="276" ht="14.25" customHeight="1">
      <c r="A276" s="10" t="s">
        <v>366</v>
      </c>
      <c r="B276" s="11" t="s">
        <v>67</v>
      </c>
      <c r="C276" s="11"/>
      <c r="D276" s="12"/>
      <c r="E276" s="11">
        <v>43635.0</v>
      </c>
      <c r="F276" s="12">
        <v>1.0</v>
      </c>
      <c r="G276" s="12" t="s">
        <v>308</v>
      </c>
      <c r="H276" s="13">
        <v>0.3333333333333333</v>
      </c>
      <c r="I276" s="13">
        <v>0.4166666666666667</v>
      </c>
      <c r="J276" s="12"/>
      <c r="K276" s="12"/>
      <c r="L276" s="14">
        <v>47.54</v>
      </c>
      <c r="M276" s="14">
        <v>55.46</v>
      </c>
      <c r="N276" s="14">
        <v>49.52</v>
      </c>
      <c r="O276" s="14">
        <v>52.54</v>
      </c>
      <c r="P276" s="14">
        <v>53.25</v>
      </c>
      <c r="Q276" s="14">
        <v>51.662</v>
      </c>
      <c r="R276" s="14">
        <v>8.23</v>
      </c>
      <c r="S276" s="14">
        <v>8.19</v>
      </c>
      <c r="T276" s="14">
        <v>8.09</v>
      </c>
      <c r="U276" s="14">
        <v>8.46</v>
      </c>
      <c r="V276" s="14">
        <v>7.99</v>
      </c>
      <c r="W276" s="14">
        <v>8.192</v>
      </c>
      <c r="X276" s="14">
        <v>13.8</v>
      </c>
      <c r="Y276" s="14">
        <v>13.5</v>
      </c>
      <c r="Z276" s="14">
        <v>13.4</v>
      </c>
      <c r="AA276" s="14">
        <v>14.2</v>
      </c>
      <c r="AB276" s="14">
        <v>14.3</v>
      </c>
      <c r="AC276" s="14">
        <v>13.84</v>
      </c>
      <c r="AD276" s="14">
        <v>264.0</v>
      </c>
      <c r="AE276" s="14">
        <v>261.0</v>
      </c>
      <c r="AF276" s="14">
        <v>258.0</v>
      </c>
      <c r="AG276" s="14">
        <v>257.0</v>
      </c>
      <c r="AH276" s="14">
        <v>260.0</v>
      </c>
      <c r="AI276" s="14">
        <v>260.0</v>
      </c>
      <c r="AJ276" s="14">
        <v>8.6</v>
      </c>
      <c r="AK276" s="14">
        <v>6.3</v>
      </c>
      <c r="AL276" s="14">
        <v>6.4</v>
      </c>
      <c r="AM276" s="14">
        <v>6.9</v>
      </c>
      <c r="AN276" s="14">
        <v>6.1</v>
      </c>
      <c r="AO276" s="14">
        <v>6.859999999999999</v>
      </c>
      <c r="AP276" s="14">
        <v>11.6</v>
      </c>
      <c r="AQ276" s="14">
        <v>42.6</v>
      </c>
      <c r="AR276" s="14">
        <v>11.7</v>
      </c>
      <c r="AS276" s="14">
        <v>10.0</v>
      </c>
      <c r="AT276" s="14">
        <v>0.42</v>
      </c>
      <c r="AU276" s="14">
        <v>439000.0</v>
      </c>
      <c r="AV276" s="15">
        <v>1.248</v>
      </c>
      <c r="AW276" s="15">
        <v>11.7</v>
      </c>
      <c r="AX276" s="15">
        <v>10.0</v>
      </c>
      <c r="AY276" s="14">
        <v>0.7</v>
      </c>
      <c r="AZ276" s="14">
        <v>0.499</v>
      </c>
      <c r="BA276" s="14">
        <v>12.899</v>
      </c>
    </row>
    <row r="277" ht="14.25" customHeight="1">
      <c r="A277" s="10" t="s">
        <v>367</v>
      </c>
      <c r="B277" s="11" t="s">
        <v>77</v>
      </c>
      <c r="C277" s="11"/>
      <c r="D277" s="12"/>
      <c r="E277" s="11">
        <v>43635.0</v>
      </c>
      <c r="F277" s="12">
        <v>1.0</v>
      </c>
      <c r="G277" s="12" t="s">
        <v>308</v>
      </c>
      <c r="H277" s="13">
        <v>0.4375</v>
      </c>
      <c r="I277" s="13">
        <v>0.5208333333333334</v>
      </c>
      <c r="J277" s="12"/>
      <c r="K277" s="12"/>
      <c r="L277" s="14">
        <v>109.7</v>
      </c>
      <c r="M277" s="14">
        <v>113.4</v>
      </c>
      <c r="N277" s="14">
        <v>104.6</v>
      </c>
      <c r="O277" s="14">
        <v>111.9</v>
      </c>
      <c r="P277" s="14">
        <v>104.3</v>
      </c>
      <c r="Q277" s="14">
        <v>108.78</v>
      </c>
      <c r="R277" s="14">
        <v>7.99</v>
      </c>
      <c r="S277" s="14">
        <v>8.83</v>
      </c>
      <c r="T277" s="14">
        <v>8.01</v>
      </c>
      <c r="U277" s="14">
        <v>8.21</v>
      </c>
      <c r="V277" s="14">
        <v>8.19</v>
      </c>
      <c r="W277" s="14">
        <v>8.245999999999999</v>
      </c>
      <c r="X277" s="14">
        <v>17.5</v>
      </c>
      <c r="Y277" s="14">
        <v>18.0</v>
      </c>
      <c r="Z277" s="14">
        <v>17.2</v>
      </c>
      <c r="AA277" s="14">
        <v>18.5</v>
      </c>
      <c r="AB277" s="14">
        <v>17.9</v>
      </c>
      <c r="AC277" s="14">
        <v>17.82</v>
      </c>
      <c r="AD277" s="14">
        <v>365.0</v>
      </c>
      <c r="AE277" s="14">
        <v>357.0</v>
      </c>
      <c r="AF277" s="14">
        <v>358.0</v>
      </c>
      <c r="AG277" s="14">
        <v>404.0</v>
      </c>
      <c r="AH277" s="14">
        <v>372.0</v>
      </c>
      <c r="AI277" s="14">
        <v>371.2</v>
      </c>
      <c r="AJ277" s="14">
        <v>1.6</v>
      </c>
      <c r="AK277" s="14">
        <v>1.7</v>
      </c>
      <c r="AL277" s="14">
        <v>1.5</v>
      </c>
      <c r="AM277" s="14">
        <v>1.6</v>
      </c>
      <c r="AN277" s="14">
        <v>1.8</v>
      </c>
      <c r="AO277" s="14">
        <v>1.6400000000000001</v>
      </c>
      <c r="AP277" s="14">
        <v>59.1</v>
      </c>
      <c r="AQ277" s="14">
        <v>227.0</v>
      </c>
      <c r="AR277" s="14">
        <v>44.0</v>
      </c>
      <c r="AS277" s="14">
        <v>28.9</v>
      </c>
      <c r="AT277" s="14">
        <v>2.48</v>
      </c>
      <c r="AU277" s="14">
        <v>7.701E8</v>
      </c>
      <c r="AV277" s="15">
        <v>2.75</v>
      </c>
      <c r="AW277" s="15">
        <v>17.8</v>
      </c>
      <c r="AX277" s="15">
        <v>1.1199E7</v>
      </c>
      <c r="AY277" s="14">
        <v>1.4</v>
      </c>
      <c r="AZ277" s="14">
        <v>0.007</v>
      </c>
      <c r="BA277" s="14">
        <v>19.207</v>
      </c>
    </row>
    <row r="278" ht="14.25" customHeight="1">
      <c r="A278" s="10" t="s">
        <v>368</v>
      </c>
      <c r="B278" s="11" t="s">
        <v>118</v>
      </c>
      <c r="C278" s="11"/>
      <c r="D278" s="12"/>
      <c r="E278" s="11">
        <v>43635.0</v>
      </c>
      <c r="F278" s="12">
        <v>1.0</v>
      </c>
      <c r="G278" s="12" t="s">
        <v>308</v>
      </c>
      <c r="H278" s="13">
        <v>0.3333333333333333</v>
      </c>
      <c r="I278" s="13">
        <v>0.4166666666666667</v>
      </c>
      <c r="J278" s="12"/>
      <c r="K278" s="12"/>
      <c r="L278" s="14">
        <v>16.6</v>
      </c>
      <c r="M278" s="14">
        <v>10.93</v>
      </c>
      <c r="N278" s="14">
        <v>10.53</v>
      </c>
      <c r="O278" s="14">
        <v>11.1</v>
      </c>
      <c r="P278" s="14">
        <v>11.93</v>
      </c>
      <c r="Q278" s="14">
        <v>12.218</v>
      </c>
      <c r="R278" s="14">
        <v>7.07</v>
      </c>
      <c r="S278" s="14">
        <v>7.13</v>
      </c>
      <c r="T278" s="14">
        <v>7.2</v>
      </c>
      <c r="U278" s="14">
        <v>7.18</v>
      </c>
      <c r="V278" s="14">
        <v>7.2</v>
      </c>
      <c r="W278" s="14">
        <v>7.156000000000001</v>
      </c>
      <c r="X278" s="14">
        <v>15.9</v>
      </c>
      <c r="Y278" s="14">
        <v>15.6</v>
      </c>
      <c r="Z278" s="14">
        <v>15.7</v>
      </c>
      <c r="AA278" s="14">
        <v>15.7</v>
      </c>
      <c r="AB278" s="14">
        <v>15.7</v>
      </c>
      <c r="AC278" s="14">
        <v>15.720000000000002</v>
      </c>
      <c r="AD278" s="14">
        <v>208.0</v>
      </c>
      <c r="AE278" s="14">
        <v>181.6</v>
      </c>
      <c r="AF278" s="14">
        <v>204.0</v>
      </c>
      <c r="AG278" s="14">
        <v>198.2</v>
      </c>
      <c r="AH278" s="14">
        <v>190.2</v>
      </c>
      <c r="AI278" s="14">
        <v>196.4</v>
      </c>
      <c r="AJ278" s="14">
        <v>3.49</v>
      </c>
      <c r="AK278" s="14">
        <v>3.48</v>
      </c>
      <c r="AL278" s="14">
        <v>3.14</v>
      </c>
      <c r="AM278" s="14">
        <v>3.04</v>
      </c>
      <c r="AN278" s="14">
        <v>3.21</v>
      </c>
      <c r="AO278" s="14">
        <v>3.2720000000000007</v>
      </c>
      <c r="AP278" s="14">
        <v>6.1</v>
      </c>
      <c r="AQ278" s="14">
        <v>26.7</v>
      </c>
      <c r="AR278" s="14">
        <v>10.0</v>
      </c>
      <c r="AS278" s="14">
        <v>10.0</v>
      </c>
      <c r="AT278" s="14">
        <v>0.57</v>
      </c>
      <c r="AU278" s="14">
        <v>178900.0</v>
      </c>
      <c r="AV278" s="15">
        <v>0.586</v>
      </c>
      <c r="AW278" s="15">
        <v>4.7</v>
      </c>
      <c r="AX278" s="15">
        <v>3448.0</v>
      </c>
      <c r="AY278" s="14">
        <v>0.6</v>
      </c>
      <c r="AZ278" s="14">
        <v>0.191</v>
      </c>
      <c r="BA278" s="14">
        <v>5.491</v>
      </c>
    </row>
    <row r="279" ht="14.25" customHeight="1">
      <c r="A279" s="10" t="s">
        <v>369</v>
      </c>
      <c r="B279" s="11" t="s">
        <v>120</v>
      </c>
      <c r="C279" s="11"/>
      <c r="D279" s="12"/>
      <c r="E279" s="11">
        <v>43635.0</v>
      </c>
      <c r="F279" s="12">
        <v>1.0</v>
      </c>
      <c r="G279" s="12" t="s">
        <v>315</v>
      </c>
      <c r="H279" s="13">
        <v>0.4375</v>
      </c>
      <c r="I279" s="13">
        <v>0.5208333333333334</v>
      </c>
      <c r="J279" s="12"/>
      <c r="K279" s="12"/>
      <c r="L279" s="14">
        <v>13.28</v>
      </c>
      <c r="M279" s="14">
        <v>16.13</v>
      </c>
      <c r="N279" s="14">
        <v>15.82</v>
      </c>
      <c r="O279" s="14">
        <v>15.59</v>
      </c>
      <c r="P279" s="14">
        <v>14.58</v>
      </c>
      <c r="Q279" s="14">
        <v>15.079999999999998</v>
      </c>
      <c r="R279" s="14">
        <v>8.92</v>
      </c>
      <c r="S279" s="14">
        <v>8.89</v>
      </c>
      <c r="T279" s="14">
        <v>8.95</v>
      </c>
      <c r="U279" s="14">
        <v>8.91</v>
      </c>
      <c r="V279" s="14">
        <v>9.02</v>
      </c>
      <c r="W279" s="14">
        <v>8.937999999999999</v>
      </c>
      <c r="X279" s="14">
        <v>17.8</v>
      </c>
      <c r="Y279" s="14">
        <v>18.0</v>
      </c>
      <c r="Z279" s="14">
        <v>19.0</v>
      </c>
      <c r="AA279" s="14">
        <v>19.3</v>
      </c>
      <c r="AB279" s="14">
        <v>19.7</v>
      </c>
      <c r="AC279" s="14">
        <v>18.759999999999998</v>
      </c>
      <c r="AD279" s="14">
        <v>251.0</v>
      </c>
      <c r="AE279" s="14">
        <v>244.0</v>
      </c>
      <c r="AF279" s="14">
        <v>249.0</v>
      </c>
      <c r="AG279" s="14">
        <v>242.0</v>
      </c>
      <c r="AH279" s="14">
        <v>251.0</v>
      </c>
      <c r="AI279" s="14">
        <v>247.4</v>
      </c>
      <c r="AJ279" s="14">
        <v>4.86</v>
      </c>
      <c r="AK279" s="14">
        <v>4.82</v>
      </c>
      <c r="AL279" s="14">
        <v>6.13</v>
      </c>
      <c r="AM279" s="14">
        <v>7.21</v>
      </c>
      <c r="AN279" s="14">
        <v>10.3</v>
      </c>
      <c r="AO279" s="14">
        <v>6.664</v>
      </c>
      <c r="AP279" s="14">
        <v>10.4</v>
      </c>
      <c r="AQ279" s="14">
        <v>40.8</v>
      </c>
      <c r="AR279" s="14">
        <v>8.0</v>
      </c>
      <c r="AS279" s="14">
        <v>10.0</v>
      </c>
      <c r="AT279" s="14">
        <v>0.56</v>
      </c>
      <c r="AU279" s="14">
        <v>1722000.0</v>
      </c>
      <c r="AV279" s="15">
        <v>0.761</v>
      </c>
      <c r="AW279" s="15">
        <v>5.9</v>
      </c>
      <c r="AX279" s="15">
        <v>19863.0</v>
      </c>
      <c r="AY279" s="14">
        <v>0.6</v>
      </c>
      <c r="AZ279" s="14">
        <v>0.155</v>
      </c>
      <c r="BA279" s="14">
        <v>6.655</v>
      </c>
    </row>
    <row r="280" ht="14.25" customHeight="1">
      <c r="A280" s="10" t="s">
        <v>370</v>
      </c>
      <c r="B280" s="11" t="s">
        <v>65</v>
      </c>
      <c r="C280" s="11"/>
      <c r="D280" s="12"/>
      <c r="E280" s="11">
        <v>43636.0</v>
      </c>
      <c r="F280" s="12">
        <v>1.0</v>
      </c>
      <c r="G280" s="12" t="s">
        <v>308</v>
      </c>
      <c r="H280" s="13">
        <v>0.3333333333333333</v>
      </c>
      <c r="I280" s="13">
        <v>0.4166666666666667</v>
      </c>
      <c r="J280" s="12"/>
      <c r="K280" s="12"/>
      <c r="L280" s="14">
        <v>420.0</v>
      </c>
      <c r="M280" s="14">
        <v>458.6</v>
      </c>
      <c r="N280" s="14">
        <v>511.0</v>
      </c>
      <c r="O280" s="14">
        <v>535.1</v>
      </c>
      <c r="P280" s="14">
        <v>549.0</v>
      </c>
      <c r="Q280" s="14">
        <v>494.73999999999995</v>
      </c>
      <c r="R280" s="14">
        <v>7.85</v>
      </c>
      <c r="S280" s="14">
        <v>7.53</v>
      </c>
      <c r="T280" s="14">
        <v>7.48</v>
      </c>
      <c r="U280" s="14">
        <v>7.32</v>
      </c>
      <c r="V280" s="14">
        <v>7.41</v>
      </c>
      <c r="W280" s="14">
        <v>7.518000000000001</v>
      </c>
      <c r="X280" s="14">
        <v>18.0</v>
      </c>
      <c r="Y280" s="14">
        <v>17.4</v>
      </c>
      <c r="Z280" s="14">
        <v>17.2</v>
      </c>
      <c r="AA280" s="14">
        <v>17.6</v>
      </c>
      <c r="AB280" s="14">
        <v>17.7</v>
      </c>
      <c r="AC280" s="14">
        <v>17.58</v>
      </c>
      <c r="AD280" s="14">
        <v>338.0</v>
      </c>
      <c r="AE280" s="14">
        <v>281.0</v>
      </c>
      <c r="AF280" s="14">
        <v>272.0</v>
      </c>
      <c r="AG280" s="14">
        <v>282.0</v>
      </c>
      <c r="AH280" s="14">
        <v>238.0</v>
      </c>
      <c r="AI280" s="14">
        <v>282.2</v>
      </c>
      <c r="AJ280" s="14">
        <v>0.45</v>
      </c>
      <c r="AK280" s="14">
        <v>0.41</v>
      </c>
      <c r="AL280" s="14">
        <v>0.51</v>
      </c>
      <c r="AM280" s="14">
        <v>0.39</v>
      </c>
      <c r="AN280" s="14">
        <v>0.72</v>
      </c>
      <c r="AO280" s="14">
        <v>0.4960000000000001</v>
      </c>
      <c r="AP280" s="14">
        <v>129.0</v>
      </c>
      <c r="AQ280" s="14">
        <v>313.0</v>
      </c>
      <c r="AR280" s="14">
        <v>126.0</v>
      </c>
      <c r="AS280" s="14">
        <v>20.8</v>
      </c>
      <c r="AT280" s="14">
        <v>0.4</v>
      </c>
      <c r="AU280" s="14">
        <v>2.13E9</v>
      </c>
      <c r="AV280" s="15">
        <v>3.153</v>
      </c>
      <c r="AW280" s="15">
        <v>13.1</v>
      </c>
      <c r="AX280" s="15">
        <v>1.924E7</v>
      </c>
      <c r="AY280" s="14">
        <v>1.3</v>
      </c>
      <c r="AZ280" s="14">
        <v>0.018</v>
      </c>
      <c r="BA280" s="14">
        <v>14.418</v>
      </c>
    </row>
    <row r="281" ht="14.25" customHeight="1">
      <c r="A281" s="10" t="s">
        <v>371</v>
      </c>
      <c r="B281" s="11" t="s">
        <v>70</v>
      </c>
      <c r="C281" s="11"/>
      <c r="D281" s="12"/>
      <c r="E281" s="11">
        <v>43636.0</v>
      </c>
      <c r="F281" s="12">
        <v>1.0</v>
      </c>
      <c r="G281" s="12" t="s">
        <v>315</v>
      </c>
      <c r="H281" s="13">
        <v>0.4583333333333333</v>
      </c>
      <c r="I281" s="13">
        <v>0.5416666666666666</v>
      </c>
      <c r="J281" s="12"/>
      <c r="K281" s="12"/>
      <c r="L281" s="14">
        <v>455.0</v>
      </c>
      <c r="M281" s="14">
        <v>452.7</v>
      </c>
      <c r="N281" s="14">
        <v>502.3</v>
      </c>
      <c r="O281" s="14">
        <v>915.0</v>
      </c>
      <c r="P281" s="14">
        <v>739.5</v>
      </c>
      <c r="Q281" s="14">
        <v>612.9</v>
      </c>
      <c r="R281" s="14">
        <v>7.5</v>
      </c>
      <c r="S281" s="14">
        <v>7.56</v>
      </c>
      <c r="T281" s="14">
        <v>7.57</v>
      </c>
      <c r="U281" s="14">
        <v>7.58</v>
      </c>
      <c r="V281" s="14">
        <v>7.52</v>
      </c>
      <c r="W281" s="14">
        <v>7.546000000000001</v>
      </c>
      <c r="X281" s="14">
        <v>18.1</v>
      </c>
      <c r="Y281" s="14">
        <v>17.9</v>
      </c>
      <c r="Z281" s="14">
        <v>18.2</v>
      </c>
      <c r="AA281" s="14">
        <v>18.4</v>
      </c>
      <c r="AB281" s="14">
        <v>18.6</v>
      </c>
      <c r="AC281" s="14">
        <v>18.24</v>
      </c>
      <c r="AD281" s="14">
        <v>264.0</v>
      </c>
      <c r="AE281" s="14">
        <v>277.0</v>
      </c>
      <c r="AF281" s="14">
        <v>312.0</v>
      </c>
      <c r="AG281" s="14">
        <v>328.0</v>
      </c>
      <c r="AH281" s="14">
        <v>309.0</v>
      </c>
      <c r="AI281" s="14">
        <v>298.0</v>
      </c>
      <c r="AJ281" s="14">
        <v>0.57</v>
      </c>
      <c r="AK281" s="14">
        <v>0.61</v>
      </c>
      <c r="AL281" s="14">
        <v>0.57</v>
      </c>
      <c r="AM281" s="14">
        <v>0.51</v>
      </c>
      <c r="AN281" s="14">
        <v>0.73</v>
      </c>
      <c r="AO281" s="14">
        <v>0.598</v>
      </c>
      <c r="AP281" s="14">
        <v>64.6</v>
      </c>
      <c r="AQ281" s="14">
        <v>293.0</v>
      </c>
      <c r="AR281" s="14">
        <v>96.0</v>
      </c>
      <c r="AS281" s="14">
        <v>10.0</v>
      </c>
      <c r="AT281" s="14">
        <v>1.03</v>
      </c>
      <c r="AU281" s="14">
        <v>1.09E9</v>
      </c>
      <c r="AV281" s="15">
        <v>3.679</v>
      </c>
      <c r="AW281" s="15">
        <v>14.8</v>
      </c>
      <c r="AX281" s="15">
        <v>2.3E7</v>
      </c>
      <c r="AY281" s="14">
        <v>1.2</v>
      </c>
      <c r="AZ281" s="14">
        <v>0.015</v>
      </c>
      <c r="BA281" s="14">
        <v>16.015</v>
      </c>
    </row>
    <row r="282" ht="14.25" customHeight="1">
      <c r="A282" s="10" t="s">
        <v>372</v>
      </c>
      <c r="B282" s="11" t="s">
        <v>87</v>
      </c>
      <c r="C282" s="11"/>
      <c r="D282" s="12"/>
      <c r="E282" s="11">
        <v>43636.0</v>
      </c>
      <c r="F282" s="12">
        <v>1.0</v>
      </c>
      <c r="G282" s="12" t="s">
        <v>308</v>
      </c>
      <c r="H282" s="13">
        <v>0.5625</v>
      </c>
      <c r="I282" s="13">
        <v>15.3</v>
      </c>
      <c r="J282" s="12"/>
      <c r="K282" s="12"/>
      <c r="L282" s="14">
        <v>1190.0</v>
      </c>
      <c r="M282" s="14">
        <v>1128.0</v>
      </c>
      <c r="N282" s="14">
        <v>1122.0</v>
      </c>
      <c r="O282" s="14">
        <v>1048.0</v>
      </c>
      <c r="P282" s="14">
        <v>1077.0</v>
      </c>
      <c r="Q282" s="14">
        <v>1113.0</v>
      </c>
      <c r="R282" s="14">
        <v>7.43</v>
      </c>
      <c r="S282" s="14">
        <v>7.42</v>
      </c>
      <c r="T282" s="14">
        <v>7.45</v>
      </c>
      <c r="U282" s="14">
        <v>7.45</v>
      </c>
      <c r="V282" s="14">
        <v>7.41</v>
      </c>
      <c r="W282" s="14">
        <v>7.4319999999999995</v>
      </c>
      <c r="X282" s="14">
        <v>17.8</v>
      </c>
      <c r="Y282" s="14">
        <v>17.7</v>
      </c>
      <c r="Z282" s="14">
        <v>18.3</v>
      </c>
      <c r="AA282" s="14">
        <v>18.6</v>
      </c>
      <c r="AB282" s="14">
        <v>18.7</v>
      </c>
      <c r="AC282" s="14">
        <v>18.220000000000002</v>
      </c>
      <c r="AD282" s="14">
        <v>310.0</v>
      </c>
      <c r="AE282" s="14">
        <v>301.0</v>
      </c>
      <c r="AF282" s="14">
        <v>305.0</v>
      </c>
      <c r="AG282" s="14">
        <v>302.0</v>
      </c>
      <c r="AH282" s="14">
        <v>287.0</v>
      </c>
      <c r="AI282" s="14">
        <v>301.0</v>
      </c>
      <c r="AJ282" s="14">
        <v>1.04</v>
      </c>
      <c r="AK282" s="14">
        <v>1.35</v>
      </c>
      <c r="AL282" s="14">
        <v>0.85</v>
      </c>
      <c r="AM282" s="14">
        <v>0.82</v>
      </c>
      <c r="AN282" s="14">
        <v>0.76</v>
      </c>
      <c r="AO282" s="14">
        <v>0.9640000000000001</v>
      </c>
      <c r="AP282" s="14">
        <v>39.0</v>
      </c>
      <c r="AQ282" s="14">
        <v>138.0</v>
      </c>
      <c r="AR282" s="14">
        <v>84.0</v>
      </c>
      <c r="AS282" s="14">
        <v>19.3</v>
      </c>
      <c r="AT282" s="14">
        <v>1.05</v>
      </c>
      <c r="AU282" s="14">
        <v>8.13E7</v>
      </c>
      <c r="AV282" s="15">
        <v>1.817</v>
      </c>
      <c r="AW282" s="15">
        <v>15.0</v>
      </c>
      <c r="AX282" s="15">
        <v>8664000.0</v>
      </c>
      <c r="AY282" s="14">
        <v>1.1</v>
      </c>
      <c r="AZ282" s="14">
        <v>0.015</v>
      </c>
      <c r="BA282" s="14">
        <v>16.115</v>
      </c>
    </row>
    <row r="283" ht="14.25" customHeight="1">
      <c r="A283" s="10" t="s">
        <v>373</v>
      </c>
      <c r="B283" s="11" t="s">
        <v>116</v>
      </c>
      <c r="C283" s="11"/>
      <c r="D283" s="12"/>
      <c r="E283" s="11">
        <v>43636.0</v>
      </c>
      <c r="F283" s="12">
        <v>1.0</v>
      </c>
      <c r="G283" s="12" t="s">
        <v>315</v>
      </c>
      <c r="H283" s="13">
        <v>0.2708333333333333</v>
      </c>
      <c r="I283" s="13">
        <v>0.3541666666666667</v>
      </c>
      <c r="J283" s="12"/>
      <c r="K283" s="12"/>
      <c r="L283" s="14">
        <v>140.5</v>
      </c>
      <c r="M283" s="14">
        <v>128.7</v>
      </c>
      <c r="N283" s="14">
        <v>100.6</v>
      </c>
      <c r="O283" s="14">
        <v>117.0</v>
      </c>
      <c r="P283" s="14">
        <v>119.6</v>
      </c>
      <c r="Q283" s="14">
        <v>121.28</v>
      </c>
      <c r="R283" s="14">
        <v>6.6</v>
      </c>
      <c r="S283" s="14">
        <v>7.23</v>
      </c>
      <c r="T283" s="14">
        <v>7.61</v>
      </c>
      <c r="U283" s="14">
        <v>7.66</v>
      </c>
      <c r="V283" s="14">
        <v>7.95</v>
      </c>
      <c r="W283" s="14">
        <v>7.410000000000001</v>
      </c>
      <c r="X283" s="14">
        <v>16.0</v>
      </c>
      <c r="Y283" s="14">
        <v>16.1</v>
      </c>
      <c r="Z283" s="14">
        <v>16.1</v>
      </c>
      <c r="AA283" s="14">
        <v>16.3</v>
      </c>
      <c r="AB283" s="14">
        <v>16.6</v>
      </c>
      <c r="AC283" s="14">
        <v>16.22</v>
      </c>
      <c r="AD283" s="14">
        <v>165.2</v>
      </c>
      <c r="AE283" s="14">
        <v>164.3</v>
      </c>
      <c r="AF283" s="14">
        <v>152.2</v>
      </c>
      <c r="AG283" s="14">
        <v>153.4</v>
      </c>
      <c r="AH283" s="14">
        <v>151.9</v>
      </c>
      <c r="AI283" s="14">
        <v>157.4</v>
      </c>
      <c r="AJ283" s="14">
        <v>3.86</v>
      </c>
      <c r="AK283" s="14">
        <v>3.99</v>
      </c>
      <c r="AL283" s="14">
        <v>5.48</v>
      </c>
      <c r="AM283" s="14">
        <v>6.28</v>
      </c>
      <c r="AN283" s="14">
        <v>6.98</v>
      </c>
      <c r="AO283" s="14">
        <v>5.318</v>
      </c>
      <c r="AP283" s="14">
        <v>12.2</v>
      </c>
      <c r="AQ283" s="14">
        <v>77.5</v>
      </c>
      <c r="AR283" s="14">
        <v>140.0</v>
      </c>
      <c r="AS283" s="14">
        <v>32.0</v>
      </c>
      <c r="AT283" s="14">
        <v>0.44</v>
      </c>
      <c r="AU283" s="14">
        <v>1.354E7</v>
      </c>
      <c r="AV283" s="15">
        <v>0.431</v>
      </c>
      <c r="AW283" s="15">
        <v>3.3</v>
      </c>
      <c r="AX283" s="15">
        <v>1865000.0</v>
      </c>
      <c r="AY283" s="14">
        <v>1.0</v>
      </c>
      <c r="AZ283" s="14">
        <v>0.034</v>
      </c>
      <c r="BA283" s="14">
        <v>4.334</v>
      </c>
    </row>
    <row r="284" ht="14.25" customHeight="1">
      <c r="A284" s="10" t="s">
        <v>374</v>
      </c>
      <c r="B284" s="11" t="s">
        <v>129</v>
      </c>
      <c r="C284" s="11"/>
      <c r="D284" s="12"/>
      <c r="E284" s="11">
        <v>43636.0</v>
      </c>
      <c r="F284" s="12">
        <v>1.0</v>
      </c>
      <c r="G284" s="12" t="s">
        <v>308</v>
      </c>
      <c r="H284" s="13">
        <v>0.375</v>
      </c>
      <c r="I284" s="13">
        <v>0.4583333333333333</v>
      </c>
      <c r="J284" s="12"/>
      <c r="K284" s="12"/>
      <c r="L284" s="14">
        <v>150.9</v>
      </c>
      <c r="M284" s="14">
        <v>143.0</v>
      </c>
      <c r="N284" s="14">
        <v>120.3</v>
      </c>
      <c r="O284" s="14">
        <v>119.6</v>
      </c>
      <c r="P284" s="14">
        <v>121.3</v>
      </c>
      <c r="Q284" s="14">
        <v>131.01999999999998</v>
      </c>
      <c r="R284" s="14">
        <v>8.37</v>
      </c>
      <c r="S284" s="14">
        <v>8.31</v>
      </c>
      <c r="T284" s="14">
        <v>8.36</v>
      </c>
      <c r="U284" s="14">
        <v>8.43</v>
      </c>
      <c r="V284" s="14">
        <v>8.31</v>
      </c>
      <c r="W284" s="14">
        <v>8.356</v>
      </c>
      <c r="X284" s="14">
        <v>19.1</v>
      </c>
      <c r="Y284" s="14">
        <v>19.3</v>
      </c>
      <c r="Z284" s="14">
        <v>19.8</v>
      </c>
      <c r="AA284" s="14">
        <v>20.1</v>
      </c>
      <c r="AB284" s="14">
        <v>20.2</v>
      </c>
      <c r="AC284" s="14">
        <v>19.700000000000003</v>
      </c>
      <c r="AD284" s="14">
        <v>295.0</v>
      </c>
      <c r="AE284" s="14">
        <v>266.0</v>
      </c>
      <c r="AF284" s="14">
        <v>291.0</v>
      </c>
      <c r="AG284" s="14">
        <v>414.0</v>
      </c>
      <c r="AH284" s="14">
        <v>409.0</v>
      </c>
      <c r="AI284" s="14">
        <v>335.0</v>
      </c>
      <c r="AJ284" s="14">
        <v>4.9</v>
      </c>
      <c r="AK284" s="14">
        <v>5.74</v>
      </c>
      <c r="AL284" s="14">
        <v>5.22</v>
      </c>
      <c r="AM284" s="14">
        <v>4.16</v>
      </c>
      <c r="AN284" s="14">
        <v>3.96</v>
      </c>
      <c r="AO284" s="14">
        <v>4.796</v>
      </c>
      <c r="AP284" s="14">
        <v>63.6</v>
      </c>
      <c r="AQ284" s="14">
        <v>254.0</v>
      </c>
      <c r="AR284" s="14">
        <v>102.0</v>
      </c>
      <c r="AS284" s="14">
        <v>11.7</v>
      </c>
      <c r="AT284" s="14">
        <v>0.7</v>
      </c>
      <c r="AU284" s="14">
        <v>6.24E7</v>
      </c>
      <c r="AV284" s="15">
        <v>1.585</v>
      </c>
      <c r="AW284" s="15">
        <v>10.4</v>
      </c>
      <c r="AX284" s="15">
        <v>2.222E7</v>
      </c>
      <c r="AY284" s="14">
        <v>1.0</v>
      </c>
      <c r="AZ284" s="14">
        <v>0.008</v>
      </c>
      <c r="BA284" s="14">
        <v>11.408000000000001</v>
      </c>
    </row>
    <row r="285" ht="14.25" customHeight="1">
      <c r="A285" s="10" t="s">
        <v>375</v>
      </c>
      <c r="B285" s="11" t="s">
        <v>85</v>
      </c>
      <c r="C285" s="11"/>
      <c r="D285" s="12"/>
      <c r="E285" s="11">
        <v>43643.0</v>
      </c>
      <c r="F285" s="12">
        <v>1.0</v>
      </c>
      <c r="G285" s="12" t="s">
        <v>308</v>
      </c>
      <c r="H285" s="13">
        <v>0.375</v>
      </c>
      <c r="I285" s="13">
        <v>0.4583333333333333</v>
      </c>
      <c r="J285" s="12"/>
      <c r="K285" s="12"/>
      <c r="L285" s="14">
        <v>316.5</v>
      </c>
      <c r="M285" s="14">
        <v>333.8</v>
      </c>
      <c r="N285" s="14">
        <v>332.9</v>
      </c>
      <c r="O285" s="14">
        <v>341.4</v>
      </c>
      <c r="P285" s="14">
        <v>347.9</v>
      </c>
      <c r="Q285" s="14">
        <v>334.5</v>
      </c>
      <c r="R285" s="14">
        <v>8.21</v>
      </c>
      <c r="S285" s="14">
        <v>8.22</v>
      </c>
      <c r="T285" s="14">
        <v>8.27</v>
      </c>
      <c r="U285" s="14">
        <v>8.16</v>
      </c>
      <c r="V285" s="14">
        <v>8.18</v>
      </c>
      <c r="W285" s="14">
        <v>8.208</v>
      </c>
      <c r="X285" s="14">
        <v>19.6</v>
      </c>
      <c r="Y285" s="14">
        <v>19.6</v>
      </c>
      <c r="Z285" s="14">
        <v>19.6</v>
      </c>
      <c r="AA285" s="14">
        <v>19.5</v>
      </c>
      <c r="AB285" s="14">
        <v>19.5</v>
      </c>
      <c r="AC285" s="14">
        <v>19.560000000000002</v>
      </c>
      <c r="AD285" s="14">
        <v>484.0</v>
      </c>
      <c r="AE285" s="14">
        <v>501.0</v>
      </c>
      <c r="AF285" s="14">
        <v>508.0</v>
      </c>
      <c r="AG285" s="14">
        <v>534.0</v>
      </c>
      <c r="AH285" s="14">
        <v>544.0</v>
      </c>
      <c r="AI285" s="14">
        <v>514.2</v>
      </c>
      <c r="AJ285" s="14">
        <v>1.8</v>
      </c>
      <c r="AK285" s="14">
        <v>2.05</v>
      </c>
      <c r="AL285" s="14">
        <v>2.19</v>
      </c>
      <c r="AM285" s="14">
        <v>2.14</v>
      </c>
      <c r="AN285" s="14">
        <v>2.11</v>
      </c>
      <c r="AO285" s="14">
        <v>2.058</v>
      </c>
      <c r="AP285" s="14">
        <v>172.0</v>
      </c>
      <c r="AQ285" s="14">
        <v>523.0</v>
      </c>
      <c r="AR285" s="14">
        <v>127.0</v>
      </c>
      <c r="AS285" s="14">
        <v>49.7</v>
      </c>
      <c r="AT285" s="14">
        <v>4.55</v>
      </c>
      <c r="AU285" s="14">
        <v>2.85E8</v>
      </c>
      <c r="AV285" s="15">
        <v>5.507</v>
      </c>
      <c r="AW285" s="15">
        <v>35.9</v>
      </c>
      <c r="AX285" s="15">
        <v>3654000.0</v>
      </c>
      <c r="AY285" s="14">
        <v>0.8</v>
      </c>
      <c r="AZ285" s="14">
        <v>0.015</v>
      </c>
      <c r="BA285" s="14">
        <v>36.714999999999996</v>
      </c>
    </row>
    <row r="286" ht="14.25" customHeight="1">
      <c r="A286" s="10" t="s">
        <v>376</v>
      </c>
      <c r="B286" s="11" t="s">
        <v>63</v>
      </c>
      <c r="C286" s="11"/>
      <c r="D286" s="12"/>
      <c r="E286" s="11">
        <v>43643.0</v>
      </c>
      <c r="F286" s="12">
        <v>1.0</v>
      </c>
      <c r="G286" s="12" t="s">
        <v>315</v>
      </c>
      <c r="H286" s="13">
        <v>0.4791666666666667</v>
      </c>
      <c r="I286" s="13">
        <v>0.5625</v>
      </c>
      <c r="J286" s="12"/>
      <c r="K286" s="12"/>
      <c r="L286" s="14">
        <v>436.4</v>
      </c>
      <c r="M286" s="14">
        <v>451.1</v>
      </c>
      <c r="N286" s="14">
        <v>451.3</v>
      </c>
      <c r="O286" s="14">
        <v>431.1</v>
      </c>
      <c r="P286" s="14">
        <v>421.2</v>
      </c>
      <c r="Q286" s="14">
        <v>438.21999999999997</v>
      </c>
      <c r="R286" s="14">
        <v>8.17</v>
      </c>
      <c r="S286" s="14">
        <v>8.17</v>
      </c>
      <c r="T286" s="14">
        <v>8.15</v>
      </c>
      <c r="U286" s="14">
        <v>8.25</v>
      </c>
      <c r="V286" s="14">
        <v>8.18</v>
      </c>
      <c r="W286" s="14">
        <v>8.184000000000001</v>
      </c>
      <c r="X286" s="14">
        <v>22.3</v>
      </c>
      <c r="Y286" s="14">
        <v>22.3</v>
      </c>
      <c r="Z286" s="14">
        <v>22.5</v>
      </c>
      <c r="AA286" s="14">
        <v>22.3</v>
      </c>
      <c r="AB286" s="14">
        <v>22.2</v>
      </c>
      <c r="AC286" s="14">
        <v>22.32</v>
      </c>
      <c r="AD286" s="14">
        <v>570.0</v>
      </c>
      <c r="AE286" s="14">
        <v>571.0</v>
      </c>
      <c r="AF286" s="14">
        <v>592.0</v>
      </c>
      <c r="AG286" s="14">
        <v>605.0</v>
      </c>
      <c r="AH286" s="14">
        <v>620.0</v>
      </c>
      <c r="AI286" s="14">
        <v>591.6</v>
      </c>
      <c r="AJ286" s="14">
        <v>0.53</v>
      </c>
      <c r="AK286" s="14">
        <v>0.55</v>
      </c>
      <c r="AL286" s="14">
        <v>1.06</v>
      </c>
      <c r="AM286" s="14">
        <v>0.76</v>
      </c>
      <c r="AN286" s="14">
        <v>0.94</v>
      </c>
      <c r="AO286" s="14">
        <v>0.768</v>
      </c>
      <c r="AP286" s="14">
        <v>168.0</v>
      </c>
      <c r="AQ286" s="14">
        <v>493.0</v>
      </c>
      <c r="AR286" s="14">
        <v>10.7</v>
      </c>
      <c r="AS286" s="14">
        <v>38.0</v>
      </c>
      <c r="AT286" s="14">
        <v>5.61</v>
      </c>
      <c r="AU286" s="14">
        <v>5.98E8</v>
      </c>
      <c r="AV286" s="15">
        <v>8.888</v>
      </c>
      <c r="AW286" s="15">
        <v>36.5</v>
      </c>
      <c r="AX286" s="15">
        <v>1.5531E7</v>
      </c>
      <c r="AY286" s="14">
        <v>1.1</v>
      </c>
      <c r="AZ286" s="14">
        <v>0.009</v>
      </c>
      <c r="BA286" s="14">
        <v>37.609</v>
      </c>
    </row>
    <row r="287" ht="14.25" customHeight="1">
      <c r="A287" s="10" t="s">
        <v>377</v>
      </c>
      <c r="B287" s="11" t="s">
        <v>95</v>
      </c>
      <c r="C287" s="11"/>
      <c r="D287" s="12"/>
      <c r="E287" s="11">
        <v>43643.0</v>
      </c>
      <c r="F287" s="12">
        <v>1.0</v>
      </c>
      <c r="G287" s="12" t="s">
        <v>308</v>
      </c>
      <c r="H287" s="13">
        <v>0.25</v>
      </c>
      <c r="I287" s="13">
        <v>0.3333333333333333</v>
      </c>
      <c r="J287" s="12"/>
      <c r="K287" s="12"/>
      <c r="L287" s="14">
        <v>6.82</v>
      </c>
      <c r="M287" s="14">
        <v>7.63</v>
      </c>
      <c r="N287" s="14">
        <v>8.23</v>
      </c>
      <c r="O287" s="14">
        <v>7.9</v>
      </c>
      <c r="P287" s="14">
        <v>8.61</v>
      </c>
      <c r="Q287" s="14">
        <v>7.837999999999999</v>
      </c>
      <c r="R287" s="14">
        <v>6.9</v>
      </c>
      <c r="S287" s="14">
        <v>7.11</v>
      </c>
      <c r="T287" s="14">
        <v>7.6</v>
      </c>
      <c r="U287" s="14">
        <v>7.6</v>
      </c>
      <c r="V287" s="14">
        <v>7.68</v>
      </c>
      <c r="W287" s="14">
        <v>7.378</v>
      </c>
      <c r="X287" s="14">
        <v>14.0</v>
      </c>
      <c r="Y287" s="14">
        <v>13.5</v>
      </c>
      <c r="Z287" s="14">
        <v>13.8</v>
      </c>
      <c r="AA287" s="14">
        <v>14.2</v>
      </c>
      <c r="AB287" s="14">
        <v>14.6</v>
      </c>
      <c r="AC287" s="14">
        <v>14.02</v>
      </c>
      <c r="AD287" s="14">
        <v>127.0</v>
      </c>
      <c r="AE287" s="14">
        <v>155.4</v>
      </c>
      <c r="AF287" s="14">
        <v>205.0</v>
      </c>
      <c r="AG287" s="14">
        <v>228.0</v>
      </c>
      <c r="AH287" s="14">
        <v>260.0</v>
      </c>
      <c r="AI287" s="14">
        <v>195.07999999999998</v>
      </c>
      <c r="AJ287" s="14">
        <v>5.21</v>
      </c>
      <c r="AK287" s="14">
        <v>5.52</v>
      </c>
      <c r="AL287" s="14">
        <v>5.32</v>
      </c>
      <c r="AM287" s="14">
        <v>4.94</v>
      </c>
      <c r="AN287" s="14">
        <v>6.24</v>
      </c>
      <c r="AO287" s="14">
        <v>5.446000000000001</v>
      </c>
      <c r="AP287" s="14">
        <v>31.0</v>
      </c>
      <c r="AQ287" s="14">
        <v>106.0</v>
      </c>
      <c r="AR287" s="14">
        <v>35.0</v>
      </c>
      <c r="AS287" s="14">
        <v>10.0</v>
      </c>
      <c r="AT287" s="14">
        <v>0.65</v>
      </c>
      <c r="AU287" s="14">
        <v>1.7329E7</v>
      </c>
      <c r="AV287" s="15">
        <v>1.941</v>
      </c>
      <c r="AW287" s="15">
        <v>19.8</v>
      </c>
      <c r="AX287" s="15">
        <v>9804000.0</v>
      </c>
      <c r="AY287" s="14">
        <v>0.5</v>
      </c>
      <c r="AZ287" s="14">
        <v>0.012</v>
      </c>
      <c r="BA287" s="14">
        <v>20.312</v>
      </c>
    </row>
    <row r="288" ht="14.25" customHeight="1">
      <c r="A288" s="10" t="s">
        <v>378</v>
      </c>
      <c r="B288" s="11" t="s">
        <v>97</v>
      </c>
      <c r="C288" s="11"/>
      <c r="D288" s="12"/>
      <c r="E288" s="11">
        <v>43643.0</v>
      </c>
      <c r="F288" s="12">
        <v>1.0</v>
      </c>
      <c r="G288" s="12" t="s">
        <v>315</v>
      </c>
      <c r="H288" s="13">
        <v>0.3541666666666667</v>
      </c>
      <c r="I288" s="13">
        <v>0.4375</v>
      </c>
      <c r="J288" s="12"/>
      <c r="K288" s="12"/>
      <c r="L288" s="14">
        <v>21.8</v>
      </c>
      <c r="M288" s="14">
        <v>22.68</v>
      </c>
      <c r="N288" s="14">
        <v>15.27</v>
      </c>
      <c r="O288" s="14">
        <v>16.38</v>
      </c>
      <c r="P288" s="14">
        <v>15.73</v>
      </c>
      <c r="Q288" s="14">
        <v>18.372</v>
      </c>
      <c r="R288" s="14">
        <v>7.78</v>
      </c>
      <c r="S288" s="14">
        <v>7.6</v>
      </c>
      <c r="T288" s="14">
        <v>7.81</v>
      </c>
      <c r="U288" s="14">
        <v>7.83</v>
      </c>
      <c r="V288" s="14">
        <v>7.85</v>
      </c>
      <c r="W288" s="14">
        <v>7.773999999999999</v>
      </c>
      <c r="X288" s="14">
        <v>14.7</v>
      </c>
      <c r="Y288" s="14">
        <v>16.8</v>
      </c>
      <c r="Z288" s="14">
        <v>16.4</v>
      </c>
      <c r="AA288" s="14">
        <v>17.2</v>
      </c>
      <c r="AB288" s="14">
        <v>18.0</v>
      </c>
      <c r="AC288" s="14">
        <v>16.619999999999997</v>
      </c>
      <c r="AD288" s="14">
        <v>278.0</v>
      </c>
      <c r="AE288" s="14">
        <v>296.0</v>
      </c>
      <c r="AF288" s="14">
        <v>341.0</v>
      </c>
      <c r="AG288" s="14">
        <v>329.0</v>
      </c>
      <c r="AH288" s="14">
        <v>310.0</v>
      </c>
      <c r="AI288" s="14">
        <v>310.8</v>
      </c>
      <c r="AJ288" s="14">
        <v>2.86</v>
      </c>
      <c r="AK288" s="14">
        <v>2.96</v>
      </c>
      <c r="AL288" s="14">
        <v>2.95</v>
      </c>
      <c r="AM288" s="14">
        <v>2.95</v>
      </c>
      <c r="AN288" s="14">
        <v>2.87</v>
      </c>
      <c r="AO288" s="14">
        <v>2.918</v>
      </c>
      <c r="AP288" s="14">
        <v>60.6</v>
      </c>
      <c r="AQ288" s="14">
        <v>263.0</v>
      </c>
      <c r="AR288" s="14">
        <v>68.0</v>
      </c>
      <c r="AS288" s="14">
        <v>10.0</v>
      </c>
      <c r="AT288" s="14">
        <v>2.04</v>
      </c>
      <c r="AU288" s="14">
        <v>1.904E8</v>
      </c>
      <c r="AV288" s="15">
        <v>2.893</v>
      </c>
      <c r="AW288" s="15">
        <v>24.6</v>
      </c>
      <c r="AX288" s="15">
        <v>1.7329E7</v>
      </c>
      <c r="AY288" s="14">
        <v>0.6</v>
      </c>
      <c r="AZ288" s="14">
        <v>0.01</v>
      </c>
      <c r="BA288" s="14">
        <v>25.21</v>
      </c>
    </row>
    <row r="289" ht="14.25" customHeight="1">
      <c r="A289" s="27" t="s">
        <v>379</v>
      </c>
      <c r="B289" s="28" t="s">
        <v>114</v>
      </c>
      <c r="C289" s="28"/>
      <c r="D289" s="29"/>
      <c r="E289" s="28">
        <v>43644.0</v>
      </c>
      <c r="F289" s="29">
        <v>1.0</v>
      </c>
      <c r="G289" s="29"/>
      <c r="H289" s="30">
        <v>0.25</v>
      </c>
      <c r="I289" s="30">
        <v>0.3333333333333333</v>
      </c>
      <c r="J289" s="29"/>
      <c r="K289" s="29"/>
      <c r="L289" s="31">
        <v>22.57</v>
      </c>
      <c r="M289" s="31">
        <v>25.54</v>
      </c>
      <c r="N289" s="31">
        <v>23.29</v>
      </c>
      <c r="O289" s="31">
        <v>22.29</v>
      </c>
      <c r="P289" s="31">
        <v>24.43</v>
      </c>
      <c r="Q289" s="31">
        <v>23.624000000000002</v>
      </c>
      <c r="R289" s="31">
        <v>6.96</v>
      </c>
      <c r="S289" s="31">
        <v>7.12</v>
      </c>
      <c r="T289" s="31">
        <v>7.25</v>
      </c>
      <c r="U289" s="31">
        <v>7.49</v>
      </c>
      <c r="V289" s="31">
        <v>7.63</v>
      </c>
      <c r="W289" s="31">
        <v>7.290000000000001</v>
      </c>
      <c r="X289" s="31">
        <v>17.2</v>
      </c>
      <c r="Y289" s="31">
        <v>17.3</v>
      </c>
      <c r="Z289" s="31">
        <v>17.4</v>
      </c>
      <c r="AA289" s="31">
        <v>17.8</v>
      </c>
      <c r="AB289" s="31">
        <v>17.9</v>
      </c>
      <c r="AC289" s="31">
        <v>17.52</v>
      </c>
      <c r="AD289" s="31">
        <v>434.0</v>
      </c>
      <c r="AE289" s="31">
        <v>461.0</v>
      </c>
      <c r="AF289" s="31">
        <v>485.0</v>
      </c>
      <c r="AG289" s="31">
        <v>567.0</v>
      </c>
      <c r="AH289" s="31">
        <v>581.0</v>
      </c>
      <c r="AI289" s="31">
        <v>505.6</v>
      </c>
      <c r="AJ289" s="31">
        <v>1.32</v>
      </c>
      <c r="AK289" s="31">
        <v>1.39</v>
      </c>
      <c r="AL289" s="31">
        <v>1.28</v>
      </c>
      <c r="AM289" s="31">
        <v>1.16</v>
      </c>
      <c r="AN289" s="31">
        <v>1.03</v>
      </c>
      <c r="AO289" s="31">
        <v>1.2360000000000002</v>
      </c>
      <c r="AP289" s="31">
        <v>74.4</v>
      </c>
      <c r="AQ289" s="31">
        <v>161.0</v>
      </c>
      <c r="AR289" s="31">
        <v>46.0</v>
      </c>
      <c r="AS289" s="31">
        <v>10.0</v>
      </c>
      <c r="AT289" s="31">
        <v>1.06</v>
      </c>
      <c r="AU289" s="31">
        <v>1.291E8</v>
      </c>
      <c r="AV289" s="26">
        <v>2.293</v>
      </c>
      <c r="AW289" s="26">
        <v>23.7</v>
      </c>
      <c r="AX289" s="26">
        <v>5099000.0</v>
      </c>
      <c r="AY289" s="31">
        <v>0.8</v>
      </c>
      <c r="AZ289" s="31">
        <v>0.012</v>
      </c>
      <c r="BA289" s="31">
        <v>24.512</v>
      </c>
    </row>
    <row r="290" ht="14.25" customHeight="1">
      <c r="A290" s="32" t="s">
        <v>380</v>
      </c>
      <c r="B290" s="33" t="s">
        <v>133</v>
      </c>
      <c r="C290" s="29"/>
      <c r="D290" s="29"/>
      <c r="E290" s="34">
        <v>43536.0</v>
      </c>
      <c r="F290" s="29">
        <v>1.0</v>
      </c>
      <c r="G290" s="33" t="s">
        <v>381</v>
      </c>
      <c r="H290" s="35">
        <v>0.3125</v>
      </c>
      <c r="I290" s="35">
        <v>0.3958333333333333</v>
      </c>
      <c r="J290" s="33">
        <v>4.6</v>
      </c>
      <c r="K290" s="33">
        <v>0.54</v>
      </c>
      <c r="L290" s="36">
        <v>430.5</v>
      </c>
      <c r="M290" s="36">
        <v>418.9</v>
      </c>
      <c r="N290" s="36">
        <v>406.7</v>
      </c>
      <c r="O290" s="36">
        <v>485.2</v>
      </c>
      <c r="P290" s="36">
        <v>468.1</v>
      </c>
      <c r="Q290" s="31">
        <v>441.88</v>
      </c>
      <c r="R290" s="36">
        <v>7.4</v>
      </c>
      <c r="S290" s="36">
        <v>7.3</v>
      </c>
      <c r="T290" s="36">
        <v>7.17</v>
      </c>
      <c r="U290" s="36">
        <v>6.75</v>
      </c>
      <c r="V290" s="36">
        <v>6.68</v>
      </c>
      <c r="W290" s="31">
        <v>7.06</v>
      </c>
      <c r="X290" s="36">
        <v>10.3</v>
      </c>
      <c r="Y290" s="36">
        <v>10.2</v>
      </c>
      <c r="Z290" s="36">
        <v>10.3</v>
      </c>
      <c r="AA290" s="36">
        <v>10.5</v>
      </c>
      <c r="AB290" s="36">
        <v>10.7</v>
      </c>
      <c r="AC290" s="31">
        <v>10.4</v>
      </c>
      <c r="AD290" s="36">
        <v>34.5</v>
      </c>
      <c r="AE290" s="36">
        <v>34.9</v>
      </c>
      <c r="AF290" s="36">
        <v>34.1</v>
      </c>
      <c r="AG290" s="36">
        <v>35.1</v>
      </c>
      <c r="AH290" s="36">
        <v>35.2</v>
      </c>
      <c r="AI290" s="31">
        <v>34.760000000000005</v>
      </c>
      <c r="AJ290" s="36">
        <v>6.87</v>
      </c>
      <c r="AK290" s="36">
        <v>6.97</v>
      </c>
      <c r="AL290" s="36">
        <v>6.86</v>
      </c>
      <c r="AM290" s="36">
        <v>6.05</v>
      </c>
      <c r="AN290" s="36">
        <v>6.16</v>
      </c>
      <c r="AO290" s="31">
        <v>6.581999999999999</v>
      </c>
      <c r="AP290" s="37">
        <v>2.0</v>
      </c>
      <c r="AQ290" s="36">
        <v>25.5</v>
      </c>
      <c r="AR290" s="36">
        <v>7.5</v>
      </c>
      <c r="AS290" s="37">
        <v>10.0</v>
      </c>
      <c r="AT290" s="38">
        <v>0.6</v>
      </c>
      <c r="AU290" s="38">
        <v>9208.0</v>
      </c>
      <c r="AV290" s="37">
        <v>0.06</v>
      </c>
      <c r="AW290" s="36">
        <v>25.4</v>
      </c>
      <c r="AX290" s="38">
        <v>22.0</v>
      </c>
      <c r="AY290" s="38">
        <v>0.61</v>
      </c>
      <c r="AZ290" s="39">
        <v>0.01</v>
      </c>
      <c r="BA290" s="36">
        <v>26.02</v>
      </c>
    </row>
    <row r="291" ht="14.25" customHeight="1">
      <c r="A291" s="32" t="s">
        <v>382</v>
      </c>
      <c r="B291" s="33" t="s">
        <v>131</v>
      </c>
      <c r="C291" s="29"/>
      <c r="D291" s="29"/>
      <c r="E291" s="34">
        <v>43536.0</v>
      </c>
      <c r="F291" s="29">
        <v>1.0</v>
      </c>
      <c r="G291" s="33" t="s">
        <v>383</v>
      </c>
      <c r="H291" s="35">
        <v>0.4166666666666667</v>
      </c>
      <c r="I291" s="35">
        <v>0.5</v>
      </c>
      <c r="J291" s="33">
        <v>3.3</v>
      </c>
      <c r="K291" s="33">
        <v>0.67</v>
      </c>
      <c r="L291" s="36">
        <v>473.6</v>
      </c>
      <c r="M291" s="36">
        <v>467.7</v>
      </c>
      <c r="N291" s="36">
        <v>490.7</v>
      </c>
      <c r="O291" s="36">
        <v>503.8</v>
      </c>
      <c r="P291" s="36">
        <v>457.7</v>
      </c>
      <c r="Q291" s="31">
        <v>478.7</v>
      </c>
      <c r="R291" s="36">
        <v>7.8</v>
      </c>
      <c r="S291" s="36">
        <v>8.54</v>
      </c>
      <c r="T291" s="36">
        <v>9.49</v>
      </c>
      <c r="U291" s="36">
        <v>8.7</v>
      </c>
      <c r="V291" s="36">
        <v>8.43</v>
      </c>
      <c r="W291" s="31">
        <v>8.592</v>
      </c>
      <c r="X291" s="36">
        <v>12.2</v>
      </c>
      <c r="Y291" s="36">
        <v>12.4</v>
      </c>
      <c r="Z291" s="36">
        <v>12.1</v>
      </c>
      <c r="AA291" s="36">
        <v>12.8</v>
      </c>
      <c r="AB291" s="36">
        <v>12.4</v>
      </c>
      <c r="AC291" s="31">
        <v>12.379999999999999</v>
      </c>
      <c r="AD291" s="36">
        <v>66.1</v>
      </c>
      <c r="AE291" s="36">
        <v>70.1</v>
      </c>
      <c r="AF291" s="36">
        <v>68.2</v>
      </c>
      <c r="AG291" s="36">
        <v>68.3</v>
      </c>
      <c r="AH291" s="36">
        <v>69.9</v>
      </c>
      <c r="AI291" s="31">
        <v>68.52000000000001</v>
      </c>
      <c r="AJ291" s="36">
        <v>6.69</v>
      </c>
      <c r="AK291" s="36">
        <v>6.58</v>
      </c>
      <c r="AL291" s="36">
        <v>7.25</v>
      </c>
      <c r="AM291" s="36">
        <v>6.96</v>
      </c>
      <c r="AN291" s="36">
        <v>6.89</v>
      </c>
      <c r="AO291" s="31">
        <v>6.874</v>
      </c>
      <c r="AP291" s="40">
        <v>7.1</v>
      </c>
      <c r="AQ291" s="36">
        <v>17.1</v>
      </c>
      <c r="AR291" s="36">
        <v>13.5</v>
      </c>
      <c r="AS291" s="41">
        <v>10.0</v>
      </c>
      <c r="AT291" s="41">
        <v>0.4</v>
      </c>
      <c r="AU291" s="40">
        <v>763000.0</v>
      </c>
      <c r="AV291" s="40">
        <v>0.57</v>
      </c>
      <c r="AW291" s="36">
        <v>48.9</v>
      </c>
      <c r="AX291" s="40">
        <v>921.0</v>
      </c>
      <c r="AY291" s="41">
        <v>0.5</v>
      </c>
      <c r="AZ291" s="42">
        <v>0.01</v>
      </c>
      <c r="BA291" s="36">
        <v>49.41</v>
      </c>
    </row>
    <row r="292" ht="14.25" customHeight="1">
      <c r="A292" s="32" t="s">
        <v>384</v>
      </c>
      <c r="B292" s="33" t="s">
        <v>135</v>
      </c>
      <c r="C292" s="29"/>
      <c r="D292" s="29"/>
      <c r="E292" s="34">
        <v>43536.0</v>
      </c>
      <c r="F292" s="29">
        <v>1.0</v>
      </c>
      <c r="G292" s="33" t="s">
        <v>385</v>
      </c>
      <c r="H292" s="35">
        <v>0.5208333333333334</v>
      </c>
      <c r="I292" s="35">
        <v>0.6041666666666666</v>
      </c>
      <c r="J292" s="33">
        <v>2.6</v>
      </c>
      <c r="K292" s="33">
        <v>0.54</v>
      </c>
      <c r="L292" s="36">
        <v>838.6</v>
      </c>
      <c r="M292" s="36">
        <v>879.7</v>
      </c>
      <c r="N292" s="36">
        <v>799.1</v>
      </c>
      <c r="O292" s="36">
        <v>830.7</v>
      </c>
      <c r="P292" s="36">
        <v>830.0</v>
      </c>
      <c r="Q292" s="31">
        <v>835.6200000000001</v>
      </c>
      <c r="R292" s="36">
        <v>8.0</v>
      </c>
      <c r="S292" s="36">
        <v>7.89</v>
      </c>
      <c r="T292" s="36">
        <v>7.88</v>
      </c>
      <c r="U292" s="36">
        <v>7.6</v>
      </c>
      <c r="V292" s="36">
        <v>7.61</v>
      </c>
      <c r="W292" s="31">
        <v>7.795999999999999</v>
      </c>
      <c r="X292" s="36">
        <v>14.7</v>
      </c>
      <c r="Y292" s="36">
        <v>14.4</v>
      </c>
      <c r="Z292" s="36">
        <v>14.5</v>
      </c>
      <c r="AA292" s="36">
        <v>14.6</v>
      </c>
      <c r="AB292" s="36">
        <v>14.7</v>
      </c>
      <c r="AC292" s="31">
        <v>14.580000000000002</v>
      </c>
      <c r="AD292" s="36">
        <v>144.5</v>
      </c>
      <c r="AE292" s="36">
        <v>134.0</v>
      </c>
      <c r="AF292" s="36">
        <v>135.0</v>
      </c>
      <c r="AG292" s="36">
        <v>132.1</v>
      </c>
      <c r="AH292" s="36">
        <v>130.1</v>
      </c>
      <c r="AI292" s="31">
        <v>135.14000000000001</v>
      </c>
      <c r="AJ292" s="36">
        <v>6.11</v>
      </c>
      <c r="AK292" s="36">
        <v>6.39</v>
      </c>
      <c r="AL292" s="36">
        <v>6.87</v>
      </c>
      <c r="AM292" s="36">
        <v>5.85</v>
      </c>
      <c r="AN292" s="36">
        <v>6.13</v>
      </c>
      <c r="AO292" s="31">
        <v>6.27</v>
      </c>
      <c r="AP292" s="40">
        <v>23.4</v>
      </c>
      <c r="AQ292" s="36">
        <v>68.7</v>
      </c>
      <c r="AR292" s="36">
        <v>24.7</v>
      </c>
      <c r="AS292" s="41">
        <v>10.0</v>
      </c>
      <c r="AT292" s="40">
        <v>0.62</v>
      </c>
      <c r="AU292" s="40">
        <v>563000.0</v>
      </c>
      <c r="AV292" s="40">
        <v>0.566</v>
      </c>
      <c r="AW292" s="36">
        <v>50.3</v>
      </c>
      <c r="AX292" s="40">
        <v>6130.0</v>
      </c>
      <c r="AY292" s="41">
        <v>0.5</v>
      </c>
      <c r="AZ292" s="43">
        <v>0.23</v>
      </c>
      <c r="BA292" s="36">
        <v>50.53</v>
      </c>
    </row>
    <row r="293" ht="14.25" customHeight="1">
      <c r="A293" s="32" t="s">
        <v>386</v>
      </c>
      <c r="B293" s="33" t="s">
        <v>79</v>
      </c>
      <c r="C293" s="29"/>
      <c r="D293" s="29"/>
      <c r="E293" s="34">
        <v>43536.0</v>
      </c>
      <c r="F293" s="29">
        <v>1.0</v>
      </c>
      <c r="G293" s="33" t="s">
        <v>387</v>
      </c>
      <c r="H293" s="35">
        <v>0.2708333333333333</v>
      </c>
      <c r="I293" s="35">
        <v>0.3541666666666667</v>
      </c>
      <c r="J293" s="33">
        <v>0.65</v>
      </c>
      <c r="K293" s="33">
        <v>0.303</v>
      </c>
      <c r="L293" s="36">
        <v>34.5</v>
      </c>
      <c r="M293" s="36">
        <v>29.4</v>
      </c>
      <c r="N293" s="36">
        <v>32.0</v>
      </c>
      <c r="O293" s="36">
        <v>29.9</v>
      </c>
      <c r="P293" s="36">
        <v>27.0</v>
      </c>
      <c r="Q293" s="31">
        <v>30.560000000000002</v>
      </c>
      <c r="R293" s="36">
        <v>6.9</v>
      </c>
      <c r="S293" s="36">
        <v>6.88</v>
      </c>
      <c r="T293" s="36">
        <v>6.8</v>
      </c>
      <c r="U293" s="36">
        <v>6.81</v>
      </c>
      <c r="V293" s="36">
        <v>6.82</v>
      </c>
      <c r="W293" s="31">
        <v>6.8420000000000005</v>
      </c>
      <c r="X293" s="36">
        <v>10.3</v>
      </c>
      <c r="Y293" s="36">
        <v>10.5</v>
      </c>
      <c r="Z293" s="36">
        <v>10.3</v>
      </c>
      <c r="AA293" s="36">
        <v>10.4</v>
      </c>
      <c r="AB293" s="36">
        <v>10.4</v>
      </c>
      <c r="AC293" s="31">
        <v>10.379999999999999</v>
      </c>
      <c r="AD293" s="36">
        <v>32.2</v>
      </c>
      <c r="AE293" s="36">
        <v>31.1</v>
      </c>
      <c r="AF293" s="36">
        <v>30.5</v>
      </c>
      <c r="AG293" s="36">
        <v>34.2</v>
      </c>
      <c r="AH293" s="36">
        <v>34.8</v>
      </c>
      <c r="AI293" s="31">
        <v>32.56</v>
      </c>
      <c r="AJ293" s="36">
        <v>7.95</v>
      </c>
      <c r="AK293" s="36">
        <v>7.94</v>
      </c>
      <c r="AL293" s="36">
        <v>7.9</v>
      </c>
      <c r="AM293" s="36">
        <v>7.78</v>
      </c>
      <c r="AN293" s="36">
        <v>7.96</v>
      </c>
      <c r="AO293" s="31">
        <v>7.906000000000001</v>
      </c>
      <c r="AP293" s="40">
        <v>12.7</v>
      </c>
      <c r="AQ293" s="36">
        <v>18.6</v>
      </c>
      <c r="AR293" s="36">
        <v>8.0</v>
      </c>
      <c r="AS293" s="41">
        <v>10.0</v>
      </c>
      <c r="AT293" s="41">
        <v>0.4</v>
      </c>
      <c r="AU293" s="40">
        <v>45000.0</v>
      </c>
      <c r="AV293" s="40">
        <v>0.177</v>
      </c>
      <c r="AW293" s="36">
        <v>37.3</v>
      </c>
      <c r="AX293" s="40">
        <v>1550.0</v>
      </c>
      <c r="AY293" s="41">
        <v>0.5</v>
      </c>
      <c r="AZ293" s="43">
        <v>0.051</v>
      </c>
      <c r="BA293" s="36">
        <v>37.85</v>
      </c>
    </row>
    <row r="294" ht="14.25" customHeight="1">
      <c r="A294" s="32" t="s">
        <v>388</v>
      </c>
      <c r="B294" s="33" t="s">
        <v>93</v>
      </c>
      <c r="C294" s="29"/>
      <c r="D294" s="29"/>
      <c r="E294" s="34">
        <v>43536.0</v>
      </c>
      <c r="F294" s="29">
        <v>1.0</v>
      </c>
      <c r="G294" s="33" t="s">
        <v>389</v>
      </c>
      <c r="H294" s="35">
        <v>0.375</v>
      </c>
      <c r="I294" s="35">
        <v>0.4583333333333333</v>
      </c>
      <c r="J294" s="33">
        <v>5.0</v>
      </c>
      <c r="K294" s="33">
        <v>0.129</v>
      </c>
      <c r="L294" s="36">
        <v>242.5</v>
      </c>
      <c r="M294" s="36">
        <v>232.8</v>
      </c>
      <c r="N294" s="36">
        <v>239.0</v>
      </c>
      <c r="O294" s="36">
        <v>172.8</v>
      </c>
      <c r="P294" s="36">
        <v>244.4</v>
      </c>
      <c r="Q294" s="31">
        <v>226.3</v>
      </c>
      <c r="R294" s="36">
        <v>8.08</v>
      </c>
      <c r="S294" s="36">
        <v>8.09</v>
      </c>
      <c r="T294" s="36">
        <v>8.07</v>
      </c>
      <c r="U294" s="36">
        <v>8.1</v>
      </c>
      <c r="V294" s="36">
        <v>8.04</v>
      </c>
      <c r="W294" s="31">
        <v>8.076</v>
      </c>
      <c r="X294" s="36">
        <v>14.8</v>
      </c>
      <c r="Y294" s="36">
        <v>14.3</v>
      </c>
      <c r="Z294" s="36">
        <v>14.5</v>
      </c>
      <c r="AA294" s="36">
        <v>14.5</v>
      </c>
      <c r="AB294" s="36">
        <v>14.5</v>
      </c>
      <c r="AC294" s="31">
        <v>14.52</v>
      </c>
      <c r="AD294" s="36">
        <v>409.0</v>
      </c>
      <c r="AE294" s="36">
        <v>413.0</v>
      </c>
      <c r="AF294" s="36">
        <v>414.0</v>
      </c>
      <c r="AG294" s="36">
        <v>412.0</v>
      </c>
      <c r="AH294" s="36">
        <v>419.0</v>
      </c>
      <c r="AI294" s="31">
        <v>413.4</v>
      </c>
      <c r="AJ294" s="36">
        <v>6.64</v>
      </c>
      <c r="AK294" s="36">
        <v>7.84</v>
      </c>
      <c r="AL294" s="36">
        <v>6.93</v>
      </c>
      <c r="AM294" s="36">
        <v>6.83</v>
      </c>
      <c r="AN294" s="36">
        <v>6.61</v>
      </c>
      <c r="AO294" s="31">
        <v>6.970000000000001</v>
      </c>
      <c r="AP294" s="40">
        <v>111.0</v>
      </c>
      <c r="AQ294" s="36">
        <v>294.0</v>
      </c>
      <c r="AR294" s="36">
        <v>126.0</v>
      </c>
      <c r="AS294" s="40">
        <v>21.3</v>
      </c>
      <c r="AT294" s="40">
        <v>2.4</v>
      </c>
      <c r="AU294" s="40">
        <v>4.71E7</v>
      </c>
      <c r="AV294" s="40">
        <v>3.771</v>
      </c>
      <c r="AW294" s="36">
        <v>65.3</v>
      </c>
      <c r="AX294" s="40">
        <v>921.0</v>
      </c>
      <c r="AY294" s="41">
        <v>0.5</v>
      </c>
      <c r="AZ294" s="42">
        <v>0.01</v>
      </c>
      <c r="BA294" s="36">
        <v>65.31</v>
      </c>
    </row>
    <row r="295" ht="14.25" customHeight="1">
      <c r="A295" s="32" t="s">
        <v>390</v>
      </c>
      <c r="B295" s="33" t="s">
        <v>83</v>
      </c>
      <c r="C295" s="29"/>
      <c r="D295" s="29"/>
      <c r="E295" s="34">
        <v>43536.0</v>
      </c>
      <c r="F295" s="29">
        <v>1.0</v>
      </c>
      <c r="G295" s="33" t="s">
        <v>391</v>
      </c>
      <c r="H295" s="35">
        <v>0.4791666666666667</v>
      </c>
      <c r="I295" s="35">
        <v>0.5625</v>
      </c>
      <c r="J295" s="33">
        <v>6.2</v>
      </c>
      <c r="K295" s="33">
        <v>0.284</v>
      </c>
      <c r="L295" s="36">
        <v>783.3</v>
      </c>
      <c r="M295" s="36">
        <v>788.3</v>
      </c>
      <c r="N295" s="36">
        <v>799.9</v>
      </c>
      <c r="O295" s="36">
        <v>802.6</v>
      </c>
      <c r="P295" s="36">
        <v>788.9</v>
      </c>
      <c r="Q295" s="31">
        <v>792.6</v>
      </c>
      <c r="R295" s="36">
        <v>7.88</v>
      </c>
      <c r="S295" s="36">
        <v>7.93</v>
      </c>
      <c r="T295" s="36">
        <v>7.91</v>
      </c>
      <c r="U295" s="36">
        <v>8.04</v>
      </c>
      <c r="V295" s="36">
        <v>8.01</v>
      </c>
      <c r="W295" s="31">
        <v>7.953999999999999</v>
      </c>
      <c r="X295" s="36">
        <v>16.9</v>
      </c>
      <c r="Y295" s="36">
        <v>16.9</v>
      </c>
      <c r="Z295" s="36">
        <v>17.0</v>
      </c>
      <c r="AA295" s="36">
        <v>16.8</v>
      </c>
      <c r="AB295" s="36">
        <v>16.5</v>
      </c>
      <c r="AC295" s="31">
        <v>16.82</v>
      </c>
      <c r="AD295" s="36">
        <v>459.0</v>
      </c>
      <c r="AE295" s="36">
        <v>457.0</v>
      </c>
      <c r="AF295" s="36">
        <v>457.0</v>
      </c>
      <c r="AG295" s="36">
        <v>479.0</v>
      </c>
      <c r="AH295" s="36">
        <v>476.0</v>
      </c>
      <c r="AI295" s="31">
        <v>465.6</v>
      </c>
      <c r="AJ295" s="36">
        <v>3.65</v>
      </c>
      <c r="AK295" s="36">
        <v>3.65</v>
      </c>
      <c r="AL295" s="36">
        <v>3.6</v>
      </c>
      <c r="AM295" s="36">
        <v>3.52</v>
      </c>
      <c r="AN295" s="36">
        <v>3.53</v>
      </c>
      <c r="AO295" s="31">
        <v>3.59</v>
      </c>
      <c r="AP295" s="40">
        <v>93.3</v>
      </c>
      <c r="AQ295" s="36">
        <v>233.0</v>
      </c>
      <c r="AR295" s="36">
        <v>88.7</v>
      </c>
      <c r="AS295" s="40">
        <v>31.9</v>
      </c>
      <c r="AT295" s="40">
        <v>2.72</v>
      </c>
      <c r="AU295" s="40">
        <v>7.71E7</v>
      </c>
      <c r="AV295" s="40">
        <v>3.226</v>
      </c>
      <c r="AW295" s="36">
        <v>79.6</v>
      </c>
      <c r="AX295" s="40">
        <v>921000.0</v>
      </c>
      <c r="AY295" s="41">
        <v>0.5</v>
      </c>
      <c r="AZ295" s="43">
        <v>0.011</v>
      </c>
      <c r="BA295" s="36">
        <v>80.11</v>
      </c>
    </row>
    <row r="296" ht="14.25" customHeight="1">
      <c r="A296" s="32" t="s">
        <v>392</v>
      </c>
      <c r="B296" s="33" t="s">
        <v>61</v>
      </c>
      <c r="C296" s="29"/>
      <c r="D296" s="29"/>
      <c r="E296" s="34">
        <v>43536.0</v>
      </c>
      <c r="F296" s="29">
        <v>1.0</v>
      </c>
      <c r="G296" s="33" t="s">
        <v>393</v>
      </c>
      <c r="H296" s="35">
        <v>0.625</v>
      </c>
      <c r="I296" s="35">
        <v>0.7083333333333334</v>
      </c>
      <c r="J296" s="33">
        <v>8.5</v>
      </c>
      <c r="K296" s="33">
        <v>0.28</v>
      </c>
      <c r="L296" s="36">
        <v>324.0</v>
      </c>
      <c r="M296" s="36">
        <v>477.5</v>
      </c>
      <c r="N296" s="36">
        <v>431.1</v>
      </c>
      <c r="O296" s="36">
        <v>343.7</v>
      </c>
      <c r="P296" s="31"/>
      <c r="Q296" s="31">
        <v>394.075</v>
      </c>
      <c r="R296" s="36">
        <v>7.83</v>
      </c>
      <c r="S296" s="36">
        <v>7.86</v>
      </c>
      <c r="T296" s="36">
        <v>7.92</v>
      </c>
      <c r="U296" s="36">
        <v>8.0</v>
      </c>
      <c r="V296" s="36">
        <v>7.81</v>
      </c>
      <c r="W296" s="31">
        <v>7.884</v>
      </c>
      <c r="X296" s="36">
        <v>17.6</v>
      </c>
      <c r="Y296" s="36">
        <v>17.8</v>
      </c>
      <c r="Z296" s="36">
        <v>17.7</v>
      </c>
      <c r="AA296" s="36">
        <v>17.1</v>
      </c>
      <c r="AB296" s="36">
        <v>16.3</v>
      </c>
      <c r="AC296" s="31">
        <v>17.300000000000004</v>
      </c>
      <c r="AD296" s="36">
        <v>514.0</v>
      </c>
      <c r="AE296" s="36">
        <v>506.0</v>
      </c>
      <c r="AF296" s="36">
        <v>509.0</v>
      </c>
      <c r="AG296" s="36">
        <v>504.0</v>
      </c>
      <c r="AH296" s="36">
        <v>485.0</v>
      </c>
      <c r="AI296" s="31">
        <v>503.6</v>
      </c>
      <c r="AJ296" s="36">
        <v>0.63</v>
      </c>
      <c r="AK296" s="36">
        <v>0.57</v>
      </c>
      <c r="AL296" s="36">
        <v>0.46</v>
      </c>
      <c r="AM296" s="36">
        <v>0.38</v>
      </c>
      <c r="AN296" s="36">
        <v>0.58</v>
      </c>
      <c r="AO296" s="31">
        <v>0.524</v>
      </c>
      <c r="AP296" s="40">
        <v>104.0</v>
      </c>
      <c r="AQ296" s="36">
        <v>249.0</v>
      </c>
      <c r="AR296" s="36">
        <v>84.0</v>
      </c>
      <c r="AS296" s="40">
        <v>24.1</v>
      </c>
      <c r="AT296" s="40">
        <v>3.29</v>
      </c>
      <c r="AU296" s="40">
        <v>2.4196E8</v>
      </c>
      <c r="AV296" s="40">
        <v>2.66</v>
      </c>
      <c r="AW296" s="36">
        <v>83.1</v>
      </c>
      <c r="AX296" s="40">
        <v>534000.0</v>
      </c>
      <c r="AY296" s="41">
        <v>0.5</v>
      </c>
      <c r="AZ296" s="42">
        <v>0.01</v>
      </c>
      <c r="BA296" s="36">
        <v>83.61</v>
      </c>
    </row>
    <row r="297" ht="14.25" customHeight="1">
      <c r="A297" s="32" t="s">
        <v>394</v>
      </c>
      <c r="B297" s="33" t="s">
        <v>118</v>
      </c>
      <c r="C297" s="29"/>
      <c r="D297" s="29"/>
      <c r="E297" s="34">
        <v>43597.0</v>
      </c>
      <c r="F297" s="29">
        <v>1.0</v>
      </c>
      <c r="G297" s="33" t="s">
        <v>395</v>
      </c>
      <c r="H297" s="35">
        <v>0.25</v>
      </c>
      <c r="I297" s="35">
        <v>0.3333333333333333</v>
      </c>
      <c r="J297" s="33">
        <v>1.5</v>
      </c>
      <c r="K297" s="33">
        <v>0.07</v>
      </c>
      <c r="L297" s="36">
        <v>25.4</v>
      </c>
      <c r="M297" s="36">
        <v>24.2</v>
      </c>
      <c r="N297" s="36">
        <v>26.4</v>
      </c>
      <c r="O297" s="36">
        <v>24.8</v>
      </c>
      <c r="P297" s="36">
        <v>30.2</v>
      </c>
      <c r="Q297" s="31">
        <v>26.2</v>
      </c>
      <c r="R297" s="36">
        <v>7.79</v>
      </c>
      <c r="S297" s="36">
        <v>7.47</v>
      </c>
      <c r="T297" s="36">
        <v>7.47</v>
      </c>
      <c r="U297" s="36">
        <v>7.5</v>
      </c>
      <c r="V297" s="36">
        <v>7.96</v>
      </c>
      <c r="W297" s="31">
        <v>7.638</v>
      </c>
      <c r="X297" s="36">
        <v>13.3</v>
      </c>
      <c r="Y297" s="36">
        <v>14.8</v>
      </c>
      <c r="Z297" s="36">
        <v>15.0</v>
      </c>
      <c r="AA297" s="36">
        <v>15.0</v>
      </c>
      <c r="AB297" s="36">
        <v>14.9</v>
      </c>
      <c r="AC297" s="31">
        <v>14.6</v>
      </c>
      <c r="AD297" s="36">
        <v>174.8</v>
      </c>
      <c r="AE297" s="36">
        <v>179.0</v>
      </c>
      <c r="AF297" s="36">
        <v>191.2</v>
      </c>
      <c r="AG297" s="36">
        <v>204.0</v>
      </c>
      <c r="AH297" s="36">
        <v>188.0</v>
      </c>
      <c r="AI297" s="31">
        <v>187.4</v>
      </c>
      <c r="AJ297" s="36">
        <v>6.35</v>
      </c>
      <c r="AK297" s="36">
        <v>6.27</v>
      </c>
      <c r="AL297" s="36">
        <v>6.13</v>
      </c>
      <c r="AM297" s="36">
        <v>5.86</v>
      </c>
      <c r="AN297" s="36">
        <v>6.22</v>
      </c>
      <c r="AO297" s="31">
        <v>6.1659999999999995</v>
      </c>
      <c r="AP297" s="40">
        <v>11.0</v>
      </c>
      <c r="AQ297" s="36">
        <v>28.2</v>
      </c>
      <c r="AR297" s="36">
        <v>9.3</v>
      </c>
      <c r="AS297" s="41">
        <v>10.0</v>
      </c>
      <c r="AT297" s="41">
        <v>0.4</v>
      </c>
      <c r="AU297" s="40">
        <v>882000.0</v>
      </c>
      <c r="AV297" s="40">
        <v>0.635</v>
      </c>
      <c r="AW297" s="36">
        <v>29.4</v>
      </c>
      <c r="AX297" s="40">
        <v>10500.0</v>
      </c>
      <c r="AY297" s="41">
        <v>0.5</v>
      </c>
      <c r="AZ297" s="42">
        <v>0.01</v>
      </c>
      <c r="BA297" s="36">
        <v>29.91</v>
      </c>
    </row>
    <row r="298" ht="14.25" customHeight="1">
      <c r="A298" s="32" t="s">
        <v>396</v>
      </c>
      <c r="B298" s="33" t="s">
        <v>120</v>
      </c>
      <c r="C298" s="29"/>
      <c r="D298" s="29"/>
      <c r="E298" s="34">
        <v>43597.0</v>
      </c>
      <c r="F298" s="29">
        <v>1.0</v>
      </c>
      <c r="G298" s="33" t="s">
        <v>397</v>
      </c>
      <c r="H298" s="35">
        <v>0.3854166666666667</v>
      </c>
      <c r="I298" s="35">
        <v>0.46875</v>
      </c>
      <c r="J298" s="33">
        <v>4.6</v>
      </c>
      <c r="K298" s="33">
        <v>0.1</v>
      </c>
      <c r="L298" s="36">
        <v>35.5</v>
      </c>
      <c r="M298" s="36">
        <v>37.2</v>
      </c>
      <c r="N298" s="36">
        <v>36.1</v>
      </c>
      <c r="O298" s="36">
        <v>35.8</v>
      </c>
      <c r="P298" s="36">
        <v>40.0</v>
      </c>
      <c r="Q298" s="31">
        <v>36.92</v>
      </c>
      <c r="R298" s="36">
        <v>8.36</v>
      </c>
      <c r="S298" s="36">
        <v>8.51</v>
      </c>
      <c r="T298" s="36">
        <v>8.67</v>
      </c>
      <c r="U298" s="36">
        <v>8.6</v>
      </c>
      <c r="V298" s="36">
        <v>8.51</v>
      </c>
      <c r="W298" s="31">
        <v>8.53</v>
      </c>
      <c r="X298" s="36">
        <v>17.1</v>
      </c>
      <c r="Y298" s="36">
        <v>17.3</v>
      </c>
      <c r="Z298" s="36">
        <v>18.8</v>
      </c>
      <c r="AA298" s="36">
        <v>19.9</v>
      </c>
      <c r="AB298" s="36">
        <v>20.2</v>
      </c>
      <c r="AC298" s="31">
        <v>18.66</v>
      </c>
      <c r="AD298" s="36">
        <v>248.0</v>
      </c>
      <c r="AE298" s="36">
        <v>315.0</v>
      </c>
      <c r="AF298" s="36">
        <v>287.0</v>
      </c>
      <c r="AG298" s="36">
        <v>378.0</v>
      </c>
      <c r="AH298" s="36">
        <v>345.0</v>
      </c>
      <c r="AI298" s="31">
        <v>314.6</v>
      </c>
      <c r="AJ298" s="36">
        <v>6.39</v>
      </c>
      <c r="AK298" s="36">
        <v>6.35</v>
      </c>
      <c r="AL298" s="36">
        <v>6.09</v>
      </c>
      <c r="AM298" s="36">
        <v>5.39</v>
      </c>
      <c r="AN298" s="36">
        <v>5.08</v>
      </c>
      <c r="AO298" s="31">
        <v>5.859999999999999</v>
      </c>
      <c r="AP298" s="40">
        <v>17.9</v>
      </c>
      <c r="AQ298" s="36">
        <v>66.2</v>
      </c>
      <c r="AR298" s="36">
        <v>14.6</v>
      </c>
      <c r="AS298" s="41">
        <v>10.0</v>
      </c>
      <c r="AT298" s="40">
        <v>0.65</v>
      </c>
      <c r="AU298" s="40">
        <v>6.29E7</v>
      </c>
      <c r="AV298" s="40">
        <v>1.909</v>
      </c>
      <c r="AW298" s="36">
        <v>10.1</v>
      </c>
      <c r="AX298" s="40">
        <v>24200.0</v>
      </c>
      <c r="AY298" s="41">
        <v>0.5</v>
      </c>
      <c r="AZ298" s="42">
        <v>0.01</v>
      </c>
      <c r="BA298" s="36">
        <v>10.61</v>
      </c>
    </row>
    <row r="299" ht="14.25" customHeight="1">
      <c r="A299" s="32" t="s">
        <v>398</v>
      </c>
      <c r="B299" s="33" t="s">
        <v>116</v>
      </c>
      <c r="C299" s="29"/>
      <c r="D299" s="29"/>
      <c r="E299" s="34">
        <v>43597.0</v>
      </c>
      <c r="F299" s="29">
        <v>1.0</v>
      </c>
      <c r="G299" s="33" t="s">
        <v>399</v>
      </c>
      <c r="H299" s="35">
        <v>0.53125</v>
      </c>
      <c r="I299" s="35">
        <v>0.6145833333333334</v>
      </c>
      <c r="J299" s="33">
        <v>3.5</v>
      </c>
      <c r="K299" s="33">
        <v>0.08</v>
      </c>
      <c r="L299" s="36">
        <v>42.7</v>
      </c>
      <c r="M299" s="36">
        <v>45.1</v>
      </c>
      <c r="N299" s="36">
        <v>47.4</v>
      </c>
      <c r="O299" s="36">
        <v>46.3</v>
      </c>
      <c r="P299" s="36">
        <v>40.3</v>
      </c>
      <c r="Q299" s="31">
        <v>44.36</v>
      </c>
      <c r="R299" s="36">
        <v>9.09</v>
      </c>
      <c r="S299" s="36">
        <v>9.13</v>
      </c>
      <c r="T299" s="36">
        <v>9.09</v>
      </c>
      <c r="U299" s="36">
        <v>9.18</v>
      </c>
      <c r="V299" s="36">
        <v>9.08</v>
      </c>
      <c r="W299" s="31">
        <v>9.113999999999999</v>
      </c>
      <c r="X299" s="36">
        <v>25.1</v>
      </c>
      <c r="Y299" s="36">
        <v>25.9</v>
      </c>
      <c r="Z299" s="36">
        <v>26.5</v>
      </c>
      <c r="AA299" s="36">
        <v>26.5</v>
      </c>
      <c r="AB299" s="36">
        <v>25.8</v>
      </c>
      <c r="AC299" s="31">
        <v>25.96</v>
      </c>
      <c r="AD299" s="36">
        <v>329.0</v>
      </c>
      <c r="AE299" s="36">
        <v>332.0</v>
      </c>
      <c r="AF299" s="36">
        <v>330.0</v>
      </c>
      <c r="AG299" s="36">
        <v>332.0</v>
      </c>
      <c r="AH299" s="36">
        <v>335.0</v>
      </c>
      <c r="AI299" s="31">
        <v>331.6</v>
      </c>
      <c r="AJ299" s="36">
        <v>8.46</v>
      </c>
      <c r="AK299" s="36">
        <v>8.88</v>
      </c>
      <c r="AL299" s="36">
        <v>9.36</v>
      </c>
      <c r="AM299" s="36">
        <v>8.92</v>
      </c>
      <c r="AN299" s="36">
        <v>9.1</v>
      </c>
      <c r="AO299" s="31">
        <v>8.944</v>
      </c>
      <c r="AP299" s="40">
        <v>10.9</v>
      </c>
      <c r="AQ299" s="36">
        <v>63.6</v>
      </c>
      <c r="AR299" s="36">
        <v>11.0</v>
      </c>
      <c r="AS299" s="41">
        <v>10.0</v>
      </c>
      <c r="AT299" s="40">
        <v>0.79</v>
      </c>
      <c r="AU299" s="40">
        <v>620000.0</v>
      </c>
      <c r="AV299" s="40">
        <v>1.454</v>
      </c>
      <c r="AW299" s="36">
        <v>43.5</v>
      </c>
      <c r="AX299" s="40">
        <v>613.0</v>
      </c>
      <c r="AY299" s="41">
        <v>0.5</v>
      </c>
      <c r="AZ299" s="42">
        <v>0.01</v>
      </c>
      <c r="BA299" s="36">
        <v>44.01</v>
      </c>
    </row>
    <row r="300" ht="14.25" customHeight="1">
      <c r="A300" s="32" t="s">
        <v>400</v>
      </c>
      <c r="B300" s="33" t="s">
        <v>114</v>
      </c>
      <c r="C300" s="29"/>
      <c r="D300" s="29"/>
      <c r="E300" s="34">
        <v>43597.0</v>
      </c>
      <c r="F300" s="29">
        <v>1.0</v>
      </c>
      <c r="G300" s="33" t="s">
        <v>401</v>
      </c>
      <c r="H300" s="35">
        <v>0.25</v>
      </c>
      <c r="I300" s="35">
        <v>0.3333333333333333</v>
      </c>
      <c r="J300" s="33">
        <v>2.8</v>
      </c>
      <c r="K300" s="33">
        <v>0.075</v>
      </c>
      <c r="L300" s="36">
        <v>32.0</v>
      </c>
      <c r="M300" s="36">
        <v>33.3</v>
      </c>
      <c r="N300" s="36">
        <v>34.8</v>
      </c>
      <c r="O300" s="36">
        <v>33.9</v>
      </c>
      <c r="P300" s="36">
        <v>31.8</v>
      </c>
      <c r="Q300" s="31">
        <v>33.160000000000004</v>
      </c>
      <c r="R300" s="36">
        <v>7.21</v>
      </c>
      <c r="S300" s="36">
        <v>7.25</v>
      </c>
      <c r="T300" s="36">
        <v>7.34</v>
      </c>
      <c r="U300" s="36">
        <v>7.57</v>
      </c>
      <c r="V300" s="36">
        <v>7.59</v>
      </c>
      <c r="W300" s="31">
        <v>7.392</v>
      </c>
      <c r="X300" s="36">
        <v>18.7</v>
      </c>
      <c r="Y300" s="36">
        <v>18.7</v>
      </c>
      <c r="Z300" s="36">
        <v>18.8</v>
      </c>
      <c r="AA300" s="36">
        <v>19.4</v>
      </c>
      <c r="AB300" s="36">
        <v>19.5</v>
      </c>
      <c r="AC300" s="31">
        <v>19.02</v>
      </c>
      <c r="AD300" s="36">
        <v>436.0</v>
      </c>
      <c r="AE300" s="36">
        <v>457.0</v>
      </c>
      <c r="AF300" s="36">
        <v>484.0</v>
      </c>
      <c r="AG300" s="36">
        <v>486.0</v>
      </c>
      <c r="AH300" s="36">
        <v>488.0</v>
      </c>
      <c r="AI300" s="31">
        <v>470.2</v>
      </c>
      <c r="AJ300" s="36">
        <v>0.66</v>
      </c>
      <c r="AK300" s="36">
        <v>0.73</v>
      </c>
      <c r="AL300" s="36">
        <v>0.68</v>
      </c>
      <c r="AM300" s="36">
        <v>0.72</v>
      </c>
      <c r="AN300" s="36">
        <v>0.75</v>
      </c>
      <c r="AO300" s="31">
        <v>0.708</v>
      </c>
      <c r="AP300" s="40">
        <v>37.9</v>
      </c>
      <c r="AQ300" s="36">
        <v>74.9</v>
      </c>
      <c r="AR300" s="36">
        <v>48.3</v>
      </c>
      <c r="AS300" s="40">
        <v>14.0</v>
      </c>
      <c r="AT300" s="40">
        <v>0.79</v>
      </c>
      <c r="AU300" s="40">
        <v>5.2E7</v>
      </c>
      <c r="AV300" s="40">
        <v>2.306</v>
      </c>
      <c r="AW300" s="36">
        <v>27.4</v>
      </c>
      <c r="AX300" s="40">
        <v>155000.0</v>
      </c>
      <c r="AY300" s="41">
        <v>0.5</v>
      </c>
      <c r="AZ300" s="42">
        <v>0.01</v>
      </c>
      <c r="BA300" s="36">
        <v>27.91</v>
      </c>
    </row>
    <row r="301" ht="14.25" customHeight="1">
      <c r="A301" s="32" t="s">
        <v>402</v>
      </c>
      <c r="B301" s="33" t="s">
        <v>89</v>
      </c>
      <c r="C301" s="29"/>
      <c r="D301" s="29"/>
      <c r="E301" s="34">
        <v>43597.0</v>
      </c>
      <c r="F301" s="29">
        <v>1.0</v>
      </c>
      <c r="G301" s="33" t="s">
        <v>403</v>
      </c>
      <c r="H301" s="35">
        <v>0.3854166666666667</v>
      </c>
      <c r="I301" s="35">
        <v>0.46875</v>
      </c>
      <c r="J301" s="33">
        <v>4.8</v>
      </c>
      <c r="K301" s="33">
        <v>0.118</v>
      </c>
      <c r="L301" s="36">
        <v>227.8</v>
      </c>
      <c r="M301" s="36">
        <v>159.1</v>
      </c>
      <c r="N301" s="36">
        <v>111.2</v>
      </c>
      <c r="O301" s="36">
        <v>69.8</v>
      </c>
      <c r="P301" s="36">
        <v>67.0</v>
      </c>
      <c r="Q301" s="31">
        <v>126.97999999999999</v>
      </c>
      <c r="R301" s="36">
        <v>7.55</v>
      </c>
      <c r="S301" s="36">
        <v>7.53</v>
      </c>
      <c r="T301" s="36">
        <v>8.35</v>
      </c>
      <c r="U301" s="36">
        <v>8.22</v>
      </c>
      <c r="V301" s="36">
        <v>8.08</v>
      </c>
      <c r="W301" s="31">
        <v>7.946</v>
      </c>
      <c r="X301" s="36">
        <v>18.6</v>
      </c>
      <c r="Y301" s="36">
        <v>18.8</v>
      </c>
      <c r="Z301" s="36">
        <v>19.3</v>
      </c>
      <c r="AA301" s="36">
        <v>20.5</v>
      </c>
      <c r="AB301" s="36">
        <v>21.7</v>
      </c>
      <c r="AC301" s="31">
        <v>19.78</v>
      </c>
      <c r="AD301" s="36">
        <v>510.0</v>
      </c>
      <c r="AE301" s="36">
        <v>513.0</v>
      </c>
      <c r="AF301" s="36">
        <v>526.0</v>
      </c>
      <c r="AG301" s="36">
        <v>539.0</v>
      </c>
      <c r="AH301" s="36">
        <v>551.0</v>
      </c>
      <c r="AI301" s="31">
        <v>527.8</v>
      </c>
      <c r="AJ301" s="36">
        <v>0.5</v>
      </c>
      <c r="AK301" s="36">
        <v>0.58</v>
      </c>
      <c r="AL301" s="36">
        <v>0.99</v>
      </c>
      <c r="AM301" s="36">
        <v>1.08</v>
      </c>
      <c r="AN301" s="36">
        <v>1.15</v>
      </c>
      <c r="AO301" s="31">
        <v>0.8600000000000001</v>
      </c>
      <c r="AP301" s="40">
        <v>37.9</v>
      </c>
      <c r="AQ301" s="36">
        <v>314.0</v>
      </c>
      <c r="AR301" s="36">
        <v>350.0</v>
      </c>
      <c r="AS301" s="40">
        <v>10.4</v>
      </c>
      <c r="AT301" s="40">
        <v>1.29</v>
      </c>
      <c r="AU301" s="40">
        <v>4.106E8</v>
      </c>
      <c r="AV301" s="40">
        <v>2.302</v>
      </c>
      <c r="AW301" s="36">
        <v>12.9</v>
      </c>
      <c r="AX301" s="40">
        <v>242000.0</v>
      </c>
      <c r="AY301" s="41">
        <v>0.5</v>
      </c>
      <c r="AZ301" s="42">
        <v>0.01</v>
      </c>
      <c r="BA301" s="36">
        <v>13.41</v>
      </c>
    </row>
    <row r="302" ht="14.25" customHeight="1">
      <c r="A302" s="32" t="s">
        <v>404</v>
      </c>
      <c r="B302" s="33" t="s">
        <v>67</v>
      </c>
      <c r="C302" s="29"/>
      <c r="D302" s="29"/>
      <c r="E302" s="34">
        <v>43597.0</v>
      </c>
      <c r="F302" s="29">
        <v>1.0</v>
      </c>
      <c r="G302" s="33" t="s">
        <v>405</v>
      </c>
      <c r="H302" s="35">
        <v>0.25</v>
      </c>
      <c r="I302" s="35">
        <v>0.3333333333333333</v>
      </c>
      <c r="J302" s="33">
        <v>1.95</v>
      </c>
      <c r="K302" s="33">
        <v>0.129</v>
      </c>
      <c r="L302" s="36">
        <v>110.1</v>
      </c>
      <c r="M302" s="36">
        <v>104.4</v>
      </c>
      <c r="N302" s="36">
        <v>125.6</v>
      </c>
      <c r="O302" s="36">
        <v>119.4</v>
      </c>
      <c r="P302" s="36">
        <v>103.7</v>
      </c>
      <c r="Q302" s="31">
        <v>112.64000000000001</v>
      </c>
      <c r="R302" s="36">
        <v>7.76</v>
      </c>
      <c r="S302" s="36">
        <v>7.8</v>
      </c>
      <c r="T302" s="36">
        <v>7.78</v>
      </c>
      <c r="U302" s="36">
        <v>7.82</v>
      </c>
      <c r="V302" s="36">
        <v>7.62</v>
      </c>
      <c r="W302" s="31">
        <v>7.756</v>
      </c>
      <c r="X302" s="36">
        <v>11.7</v>
      </c>
      <c r="Y302" s="36">
        <v>11.6</v>
      </c>
      <c r="Z302" s="36">
        <v>11.6</v>
      </c>
      <c r="AA302" s="36">
        <v>11.7</v>
      </c>
      <c r="AB302" s="36">
        <v>11.6</v>
      </c>
      <c r="AC302" s="31">
        <v>11.639999999999999</v>
      </c>
      <c r="AD302" s="36">
        <v>226.0</v>
      </c>
      <c r="AE302" s="36">
        <v>224.0</v>
      </c>
      <c r="AF302" s="36">
        <v>210.0</v>
      </c>
      <c r="AG302" s="36">
        <v>216.0</v>
      </c>
      <c r="AH302" s="36">
        <v>207.0</v>
      </c>
      <c r="AI302" s="31">
        <v>216.6</v>
      </c>
      <c r="AJ302" s="36">
        <v>7.23</v>
      </c>
      <c r="AK302" s="36">
        <v>7.43</v>
      </c>
      <c r="AL302" s="36">
        <v>7.15</v>
      </c>
      <c r="AM302" s="36">
        <v>7.21</v>
      </c>
      <c r="AN302" s="36">
        <v>7.26</v>
      </c>
      <c r="AO302" s="31">
        <v>7.256</v>
      </c>
      <c r="AP302" s="41">
        <v>2.0</v>
      </c>
      <c r="AQ302" s="36">
        <v>29.6</v>
      </c>
      <c r="AR302" s="36">
        <v>9.0</v>
      </c>
      <c r="AS302" s="41">
        <v>10.0</v>
      </c>
      <c r="AT302" s="40">
        <v>0.44</v>
      </c>
      <c r="AU302" s="40">
        <v>1211000.0</v>
      </c>
      <c r="AV302" s="40">
        <v>0.898</v>
      </c>
      <c r="AW302" s="36">
        <v>21.8</v>
      </c>
      <c r="AX302" s="40">
        <v>365.0</v>
      </c>
      <c r="AY302" s="41">
        <v>0.5</v>
      </c>
      <c r="AZ302" s="43">
        <v>0.259</v>
      </c>
      <c r="BA302" s="36">
        <v>22.559</v>
      </c>
    </row>
    <row r="303" ht="14.25" customHeight="1">
      <c r="A303" s="32" t="s">
        <v>406</v>
      </c>
      <c r="B303" s="33" t="s">
        <v>77</v>
      </c>
      <c r="C303" s="29"/>
      <c r="D303" s="29"/>
      <c r="E303" s="34">
        <v>43597.0</v>
      </c>
      <c r="F303" s="29">
        <v>1.0</v>
      </c>
      <c r="G303" s="33" t="s">
        <v>407</v>
      </c>
      <c r="H303" s="35">
        <v>0.3854166666666667</v>
      </c>
      <c r="I303" s="35">
        <v>0.46875</v>
      </c>
      <c r="J303" s="33">
        <v>3.0</v>
      </c>
      <c r="K303" s="33">
        <v>0.142</v>
      </c>
      <c r="L303" s="36">
        <v>339.9</v>
      </c>
      <c r="M303" s="36">
        <v>337.4</v>
      </c>
      <c r="N303" s="36">
        <v>367.5</v>
      </c>
      <c r="O303" s="36">
        <v>362.5</v>
      </c>
      <c r="P303" s="36">
        <v>432.2</v>
      </c>
      <c r="Q303" s="31">
        <v>367.9</v>
      </c>
      <c r="R303" s="36">
        <v>7.26</v>
      </c>
      <c r="S303" s="36">
        <v>7.39</v>
      </c>
      <c r="T303" s="36">
        <v>7.43</v>
      </c>
      <c r="U303" s="36">
        <v>7.35</v>
      </c>
      <c r="V303" s="36">
        <v>7.21</v>
      </c>
      <c r="W303" s="31">
        <v>7.328</v>
      </c>
      <c r="X303" s="36">
        <v>15.9</v>
      </c>
      <c r="Y303" s="36">
        <v>15.9</v>
      </c>
      <c r="Z303" s="36">
        <v>15.6</v>
      </c>
      <c r="AA303" s="36">
        <v>16.7</v>
      </c>
      <c r="AB303" s="36">
        <v>17.2</v>
      </c>
      <c r="AC303" s="31">
        <v>16.259999999999998</v>
      </c>
      <c r="AD303" s="36">
        <v>294.0</v>
      </c>
      <c r="AE303" s="36">
        <v>233.0</v>
      </c>
      <c r="AF303" s="36">
        <v>244.0</v>
      </c>
      <c r="AG303" s="36">
        <v>241.0</v>
      </c>
      <c r="AH303" s="36">
        <v>236.0</v>
      </c>
      <c r="AI303" s="31">
        <v>249.6</v>
      </c>
      <c r="AJ303" s="36">
        <v>2.88</v>
      </c>
      <c r="AK303" s="36">
        <v>2.88</v>
      </c>
      <c r="AL303" s="36">
        <v>2.56</v>
      </c>
      <c r="AM303" s="36">
        <v>2.68</v>
      </c>
      <c r="AN303" s="36">
        <v>2.89</v>
      </c>
      <c r="AO303" s="31">
        <v>2.778</v>
      </c>
      <c r="AP303" s="40">
        <v>24.0</v>
      </c>
      <c r="AQ303" s="36">
        <v>69.8</v>
      </c>
      <c r="AR303" s="36">
        <v>25.5</v>
      </c>
      <c r="AS303" s="41">
        <v>10.0</v>
      </c>
      <c r="AT303" s="40">
        <v>0.58</v>
      </c>
      <c r="AU303" s="40">
        <v>6.16E7</v>
      </c>
      <c r="AV303" s="40">
        <v>1.33</v>
      </c>
      <c r="AW303" s="36">
        <v>46.2</v>
      </c>
      <c r="AX303" s="40">
        <v>921000.0</v>
      </c>
      <c r="AY303" s="41">
        <v>0.5</v>
      </c>
      <c r="AZ303" s="42">
        <v>0.01</v>
      </c>
      <c r="BA303" s="36">
        <v>46.71</v>
      </c>
    </row>
    <row r="304" ht="14.25" customHeight="1">
      <c r="A304" s="32" t="s">
        <v>408</v>
      </c>
      <c r="B304" s="33" t="s">
        <v>65</v>
      </c>
      <c r="C304" s="29"/>
      <c r="D304" s="29"/>
      <c r="E304" s="34">
        <v>43597.0</v>
      </c>
      <c r="F304" s="29">
        <v>1.0</v>
      </c>
      <c r="G304" s="33" t="s">
        <v>409</v>
      </c>
      <c r="H304" s="35">
        <v>0.5104166666666666</v>
      </c>
      <c r="I304" s="35">
        <v>0.59375</v>
      </c>
      <c r="J304" s="33">
        <v>6.5</v>
      </c>
      <c r="K304" s="33">
        <v>0.198</v>
      </c>
      <c r="L304" s="36">
        <v>310.2</v>
      </c>
      <c r="M304" s="36">
        <v>314.1</v>
      </c>
      <c r="N304" s="36">
        <v>282.7</v>
      </c>
      <c r="O304" s="36">
        <v>258.2</v>
      </c>
      <c r="P304" s="36">
        <v>279.8</v>
      </c>
      <c r="Q304" s="31">
        <v>289.0</v>
      </c>
      <c r="R304" s="36">
        <v>7.72</v>
      </c>
      <c r="S304" s="36">
        <v>7.63</v>
      </c>
      <c r="T304" s="36">
        <v>7.64</v>
      </c>
      <c r="U304" s="36">
        <v>7.62</v>
      </c>
      <c r="V304" s="36">
        <v>7.64</v>
      </c>
      <c r="W304" s="31">
        <v>7.65</v>
      </c>
      <c r="X304" s="36">
        <v>20.6</v>
      </c>
      <c r="Y304" s="36">
        <v>19.9</v>
      </c>
      <c r="Z304" s="36">
        <v>19.8</v>
      </c>
      <c r="AA304" s="36">
        <v>20.2</v>
      </c>
      <c r="AB304" s="36">
        <v>20.0</v>
      </c>
      <c r="AC304" s="31">
        <v>20.1</v>
      </c>
      <c r="AD304" s="36">
        <v>309.0</v>
      </c>
      <c r="AE304" s="36">
        <v>312.0</v>
      </c>
      <c r="AF304" s="36">
        <v>316.0</v>
      </c>
      <c r="AG304" s="36">
        <v>331.0</v>
      </c>
      <c r="AH304" s="36">
        <v>345.0</v>
      </c>
      <c r="AI304" s="31">
        <v>322.6</v>
      </c>
      <c r="AJ304" s="36">
        <v>1.28</v>
      </c>
      <c r="AK304" s="36">
        <v>2.21</v>
      </c>
      <c r="AL304" s="36">
        <v>2.11</v>
      </c>
      <c r="AM304" s="36">
        <v>2.16</v>
      </c>
      <c r="AN304" s="36">
        <v>2.11</v>
      </c>
      <c r="AO304" s="31">
        <v>1.9739999999999998</v>
      </c>
      <c r="AP304" s="40">
        <v>41.2</v>
      </c>
      <c r="AQ304" s="36">
        <v>156.0</v>
      </c>
      <c r="AR304" s="36">
        <v>144.0</v>
      </c>
      <c r="AS304" s="40">
        <v>11.6</v>
      </c>
      <c r="AT304" s="40">
        <v>1.54</v>
      </c>
      <c r="AU304" s="40">
        <v>2.4196E8</v>
      </c>
      <c r="AV304" s="40">
        <v>1.909</v>
      </c>
      <c r="AW304" s="36">
        <v>27.3</v>
      </c>
      <c r="AX304" s="40">
        <v>240000.0</v>
      </c>
      <c r="AY304" s="41">
        <v>0.5</v>
      </c>
      <c r="AZ304" s="42">
        <v>0.01</v>
      </c>
      <c r="BA304" s="36">
        <v>27.81</v>
      </c>
    </row>
    <row r="305" ht="14.25" customHeight="1">
      <c r="A305" s="32" t="s">
        <v>410</v>
      </c>
      <c r="B305" s="33" t="s">
        <v>129</v>
      </c>
      <c r="C305" s="29"/>
      <c r="D305" s="29"/>
      <c r="E305" s="34">
        <v>43628.0</v>
      </c>
      <c r="F305" s="29">
        <v>1.0</v>
      </c>
      <c r="G305" s="33" t="s">
        <v>411</v>
      </c>
      <c r="H305" s="35">
        <v>0.3194444444444444</v>
      </c>
      <c r="I305" s="35">
        <v>0.4027777777777778</v>
      </c>
      <c r="J305" s="33">
        <v>3.6</v>
      </c>
      <c r="K305" s="33">
        <v>0.09</v>
      </c>
      <c r="L305" s="36">
        <v>41.1</v>
      </c>
      <c r="M305" s="36">
        <v>37.9</v>
      </c>
      <c r="N305" s="36">
        <v>37.8</v>
      </c>
      <c r="O305" s="36">
        <v>35.6</v>
      </c>
      <c r="P305" s="36">
        <v>38.3</v>
      </c>
      <c r="Q305" s="31">
        <v>38.14</v>
      </c>
      <c r="R305" s="36">
        <v>7.88</v>
      </c>
      <c r="S305" s="36">
        <v>8.02</v>
      </c>
      <c r="T305" s="36">
        <v>8.21</v>
      </c>
      <c r="U305" s="36">
        <v>8.44</v>
      </c>
      <c r="V305" s="36">
        <v>8.59</v>
      </c>
      <c r="W305" s="31">
        <v>8.228</v>
      </c>
      <c r="X305" s="36">
        <v>15.1</v>
      </c>
      <c r="Y305" s="36">
        <v>15.7</v>
      </c>
      <c r="Z305" s="36">
        <v>17.3</v>
      </c>
      <c r="AA305" s="36">
        <v>18.1</v>
      </c>
      <c r="AB305" s="36">
        <v>19.4</v>
      </c>
      <c r="AC305" s="31">
        <v>17.119999999999997</v>
      </c>
      <c r="AD305" s="36">
        <v>288.0</v>
      </c>
      <c r="AE305" s="36">
        <v>284.0</v>
      </c>
      <c r="AF305" s="36">
        <v>277.0</v>
      </c>
      <c r="AG305" s="36">
        <v>273.0</v>
      </c>
      <c r="AH305" s="36">
        <v>276.0</v>
      </c>
      <c r="AI305" s="31">
        <v>279.6</v>
      </c>
      <c r="AJ305" s="36">
        <v>8.23</v>
      </c>
      <c r="AK305" s="36">
        <v>9.34</v>
      </c>
      <c r="AL305" s="36">
        <v>9.5</v>
      </c>
      <c r="AM305" s="36">
        <v>9.88</v>
      </c>
      <c r="AN305" s="36">
        <v>9.79</v>
      </c>
      <c r="AO305" s="31">
        <v>9.348</v>
      </c>
      <c r="AP305" s="40">
        <v>6.1</v>
      </c>
      <c r="AQ305" s="36">
        <v>29.4</v>
      </c>
      <c r="AR305" s="36">
        <v>5.0</v>
      </c>
      <c r="AS305" s="41">
        <v>10.0</v>
      </c>
      <c r="AT305" s="40">
        <v>0.61</v>
      </c>
      <c r="AU305" s="40">
        <v>75000.0</v>
      </c>
      <c r="AV305" s="40">
        <v>0.801</v>
      </c>
      <c r="AW305" s="36">
        <v>55.1</v>
      </c>
      <c r="AX305" s="40">
        <v>130.0</v>
      </c>
      <c r="AY305" s="40">
        <v>0.66</v>
      </c>
      <c r="AZ305" s="43">
        <v>0.141</v>
      </c>
      <c r="BA305" s="36">
        <v>55.902</v>
      </c>
    </row>
    <row r="306" ht="14.25" customHeight="1">
      <c r="A306" s="32" t="s">
        <v>412</v>
      </c>
      <c r="B306" s="33" t="s">
        <v>70</v>
      </c>
      <c r="C306" s="29"/>
      <c r="D306" s="29"/>
      <c r="E306" s="34">
        <v>43628.0</v>
      </c>
      <c r="F306" s="29">
        <v>1.0</v>
      </c>
      <c r="G306" s="33" t="s">
        <v>413</v>
      </c>
      <c r="H306" s="35">
        <v>0.4166666666666667</v>
      </c>
      <c r="I306" s="35">
        <v>0.5</v>
      </c>
      <c r="J306" s="33">
        <v>6.8</v>
      </c>
      <c r="K306" s="33">
        <v>0.165</v>
      </c>
      <c r="L306" s="36">
        <v>322.3</v>
      </c>
      <c r="M306" s="36">
        <v>332.1</v>
      </c>
      <c r="N306" s="36">
        <v>317.1</v>
      </c>
      <c r="O306" s="36">
        <v>323.5</v>
      </c>
      <c r="P306" s="36">
        <v>326.3</v>
      </c>
      <c r="Q306" s="31">
        <v>324.26</v>
      </c>
      <c r="R306" s="36">
        <v>7.79</v>
      </c>
      <c r="S306" s="36">
        <v>7.81</v>
      </c>
      <c r="T306" s="36">
        <v>7.87</v>
      </c>
      <c r="U306" s="36">
        <v>7.94</v>
      </c>
      <c r="V306" s="36">
        <v>7.81</v>
      </c>
      <c r="W306" s="31">
        <v>7.843999999999999</v>
      </c>
      <c r="X306" s="36">
        <v>19.2</v>
      </c>
      <c r="Y306" s="36">
        <v>19.7</v>
      </c>
      <c r="Z306" s="36">
        <v>20.6</v>
      </c>
      <c r="AA306" s="36">
        <v>21.0</v>
      </c>
      <c r="AB306" s="36">
        <v>21.0</v>
      </c>
      <c r="AC306" s="31">
        <v>20.3</v>
      </c>
      <c r="AD306" s="36">
        <v>357.0</v>
      </c>
      <c r="AE306" s="36">
        <v>353.0</v>
      </c>
      <c r="AF306" s="36">
        <v>348.0</v>
      </c>
      <c r="AG306" s="36">
        <v>359.0</v>
      </c>
      <c r="AH306" s="36">
        <v>352.0</v>
      </c>
      <c r="AI306" s="31">
        <v>353.8</v>
      </c>
      <c r="AJ306" s="36">
        <v>0.2</v>
      </c>
      <c r="AK306" s="36">
        <v>0.26</v>
      </c>
      <c r="AL306" s="36">
        <v>0.43</v>
      </c>
      <c r="AM306" s="36">
        <v>0.24</v>
      </c>
      <c r="AN306" s="36">
        <v>0.27</v>
      </c>
      <c r="AO306" s="31">
        <v>0.27999999999999997</v>
      </c>
      <c r="AP306" s="40">
        <v>90.0</v>
      </c>
      <c r="AQ306" s="36">
        <v>160.0</v>
      </c>
      <c r="AR306" s="36">
        <v>100.0</v>
      </c>
      <c r="AS306" s="41">
        <v>10.0</v>
      </c>
      <c r="AT306" s="40">
        <v>1.75</v>
      </c>
      <c r="AU306" s="40">
        <v>4.611E7</v>
      </c>
      <c r="AV306" s="40">
        <v>2.836</v>
      </c>
      <c r="AW306" s="36">
        <v>61.3</v>
      </c>
      <c r="AX306" s="40">
        <v>92100.0</v>
      </c>
      <c r="AY306" s="41">
        <v>0.5</v>
      </c>
      <c r="AZ306" s="42">
        <v>0.01</v>
      </c>
      <c r="BA306" s="36">
        <v>61.81</v>
      </c>
    </row>
    <row r="307" ht="14.25" customHeight="1">
      <c r="A307" s="32" t="s">
        <v>414</v>
      </c>
      <c r="B307" s="33" t="s">
        <v>81</v>
      </c>
      <c r="C307" s="29"/>
      <c r="D307" s="29"/>
      <c r="E307" s="34">
        <v>43628.0</v>
      </c>
      <c r="F307" s="29">
        <v>1.0</v>
      </c>
      <c r="G307" s="33" t="s">
        <v>415</v>
      </c>
      <c r="H307" s="35">
        <v>0.2708333333333333</v>
      </c>
      <c r="I307" s="35">
        <v>0.3541666666666667</v>
      </c>
      <c r="J307" s="33">
        <v>3.5</v>
      </c>
      <c r="K307" s="33">
        <v>0.114</v>
      </c>
      <c r="L307" s="36">
        <v>80.6</v>
      </c>
      <c r="M307" s="36">
        <v>81.6</v>
      </c>
      <c r="N307" s="36">
        <v>116.9</v>
      </c>
      <c r="O307" s="36">
        <v>119.1</v>
      </c>
      <c r="P307" s="36">
        <v>111.7</v>
      </c>
      <c r="Q307" s="31">
        <v>101.98</v>
      </c>
      <c r="R307" s="36">
        <v>7.45</v>
      </c>
      <c r="S307" s="36">
        <v>7.49</v>
      </c>
      <c r="T307" s="36">
        <v>7.42</v>
      </c>
      <c r="U307" s="36">
        <v>7.44</v>
      </c>
      <c r="V307" s="36">
        <v>7.39</v>
      </c>
      <c r="W307" s="31">
        <v>7.438</v>
      </c>
      <c r="X307" s="36">
        <v>14.5</v>
      </c>
      <c r="Y307" s="36">
        <v>14.6</v>
      </c>
      <c r="Z307" s="36">
        <v>14.7</v>
      </c>
      <c r="AA307" s="36">
        <v>14.8</v>
      </c>
      <c r="AB307" s="36">
        <v>14.9</v>
      </c>
      <c r="AC307" s="31">
        <v>14.7</v>
      </c>
      <c r="AD307" s="36">
        <v>449.0</v>
      </c>
      <c r="AE307" s="36">
        <v>449.0</v>
      </c>
      <c r="AF307" s="36">
        <v>436.0</v>
      </c>
      <c r="AG307" s="36">
        <v>427.0</v>
      </c>
      <c r="AH307" s="36">
        <v>431.0</v>
      </c>
      <c r="AI307" s="31">
        <v>438.4</v>
      </c>
      <c r="AJ307" s="36">
        <v>1.72</v>
      </c>
      <c r="AK307" s="36">
        <v>1.45</v>
      </c>
      <c r="AL307" s="36">
        <v>1.39</v>
      </c>
      <c r="AM307" s="36">
        <v>1.47</v>
      </c>
      <c r="AN307" s="36">
        <v>1.32</v>
      </c>
      <c r="AO307" s="31">
        <v>1.47</v>
      </c>
      <c r="AP307" s="40">
        <v>21.2</v>
      </c>
      <c r="AQ307" s="36">
        <v>54.8</v>
      </c>
      <c r="AR307" s="36">
        <v>22.0</v>
      </c>
      <c r="AS307" s="41">
        <v>10.0</v>
      </c>
      <c r="AT307" s="40">
        <v>0.87</v>
      </c>
      <c r="AU307" s="40">
        <v>3.79E7</v>
      </c>
      <c r="AV307" s="40">
        <v>1.147</v>
      </c>
      <c r="AW307" s="36">
        <v>28.3</v>
      </c>
      <c r="AX307" s="40">
        <v>914.0</v>
      </c>
      <c r="AY307" s="41">
        <v>0.5</v>
      </c>
      <c r="AZ307" s="42">
        <v>0.01</v>
      </c>
      <c r="BA307" s="36">
        <v>28.81</v>
      </c>
    </row>
    <row r="308" ht="14.25" customHeight="1">
      <c r="A308" s="32" t="s">
        <v>416</v>
      </c>
      <c r="B308" s="33" t="s">
        <v>91</v>
      </c>
      <c r="C308" s="29"/>
      <c r="D308" s="29"/>
      <c r="E308" s="34">
        <v>43628.0</v>
      </c>
      <c r="F308" s="29">
        <v>1.0</v>
      </c>
      <c r="G308" s="33" t="s">
        <v>417</v>
      </c>
      <c r="H308" s="35">
        <v>0.4583333333333333</v>
      </c>
      <c r="I308" s="35">
        <v>0.5416666666666666</v>
      </c>
      <c r="J308" s="33">
        <v>6.1</v>
      </c>
      <c r="K308" s="33">
        <v>0.478</v>
      </c>
      <c r="L308" s="36">
        <v>453.3</v>
      </c>
      <c r="M308" s="36">
        <v>423.0</v>
      </c>
      <c r="N308" s="36">
        <v>456.5</v>
      </c>
      <c r="O308" s="36">
        <v>439.8</v>
      </c>
      <c r="P308" s="36">
        <v>460.4</v>
      </c>
      <c r="Q308" s="31">
        <v>446.6</v>
      </c>
      <c r="R308" s="36">
        <v>8.19</v>
      </c>
      <c r="S308" s="36">
        <v>8.57</v>
      </c>
      <c r="T308" s="36">
        <v>8.36</v>
      </c>
      <c r="U308" s="36">
        <v>7.97</v>
      </c>
      <c r="V308" s="36">
        <v>7.54</v>
      </c>
      <c r="W308" s="31">
        <v>8.126</v>
      </c>
      <c r="X308" s="36">
        <v>15.6</v>
      </c>
      <c r="Y308" s="36">
        <v>15.7</v>
      </c>
      <c r="Z308" s="36">
        <v>15.8</v>
      </c>
      <c r="AA308" s="36">
        <v>15.8</v>
      </c>
      <c r="AB308" s="36">
        <v>15.9</v>
      </c>
      <c r="AC308" s="31">
        <v>15.76</v>
      </c>
      <c r="AD308" s="36">
        <v>473.0</v>
      </c>
      <c r="AE308" s="36">
        <v>472.0</v>
      </c>
      <c r="AF308" s="36">
        <v>465.0</v>
      </c>
      <c r="AG308" s="36">
        <v>459.0</v>
      </c>
      <c r="AH308" s="36">
        <v>455.0</v>
      </c>
      <c r="AI308" s="31">
        <v>464.8</v>
      </c>
      <c r="AJ308" s="36">
        <v>4.1</v>
      </c>
      <c r="AK308" s="36">
        <v>3.7</v>
      </c>
      <c r="AL308" s="36">
        <v>2.9</v>
      </c>
      <c r="AM308" s="36">
        <v>1.9</v>
      </c>
      <c r="AN308" s="36">
        <v>1.1</v>
      </c>
      <c r="AO308" s="31">
        <v>2.7399999999999998</v>
      </c>
      <c r="AP308" s="40">
        <v>41.1</v>
      </c>
      <c r="AQ308" s="36">
        <v>139.0</v>
      </c>
      <c r="AR308" s="36">
        <v>110.0</v>
      </c>
      <c r="AS308" s="41">
        <v>10.0</v>
      </c>
      <c r="AT308" s="40">
        <v>1.53</v>
      </c>
      <c r="AU308" s="40">
        <v>2.28E7</v>
      </c>
      <c r="AV308" s="40">
        <v>1.936</v>
      </c>
      <c r="AW308" s="36">
        <v>59.9</v>
      </c>
      <c r="AX308" s="40">
        <v>91400.0</v>
      </c>
      <c r="AY308" s="41">
        <v>0.5</v>
      </c>
      <c r="AZ308" s="42">
        <v>0.01</v>
      </c>
      <c r="BA308" s="36">
        <v>60.41</v>
      </c>
    </row>
    <row r="309" ht="14.25" customHeight="1">
      <c r="A309" s="32" t="s">
        <v>418</v>
      </c>
      <c r="B309" s="33" t="s">
        <v>145</v>
      </c>
      <c r="C309" s="29"/>
      <c r="D309" s="29"/>
      <c r="E309" s="34">
        <v>43628.0</v>
      </c>
      <c r="F309" s="29">
        <v>1.0</v>
      </c>
      <c r="G309" s="33" t="s">
        <v>419</v>
      </c>
      <c r="H309" s="35">
        <v>0.2916666666666667</v>
      </c>
      <c r="I309" s="35">
        <v>0.375</v>
      </c>
      <c r="J309" s="33" t="s">
        <v>420</v>
      </c>
      <c r="K309" s="33" t="s">
        <v>420</v>
      </c>
      <c r="L309" s="36">
        <v>0.71</v>
      </c>
      <c r="M309" s="36">
        <v>0.64</v>
      </c>
      <c r="N309" s="36">
        <v>0.56</v>
      </c>
      <c r="O309" s="36">
        <v>0.7</v>
      </c>
      <c r="P309" s="36">
        <v>0.69</v>
      </c>
      <c r="Q309" s="31">
        <v>0.66</v>
      </c>
      <c r="R309" s="36">
        <v>8.05</v>
      </c>
      <c r="S309" s="36">
        <v>8.08</v>
      </c>
      <c r="T309" s="36">
        <v>8.14</v>
      </c>
      <c r="U309" s="36">
        <v>8.12</v>
      </c>
      <c r="V309" s="36">
        <v>8.28</v>
      </c>
      <c r="W309" s="31">
        <v>8.134</v>
      </c>
      <c r="X309" s="36">
        <v>14.8</v>
      </c>
      <c r="Y309" s="36">
        <v>15.0</v>
      </c>
      <c r="Z309" s="36">
        <v>15.1</v>
      </c>
      <c r="AA309" s="36">
        <v>15.4</v>
      </c>
      <c r="AB309" s="36">
        <v>15.6</v>
      </c>
      <c r="AC309" s="31">
        <v>15.179999999999998</v>
      </c>
      <c r="AD309" s="36">
        <v>782.0</v>
      </c>
      <c r="AE309" s="36">
        <v>752.0</v>
      </c>
      <c r="AF309" s="36">
        <v>780.0</v>
      </c>
      <c r="AG309" s="36">
        <v>760.0</v>
      </c>
      <c r="AH309" s="36">
        <v>820.0</v>
      </c>
      <c r="AI309" s="31">
        <v>778.8</v>
      </c>
      <c r="AJ309" s="36">
        <v>5.11</v>
      </c>
      <c r="AK309" s="36">
        <v>5.42</v>
      </c>
      <c r="AL309" s="36">
        <v>5.23</v>
      </c>
      <c r="AM309" s="36">
        <v>5.2</v>
      </c>
      <c r="AN309" s="36">
        <v>5.59</v>
      </c>
      <c r="AO309" s="31">
        <v>5.3100000000000005</v>
      </c>
      <c r="AP309" s="40">
        <v>23.7</v>
      </c>
      <c r="AQ309" s="36">
        <v>146.0</v>
      </c>
      <c r="AR309" s="36">
        <v>25.0</v>
      </c>
      <c r="AS309" s="41">
        <v>10.0</v>
      </c>
      <c r="AT309" s="40">
        <v>0.44</v>
      </c>
      <c r="AU309" s="40">
        <v>3.17E7</v>
      </c>
      <c r="AV309" s="40">
        <v>1.819</v>
      </c>
      <c r="AW309" s="36">
        <v>38.4</v>
      </c>
      <c r="AX309" s="40">
        <v>173000.0</v>
      </c>
      <c r="AY309" s="41">
        <v>0.5</v>
      </c>
      <c r="AZ309" s="43">
        <v>0.197</v>
      </c>
      <c r="BA309" s="36">
        <v>39.097</v>
      </c>
    </row>
    <row r="310" ht="14.25" customHeight="1">
      <c r="A310" s="32" t="s">
        <v>421</v>
      </c>
      <c r="B310" s="33" t="s">
        <v>138</v>
      </c>
      <c r="C310" s="29"/>
      <c r="D310" s="29"/>
      <c r="E310" s="34">
        <v>43628.0</v>
      </c>
      <c r="F310" s="29">
        <v>1.0</v>
      </c>
      <c r="G310" s="33" t="s">
        <v>422</v>
      </c>
      <c r="H310" s="35">
        <v>0.3958333333333333</v>
      </c>
      <c r="I310" s="35">
        <v>0.4791666666666667</v>
      </c>
      <c r="J310" s="33">
        <v>0.9</v>
      </c>
      <c r="K310" s="33">
        <v>0.271</v>
      </c>
      <c r="L310" s="36">
        <v>28.4</v>
      </c>
      <c r="M310" s="36">
        <v>23.4</v>
      </c>
      <c r="N310" s="36">
        <v>26.3</v>
      </c>
      <c r="O310" s="36">
        <v>22.8</v>
      </c>
      <c r="P310" s="36">
        <v>27.1</v>
      </c>
      <c r="Q310" s="31">
        <v>25.6</v>
      </c>
      <c r="R310" s="36">
        <v>8.17</v>
      </c>
      <c r="S310" s="36">
        <v>8.12</v>
      </c>
      <c r="T310" s="36">
        <v>8.04</v>
      </c>
      <c r="U310" s="36">
        <v>7.97</v>
      </c>
      <c r="V310" s="36">
        <v>7.81</v>
      </c>
      <c r="W310" s="31">
        <v>8.022</v>
      </c>
      <c r="X310" s="36">
        <v>15.6</v>
      </c>
      <c r="Y310" s="36">
        <v>15.7</v>
      </c>
      <c r="Z310" s="36">
        <v>16.4</v>
      </c>
      <c r="AA310" s="36">
        <v>16.6</v>
      </c>
      <c r="AB310" s="36">
        <v>16.9</v>
      </c>
      <c r="AC310" s="31">
        <v>16.24</v>
      </c>
      <c r="AD310" s="36">
        <v>1228.0</v>
      </c>
      <c r="AE310" s="36">
        <v>1192.0</v>
      </c>
      <c r="AF310" s="36">
        <v>1175.0</v>
      </c>
      <c r="AG310" s="36">
        <v>1132.0</v>
      </c>
      <c r="AH310" s="36">
        <v>1103.0</v>
      </c>
      <c r="AI310" s="31">
        <v>1166.0</v>
      </c>
      <c r="AJ310" s="36">
        <v>1.49</v>
      </c>
      <c r="AK310" s="36">
        <v>1.96</v>
      </c>
      <c r="AL310" s="36">
        <v>1.72</v>
      </c>
      <c r="AM310" s="36">
        <v>2.02</v>
      </c>
      <c r="AN310" s="36">
        <v>2.2</v>
      </c>
      <c r="AO310" s="31">
        <v>1.8780000000000001</v>
      </c>
      <c r="AP310" s="40">
        <v>372.0</v>
      </c>
      <c r="AQ310" s="36">
        <v>919.0</v>
      </c>
      <c r="AR310" s="36">
        <v>385.0</v>
      </c>
      <c r="AS310" s="40">
        <v>149.0</v>
      </c>
      <c r="AT310" s="40">
        <v>5.36</v>
      </c>
      <c r="AU310" s="40">
        <v>3.64E9</v>
      </c>
      <c r="AV310" s="40">
        <v>9.888</v>
      </c>
      <c r="AW310" s="36">
        <v>44.5</v>
      </c>
      <c r="AX310" s="40">
        <v>1100000.0</v>
      </c>
      <c r="AY310" s="41">
        <v>0.5</v>
      </c>
      <c r="AZ310" s="42">
        <v>0.01</v>
      </c>
      <c r="BA310" s="36">
        <v>45.01</v>
      </c>
    </row>
    <row r="311" ht="14.25" customHeight="1">
      <c r="A311" s="32" t="s">
        <v>423</v>
      </c>
      <c r="B311" s="33" t="s">
        <v>74</v>
      </c>
      <c r="C311" s="29"/>
      <c r="D311" s="29"/>
      <c r="E311" s="34">
        <v>43720.0</v>
      </c>
      <c r="F311" s="29">
        <v>1.0</v>
      </c>
      <c r="G311" s="33" t="s">
        <v>424</v>
      </c>
      <c r="H311" s="35">
        <v>0.25</v>
      </c>
      <c r="I311" s="35">
        <v>0.3333333333333333</v>
      </c>
      <c r="J311" s="33">
        <v>0.8</v>
      </c>
      <c r="K311" s="33">
        <v>0.302</v>
      </c>
      <c r="L311" s="36">
        <v>15.6</v>
      </c>
      <c r="M311" s="36">
        <v>15.7</v>
      </c>
      <c r="N311" s="36">
        <v>20.6</v>
      </c>
      <c r="O311" s="36">
        <v>21.7</v>
      </c>
      <c r="P311" s="36">
        <v>18.3</v>
      </c>
      <c r="Q311" s="31">
        <v>18.38</v>
      </c>
      <c r="R311" s="36">
        <v>7.735</v>
      </c>
      <c r="S311" s="36">
        <v>7.905</v>
      </c>
      <c r="T311" s="36">
        <v>7.93</v>
      </c>
      <c r="U311" s="36">
        <v>7.952</v>
      </c>
      <c r="V311" s="36">
        <v>8.059</v>
      </c>
      <c r="W311" s="31">
        <v>7.916199999999999</v>
      </c>
      <c r="X311" s="36">
        <v>10.9</v>
      </c>
      <c r="Y311" s="36">
        <v>10.8</v>
      </c>
      <c r="Z311" s="36">
        <v>10.9</v>
      </c>
      <c r="AA311" s="36">
        <v>11.0</v>
      </c>
      <c r="AB311" s="36">
        <v>11.0</v>
      </c>
      <c r="AC311" s="31">
        <v>10.92</v>
      </c>
      <c r="AD311" s="36">
        <v>196.8</v>
      </c>
      <c r="AE311" s="36">
        <v>196.4</v>
      </c>
      <c r="AF311" s="36">
        <v>195.7</v>
      </c>
      <c r="AG311" s="36">
        <v>195.2</v>
      </c>
      <c r="AH311" s="36">
        <v>195.4</v>
      </c>
      <c r="AI311" s="31">
        <v>195.90000000000003</v>
      </c>
      <c r="AJ311" s="36">
        <v>8.45</v>
      </c>
      <c r="AK311" s="36">
        <v>7.75</v>
      </c>
      <c r="AL311" s="36">
        <v>7.37</v>
      </c>
      <c r="AM311" s="36">
        <v>6.67</v>
      </c>
      <c r="AN311" s="36">
        <v>6.69</v>
      </c>
      <c r="AO311" s="31">
        <v>7.386</v>
      </c>
      <c r="AP311" s="40">
        <v>5.2</v>
      </c>
      <c r="AQ311" s="36">
        <v>35.8</v>
      </c>
      <c r="AR311" s="36">
        <v>40.0</v>
      </c>
      <c r="AS311" s="41">
        <v>10.0</v>
      </c>
      <c r="AT311" s="41">
        <v>0.4</v>
      </c>
      <c r="AU311" s="40">
        <v>520000.0</v>
      </c>
      <c r="AV311" s="40">
        <v>0.118</v>
      </c>
      <c r="AW311" s="36">
        <v>10.1</v>
      </c>
      <c r="AX311" s="40">
        <v>17700.0</v>
      </c>
      <c r="AY311" s="40">
        <v>2.33</v>
      </c>
      <c r="AZ311" s="43">
        <v>0.181</v>
      </c>
      <c r="BA311" s="36">
        <v>12.611</v>
      </c>
    </row>
    <row r="312" ht="14.25" customHeight="1">
      <c r="A312" s="32" t="s">
        <v>425</v>
      </c>
      <c r="B312" s="33" t="s">
        <v>102</v>
      </c>
      <c r="C312" s="29"/>
      <c r="D312" s="29"/>
      <c r="E312" s="34">
        <v>43720.0</v>
      </c>
      <c r="F312" s="29">
        <v>1.0</v>
      </c>
      <c r="G312" s="33" t="s">
        <v>426</v>
      </c>
      <c r="H312" s="35">
        <v>0.375</v>
      </c>
      <c r="I312" s="35">
        <v>0.4583333333333333</v>
      </c>
      <c r="J312" s="33">
        <v>3.0</v>
      </c>
      <c r="K312" s="33">
        <v>0.122</v>
      </c>
      <c r="L312" s="36">
        <v>63.4</v>
      </c>
      <c r="M312" s="36">
        <v>67.4</v>
      </c>
      <c r="N312" s="36">
        <v>50.6</v>
      </c>
      <c r="O312" s="36">
        <v>54.9</v>
      </c>
      <c r="P312" s="36">
        <v>50.4</v>
      </c>
      <c r="Q312" s="31">
        <v>57.339999999999996</v>
      </c>
      <c r="R312" s="36">
        <v>8.023</v>
      </c>
      <c r="S312" s="36">
        <v>8.071</v>
      </c>
      <c r="T312" s="36">
        <v>8.216</v>
      </c>
      <c r="U312" s="36">
        <v>8.43</v>
      </c>
      <c r="V312" s="36">
        <v>8.359</v>
      </c>
      <c r="W312" s="31">
        <v>8.219800000000001</v>
      </c>
      <c r="X312" s="36">
        <v>12.7</v>
      </c>
      <c r="Y312" s="36">
        <v>12.8</v>
      </c>
      <c r="Z312" s="36">
        <v>13.2</v>
      </c>
      <c r="AA312" s="36">
        <v>13.5</v>
      </c>
      <c r="AB312" s="36">
        <v>13.7</v>
      </c>
      <c r="AC312" s="31">
        <v>13.180000000000001</v>
      </c>
      <c r="AD312" s="36">
        <v>277.0</v>
      </c>
      <c r="AE312" s="36">
        <v>278.0</v>
      </c>
      <c r="AF312" s="36">
        <v>276.0</v>
      </c>
      <c r="AG312" s="36">
        <v>278.0</v>
      </c>
      <c r="AH312" s="36">
        <v>273.0</v>
      </c>
      <c r="AI312" s="31">
        <v>276.4</v>
      </c>
      <c r="AJ312" s="36">
        <v>6.9</v>
      </c>
      <c r="AK312" s="36">
        <v>6.71</v>
      </c>
      <c r="AL312" s="36">
        <v>7.16</v>
      </c>
      <c r="AM312" s="36">
        <v>7.6</v>
      </c>
      <c r="AN312" s="36">
        <v>9.08</v>
      </c>
      <c r="AO312" s="31">
        <v>7.489999999999999</v>
      </c>
      <c r="AP312" s="40">
        <v>23.9</v>
      </c>
      <c r="AQ312" s="36">
        <v>73.9</v>
      </c>
      <c r="AR312" s="36">
        <v>60.0</v>
      </c>
      <c r="AS312" s="41">
        <v>10.0</v>
      </c>
      <c r="AT312" s="41">
        <v>0.4</v>
      </c>
      <c r="AU312" s="40">
        <v>4.68E7</v>
      </c>
      <c r="AV312" s="40">
        <v>1.041</v>
      </c>
      <c r="AW312" s="36">
        <v>23.1</v>
      </c>
      <c r="AX312" s="40">
        <v>53000.0</v>
      </c>
      <c r="AY312" s="41">
        <v>0.5</v>
      </c>
      <c r="AZ312" s="43">
        <v>0.016</v>
      </c>
      <c r="BA312" s="36">
        <v>23.616</v>
      </c>
    </row>
    <row r="313" ht="14.25" customHeight="1">
      <c r="A313" s="32" t="s">
        <v>427</v>
      </c>
      <c r="B313" s="33" t="s">
        <v>100</v>
      </c>
      <c r="C313" s="29"/>
      <c r="D313" s="29"/>
      <c r="E313" s="34">
        <v>43720.0</v>
      </c>
      <c r="F313" s="29">
        <v>1.0</v>
      </c>
      <c r="G313" s="33" t="s">
        <v>428</v>
      </c>
      <c r="H313" s="35">
        <v>0.5104166666666666</v>
      </c>
      <c r="I313" s="35">
        <v>0.59375</v>
      </c>
      <c r="J313" s="33">
        <v>1.9</v>
      </c>
      <c r="K313" s="33">
        <v>0.157</v>
      </c>
      <c r="L313" s="36">
        <v>94.0</v>
      </c>
      <c r="M313" s="36">
        <v>88.6</v>
      </c>
      <c r="N313" s="36">
        <v>85.2</v>
      </c>
      <c r="O313" s="36">
        <v>82.6</v>
      </c>
      <c r="P313" s="36">
        <v>81.6</v>
      </c>
      <c r="Q313" s="31">
        <v>86.4</v>
      </c>
      <c r="R313" s="36">
        <v>7.871</v>
      </c>
      <c r="S313" s="36">
        <v>7.842</v>
      </c>
      <c r="T313" s="36">
        <v>7.716</v>
      </c>
      <c r="U313" s="36">
        <v>7.786</v>
      </c>
      <c r="V313" s="36">
        <v>7.731</v>
      </c>
      <c r="W313" s="31">
        <v>7.789200000000001</v>
      </c>
      <c r="X313" s="36">
        <v>16.4</v>
      </c>
      <c r="Y313" s="36">
        <v>16.6</v>
      </c>
      <c r="Z313" s="36">
        <v>17.1</v>
      </c>
      <c r="AA313" s="36">
        <v>17.2</v>
      </c>
      <c r="AB313" s="36">
        <v>17.1</v>
      </c>
      <c r="AC313" s="31">
        <v>16.880000000000003</v>
      </c>
      <c r="AD313" s="36">
        <v>408.0</v>
      </c>
      <c r="AE313" s="36">
        <v>404.0</v>
      </c>
      <c r="AF313" s="36">
        <v>401.0</v>
      </c>
      <c r="AG313" s="36">
        <v>395.0</v>
      </c>
      <c r="AH313" s="36">
        <v>398.0</v>
      </c>
      <c r="AI313" s="31">
        <v>401.2</v>
      </c>
      <c r="AJ313" s="36">
        <v>2.69</v>
      </c>
      <c r="AK313" s="36">
        <v>2.41</v>
      </c>
      <c r="AL313" s="36">
        <v>2.27</v>
      </c>
      <c r="AM313" s="36">
        <v>1.73</v>
      </c>
      <c r="AN313" s="36">
        <v>2.07</v>
      </c>
      <c r="AO313" s="31">
        <v>2.234</v>
      </c>
      <c r="AP313" s="40">
        <v>97.0</v>
      </c>
      <c r="AQ313" s="36">
        <v>142.0</v>
      </c>
      <c r="AR313" s="36">
        <v>86.0</v>
      </c>
      <c r="AS313" s="41">
        <v>10.0</v>
      </c>
      <c r="AT313" s="40">
        <v>1.63</v>
      </c>
      <c r="AU313" s="40">
        <v>2.046E8</v>
      </c>
      <c r="AV313" s="40">
        <v>2.028</v>
      </c>
      <c r="AW313" s="36">
        <v>16.3</v>
      </c>
      <c r="AX313" s="40">
        <v>155000.0</v>
      </c>
      <c r="AY313" s="41">
        <v>0.5</v>
      </c>
      <c r="AZ313" s="42">
        <v>0.01</v>
      </c>
      <c r="BA313" s="36">
        <v>16.81</v>
      </c>
    </row>
    <row r="314" ht="14.25" customHeight="1">
      <c r="A314" s="32" t="s">
        <v>429</v>
      </c>
      <c r="B314" s="33" t="s">
        <v>126</v>
      </c>
      <c r="C314" s="29"/>
      <c r="D314" s="29"/>
      <c r="E314" s="34">
        <v>43720.0</v>
      </c>
      <c r="F314" s="29">
        <v>1.0</v>
      </c>
      <c r="G314" s="33" t="s">
        <v>430</v>
      </c>
      <c r="H314" s="35">
        <v>0.3541666666666667</v>
      </c>
      <c r="I314" s="35">
        <v>0.4375</v>
      </c>
      <c r="J314" s="33">
        <v>0.7</v>
      </c>
      <c r="K314" s="33">
        <v>0.18</v>
      </c>
      <c r="L314" s="36">
        <v>12.7</v>
      </c>
      <c r="M314" s="36">
        <v>13.3</v>
      </c>
      <c r="N314" s="36">
        <v>11.2</v>
      </c>
      <c r="O314" s="36">
        <v>10.6</v>
      </c>
      <c r="P314" s="36">
        <v>11.7</v>
      </c>
      <c r="Q314" s="31">
        <v>11.9</v>
      </c>
      <c r="R314" s="36">
        <v>7.97</v>
      </c>
      <c r="S314" s="36">
        <v>7.94</v>
      </c>
      <c r="T314" s="36">
        <v>7.96</v>
      </c>
      <c r="U314" s="36">
        <v>7.94</v>
      </c>
      <c r="V314" s="36">
        <v>7.94</v>
      </c>
      <c r="W314" s="31">
        <v>7.95</v>
      </c>
      <c r="X314" s="36">
        <v>13.3</v>
      </c>
      <c r="Y314" s="36">
        <v>13.4</v>
      </c>
      <c r="Z314" s="36">
        <v>13.6</v>
      </c>
      <c r="AA314" s="36">
        <v>13.9</v>
      </c>
      <c r="AB314" s="36">
        <v>13.9</v>
      </c>
      <c r="AC314" s="31">
        <v>13.620000000000001</v>
      </c>
      <c r="AD314" s="36">
        <v>488.0</v>
      </c>
      <c r="AE314" s="36">
        <v>488.0</v>
      </c>
      <c r="AF314" s="36">
        <v>491.0</v>
      </c>
      <c r="AG314" s="36">
        <v>504.0</v>
      </c>
      <c r="AH314" s="36">
        <v>503.0</v>
      </c>
      <c r="AI314" s="31">
        <v>494.8</v>
      </c>
      <c r="AJ314" s="36">
        <v>5.95</v>
      </c>
      <c r="AK314" s="36">
        <v>5.63</v>
      </c>
      <c r="AL314" s="36">
        <v>5.65</v>
      </c>
      <c r="AM314" s="36">
        <v>5.45</v>
      </c>
      <c r="AN314" s="36">
        <v>5.43</v>
      </c>
      <c r="AO314" s="31">
        <v>5.622</v>
      </c>
      <c r="AP314" s="40">
        <v>19.5</v>
      </c>
      <c r="AQ314" s="36">
        <v>56.2</v>
      </c>
      <c r="AR314" s="36">
        <v>25.7</v>
      </c>
      <c r="AS314" s="41">
        <v>10.0</v>
      </c>
      <c r="AT314" s="40">
        <v>0.42</v>
      </c>
      <c r="AU314" s="40">
        <v>4611000.0</v>
      </c>
      <c r="AV314" s="40">
        <v>1.996</v>
      </c>
      <c r="AW314" s="36">
        <v>18.1</v>
      </c>
      <c r="AX314" s="40">
        <v>2400.0</v>
      </c>
      <c r="AY314" s="41">
        <v>0.5</v>
      </c>
      <c r="AZ314" s="43">
        <v>0.539</v>
      </c>
      <c r="BA314" s="36">
        <v>19.139</v>
      </c>
    </row>
    <row r="315" ht="14.25" customHeight="1">
      <c r="A315" s="32" t="s">
        <v>431</v>
      </c>
      <c r="B315" s="33" t="s">
        <v>104</v>
      </c>
      <c r="C315" s="29"/>
      <c r="D315" s="29"/>
      <c r="E315" s="34">
        <v>43720.0</v>
      </c>
      <c r="F315" s="29">
        <v>1.0</v>
      </c>
      <c r="G315" s="33" t="s">
        <v>432</v>
      </c>
      <c r="H315" s="35">
        <v>0.4583333333333333</v>
      </c>
      <c r="I315" s="35">
        <v>0.5416666666666666</v>
      </c>
      <c r="J315" s="33">
        <v>1.0</v>
      </c>
      <c r="K315" s="33">
        <v>0.12</v>
      </c>
      <c r="L315" s="36">
        <v>22.1</v>
      </c>
      <c r="M315" s="36">
        <v>23.6</v>
      </c>
      <c r="N315" s="36">
        <v>19.9</v>
      </c>
      <c r="O315" s="36">
        <v>19.9</v>
      </c>
      <c r="P315" s="36">
        <v>19.1</v>
      </c>
      <c r="Q315" s="31">
        <v>20.919999999999998</v>
      </c>
      <c r="R315" s="36">
        <v>11.75</v>
      </c>
      <c r="S315" s="36">
        <v>11.95</v>
      </c>
      <c r="T315" s="36">
        <v>11.23</v>
      </c>
      <c r="U315" s="36">
        <v>11.44</v>
      </c>
      <c r="V315" s="36">
        <v>11.4</v>
      </c>
      <c r="W315" s="31">
        <v>11.553999999999998</v>
      </c>
      <c r="X315" s="36">
        <v>15.3</v>
      </c>
      <c r="Y315" s="36">
        <v>16.1</v>
      </c>
      <c r="Z315" s="36">
        <v>16.9</v>
      </c>
      <c r="AA315" s="36">
        <v>17.4</v>
      </c>
      <c r="AB315" s="36">
        <v>17.4</v>
      </c>
      <c r="AC315" s="31">
        <v>16.619999999999997</v>
      </c>
      <c r="AD315" s="36">
        <v>819.0</v>
      </c>
      <c r="AE315" s="36">
        <v>514.0</v>
      </c>
      <c r="AF315" s="36">
        <v>637.0</v>
      </c>
      <c r="AG315" s="36">
        <v>789.0</v>
      </c>
      <c r="AH315" s="36">
        <v>807.0</v>
      </c>
      <c r="AI315" s="31">
        <v>713.2</v>
      </c>
      <c r="AJ315" s="36">
        <v>6.8</v>
      </c>
      <c r="AK315" s="36">
        <v>6.95</v>
      </c>
      <c r="AL315" s="36">
        <v>5.99</v>
      </c>
      <c r="AM315" s="36">
        <v>5.49</v>
      </c>
      <c r="AN315" s="36">
        <v>6.99</v>
      </c>
      <c r="AO315" s="31">
        <v>6.444000000000001</v>
      </c>
      <c r="AP315" s="40">
        <v>41.2</v>
      </c>
      <c r="AQ315" s="36">
        <v>1924.0</v>
      </c>
      <c r="AR315" s="36">
        <v>3424.0</v>
      </c>
      <c r="AS315" s="40">
        <v>149.0</v>
      </c>
      <c r="AT315" s="40">
        <v>0.58</v>
      </c>
      <c r="AU315" s="40">
        <v>5860.0</v>
      </c>
      <c r="AV315" s="40">
        <v>13.719</v>
      </c>
      <c r="AW315" s="36">
        <v>6.87</v>
      </c>
      <c r="AX315" s="40">
        <v>2390.0</v>
      </c>
      <c r="AY315" s="41">
        <v>0.5</v>
      </c>
      <c r="AZ315" s="43">
        <v>2.21</v>
      </c>
      <c r="BA315" s="36">
        <v>9.58</v>
      </c>
    </row>
    <row r="316" ht="14.25" customHeight="1">
      <c r="A316" s="32" t="s">
        <v>433</v>
      </c>
      <c r="B316" s="33" t="s">
        <v>106</v>
      </c>
      <c r="C316" s="29"/>
      <c r="D316" s="29"/>
      <c r="E316" s="34">
        <v>43720.0</v>
      </c>
      <c r="F316" s="29">
        <v>1.0</v>
      </c>
      <c r="G316" s="33" t="s">
        <v>434</v>
      </c>
      <c r="H316" s="35">
        <v>0.5625</v>
      </c>
      <c r="I316" s="35">
        <v>15.3</v>
      </c>
      <c r="J316" s="33">
        <v>1.2</v>
      </c>
      <c r="K316" s="33">
        <v>0.14</v>
      </c>
      <c r="L316" s="36">
        <v>42.8</v>
      </c>
      <c r="M316" s="36">
        <v>36.7</v>
      </c>
      <c r="N316" s="36">
        <v>41.7</v>
      </c>
      <c r="O316" s="36">
        <v>46.3</v>
      </c>
      <c r="P316" s="36">
        <v>34.7</v>
      </c>
      <c r="Q316" s="31">
        <v>40.44</v>
      </c>
      <c r="R316" s="36">
        <v>10.63</v>
      </c>
      <c r="S316" s="36">
        <v>11.24</v>
      </c>
      <c r="T316" s="36">
        <v>10.87</v>
      </c>
      <c r="U316" s="36">
        <v>10.79</v>
      </c>
      <c r="V316" s="36">
        <v>10.56</v>
      </c>
      <c r="W316" s="31">
        <v>10.818000000000001</v>
      </c>
      <c r="X316" s="36">
        <v>19.0</v>
      </c>
      <c r="Y316" s="36">
        <v>18.8</v>
      </c>
      <c r="Z316" s="36">
        <v>18.8</v>
      </c>
      <c r="AA316" s="36">
        <v>19.1</v>
      </c>
      <c r="AB316" s="36">
        <v>18.0</v>
      </c>
      <c r="AC316" s="31">
        <v>18.74</v>
      </c>
      <c r="AD316" s="36">
        <v>509.0</v>
      </c>
      <c r="AE316" s="36">
        <v>500.0</v>
      </c>
      <c r="AF316" s="36">
        <v>499.0</v>
      </c>
      <c r="AG316" s="36">
        <v>508.0</v>
      </c>
      <c r="AH316" s="36">
        <v>497.0</v>
      </c>
      <c r="AI316" s="31">
        <v>502.6</v>
      </c>
      <c r="AJ316" s="36">
        <v>6.92</v>
      </c>
      <c r="AK316" s="36">
        <v>6.94</v>
      </c>
      <c r="AL316" s="36">
        <v>9.14</v>
      </c>
      <c r="AM316" s="36">
        <v>8.47</v>
      </c>
      <c r="AN316" s="36">
        <v>8.92</v>
      </c>
      <c r="AO316" s="31">
        <v>8.078</v>
      </c>
      <c r="AP316" s="40">
        <v>29.1</v>
      </c>
      <c r="AQ316" s="36">
        <v>629.0</v>
      </c>
      <c r="AR316" s="36">
        <v>3488.0</v>
      </c>
      <c r="AS316" s="40">
        <v>62.6</v>
      </c>
      <c r="AT316" s="40">
        <v>1.04</v>
      </c>
      <c r="AU316" s="40">
        <v>6120.0</v>
      </c>
      <c r="AV316" s="40">
        <v>7.253</v>
      </c>
      <c r="AW316" s="36">
        <v>12.3</v>
      </c>
      <c r="AX316" s="40">
        <v>620.0</v>
      </c>
      <c r="AY316" s="41">
        <v>0.5</v>
      </c>
      <c r="AZ316" s="42">
        <v>0.01</v>
      </c>
      <c r="BA316" s="36">
        <v>12.81</v>
      </c>
    </row>
    <row r="317" ht="14.25" customHeight="1">
      <c r="A317" s="32" t="s">
        <v>435</v>
      </c>
      <c r="B317" s="33" t="s">
        <v>87</v>
      </c>
      <c r="C317" s="29"/>
      <c r="D317" s="29"/>
      <c r="E317" s="34">
        <v>43750.0</v>
      </c>
      <c r="F317" s="29">
        <v>1.0</v>
      </c>
      <c r="G317" s="33" t="s">
        <v>436</v>
      </c>
      <c r="H317" s="35">
        <v>0.4375</v>
      </c>
      <c r="I317" s="35">
        <v>0.5208333333333334</v>
      </c>
      <c r="J317" s="33">
        <v>8.71</v>
      </c>
      <c r="K317" s="33">
        <v>0.55</v>
      </c>
      <c r="L317" s="36">
        <v>576.0</v>
      </c>
      <c r="M317" s="36">
        <v>605.0</v>
      </c>
      <c r="N317" s="36">
        <v>631.0</v>
      </c>
      <c r="O317" s="36">
        <v>619.0</v>
      </c>
      <c r="P317" s="36">
        <v>638.0</v>
      </c>
      <c r="Q317" s="31">
        <v>613.8</v>
      </c>
      <c r="R317" s="36">
        <v>7.2</v>
      </c>
      <c r="S317" s="36">
        <v>7.63</v>
      </c>
      <c r="T317" s="36">
        <v>7.43</v>
      </c>
      <c r="U317" s="36">
        <v>7.35</v>
      </c>
      <c r="V317" s="36">
        <v>7.38</v>
      </c>
      <c r="W317" s="31">
        <v>7.398000000000001</v>
      </c>
      <c r="X317" s="36">
        <v>15.8</v>
      </c>
      <c r="Y317" s="36">
        <v>17.2</v>
      </c>
      <c r="Z317" s="36">
        <v>16.5</v>
      </c>
      <c r="AA317" s="36">
        <v>17.6</v>
      </c>
      <c r="AB317" s="36">
        <v>17.7</v>
      </c>
      <c r="AC317" s="31">
        <v>16.96</v>
      </c>
      <c r="AD317" s="36">
        <v>285.0</v>
      </c>
      <c r="AE317" s="36">
        <v>316.0</v>
      </c>
      <c r="AF317" s="36">
        <v>294.0</v>
      </c>
      <c r="AG317" s="36">
        <v>291.0</v>
      </c>
      <c r="AH317" s="36">
        <v>324.0</v>
      </c>
      <c r="AI317" s="31">
        <v>302.0</v>
      </c>
      <c r="AJ317" s="36">
        <v>0.85</v>
      </c>
      <c r="AK317" s="36">
        <v>0.97</v>
      </c>
      <c r="AL317" s="36">
        <v>0.67</v>
      </c>
      <c r="AM317" s="36">
        <v>1.1</v>
      </c>
      <c r="AN317" s="36">
        <v>0.82</v>
      </c>
      <c r="AO317" s="31">
        <v>0.882</v>
      </c>
      <c r="AP317" s="40">
        <v>25.3</v>
      </c>
      <c r="AQ317" s="36">
        <v>94.2</v>
      </c>
      <c r="AR317" s="36">
        <v>8.7</v>
      </c>
      <c r="AS317" s="41">
        <v>10.0</v>
      </c>
      <c r="AT317" s="40">
        <v>0.68</v>
      </c>
      <c r="AU317" s="40">
        <v>5.78E7</v>
      </c>
      <c r="AV317" s="40">
        <v>1.062</v>
      </c>
      <c r="AW317" s="36">
        <v>15.3</v>
      </c>
      <c r="AX317" s="40">
        <v>22000.0</v>
      </c>
      <c r="AY317" s="41">
        <v>0.5</v>
      </c>
      <c r="AZ317" s="42">
        <v>0.01</v>
      </c>
      <c r="BA317" s="36">
        <v>15.31</v>
      </c>
    </row>
    <row r="318" ht="14.25" customHeight="1">
      <c r="A318" s="32" t="s">
        <v>437</v>
      </c>
      <c r="B318" s="33" t="s">
        <v>57</v>
      </c>
      <c r="C318" s="29"/>
      <c r="D318" s="29"/>
      <c r="E318" s="34">
        <v>43750.0</v>
      </c>
      <c r="F318" s="29">
        <v>1.0</v>
      </c>
      <c r="G318" s="33" t="s">
        <v>438</v>
      </c>
      <c r="H318" s="35">
        <v>0.25</v>
      </c>
      <c r="I318" s="35">
        <v>0.3333333333333333</v>
      </c>
      <c r="J318" s="33">
        <v>1.0</v>
      </c>
      <c r="K318" s="33">
        <v>0.261</v>
      </c>
      <c r="L318" s="36">
        <v>10.9</v>
      </c>
      <c r="M318" s="36">
        <v>11.0</v>
      </c>
      <c r="N318" s="36">
        <v>12.7</v>
      </c>
      <c r="O318" s="36">
        <v>10.4</v>
      </c>
      <c r="P318" s="36">
        <v>9.6</v>
      </c>
      <c r="Q318" s="31">
        <v>10.919999999999998</v>
      </c>
      <c r="R318" s="36">
        <v>7.408</v>
      </c>
      <c r="S318" s="36">
        <v>7.48</v>
      </c>
      <c r="T318" s="36">
        <v>7.638</v>
      </c>
      <c r="U318" s="36">
        <v>7.575</v>
      </c>
      <c r="V318" s="36">
        <v>7.525</v>
      </c>
      <c r="W318" s="31">
        <v>7.525200000000001</v>
      </c>
      <c r="X318" s="36">
        <v>11.2</v>
      </c>
      <c r="Y318" s="36">
        <v>10.8</v>
      </c>
      <c r="Z318" s="36">
        <v>11.0</v>
      </c>
      <c r="AA318" s="36">
        <v>10.9</v>
      </c>
      <c r="AB318" s="36">
        <v>10.9</v>
      </c>
      <c r="AC318" s="31">
        <v>10.959999999999999</v>
      </c>
      <c r="AD318" s="36">
        <v>183.6</v>
      </c>
      <c r="AE318" s="36">
        <v>184.6</v>
      </c>
      <c r="AF318" s="36">
        <v>195.0</v>
      </c>
      <c r="AG318" s="36">
        <v>207.0</v>
      </c>
      <c r="AH318" s="36">
        <v>214.0</v>
      </c>
      <c r="AI318" s="31">
        <v>196.84</v>
      </c>
      <c r="AJ318" s="36">
        <v>5.61</v>
      </c>
      <c r="AK318" s="36">
        <v>5.29</v>
      </c>
      <c r="AL318" s="36">
        <v>6.15</v>
      </c>
      <c r="AM318" s="36">
        <v>5.45</v>
      </c>
      <c r="AN318" s="36">
        <v>5.44</v>
      </c>
      <c r="AO318" s="31">
        <v>5.588</v>
      </c>
      <c r="AP318" s="40">
        <v>9.4</v>
      </c>
      <c r="AQ318" s="36">
        <v>82.9</v>
      </c>
      <c r="AR318" s="36">
        <v>8.8</v>
      </c>
      <c r="AS318" s="41">
        <v>10.0</v>
      </c>
      <c r="AT318" s="41">
        <v>0.4</v>
      </c>
      <c r="AU318" s="40">
        <v>5794000.0</v>
      </c>
      <c r="AV318" s="40">
        <v>2.31</v>
      </c>
      <c r="AW318" s="36">
        <v>28.1</v>
      </c>
      <c r="AX318" s="40">
        <v>2.0</v>
      </c>
      <c r="AY318" s="40">
        <v>0.61</v>
      </c>
      <c r="AZ318" s="43">
        <v>1.21</v>
      </c>
      <c r="BA318" s="36">
        <v>29.919</v>
      </c>
    </row>
    <row r="319" ht="14.25" customHeight="1">
      <c r="A319" s="32" t="s">
        <v>439</v>
      </c>
      <c r="B319" s="33" t="s">
        <v>53</v>
      </c>
      <c r="C319" s="29"/>
      <c r="D319" s="29"/>
      <c r="E319" s="34">
        <v>43750.0</v>
      </c>
      <c r="F319" s="29">
        <v>1.0</v>
      </c>
      <c r="G319" s="33" t="s">
        <v>440</v>
      </c>
      <c r="H319" s="35">
        <v>0.34375</v>
      </c>
      <c r="I319" s="35">
        <v>0.4270833333333333</v>
      </c>
      <c r="J319" s="33">
        <v>0.8</v>
      </c>
      <c r="K319" s="33">
        <v>0.205</v>
      </c>
      <c r="L319" s="36">
        <v>29.7</v>
      </c>
      <c r="M319" s="36">
        <v>28.7</v>
      </c>
      <c r="N319" s="36">
        <v>33.2</v>
      </c>
      <c r="O319" s="36">
        <v>32.8</v>
      </c>
      <c r="P319" s="36">
        <v>28.6</v>
      </c>
      <c r="Q319" s="31">
        <v>30.6</v>
      </c>
      <c r="R319" s="36">
        <v>8.153</v>
      </c>
      <c r="S319" s="36">
        <v>8.247</v>
      </c>
      <c r="T319" s="36">
        <v>8.14</v>
      </c>
      <c r="U319" s="36">
        <v>8.229</v>
      </c>
      <c r="V319" s="36">
        <v>8.22</v>
      </c>
      <c r="W319" s="31">
        <v>8.197799999999999</v>
      </c>
      <c r="X319" s="36">
        <v>12.5</v>
      </c>
      <c r="Y319" s="36">
        <v>12.7</v>
      </c>
      <c r="Z319" s="36">
        <v>12.7</v>
      </c>
      <c r="AA319" s="36">
        <v>12.8</v>
      </c>
      <c r="AB319" s="36">
        <v>12.9</v>
      </c>
      <c r="AC319" s="31">
        <v>12.72</v>
      </c>
      <c r="AD319" s="36">
        <v>363.0</v>
      </c>
      <c r="AE319" s="36">
        <v>375.0</v>
      </c>
      <c r="AF319" s="36">
        <v>392.0</v>
      </c>
      <c r="AG319" s="36">
        <v>411.0</v>
      </c>
      <c r="AH319" s="36">
        <v>431.0</v>
      </c>
      <c r="AI319" s="31">
        <v>394.4</v>
      </c>
      <c r="AJ319" s="36">
        <v>9.56</v>
      </c>
      <c r="AK319" s="36">
        <v>8.79</v>
      </c>
      <c r="AL319" s="36">
        <v>9.05</v>
      </c>
      <c r="AM319" s="36">
        <v>8.89</v>
      </c>
      <c r="AN319" s="36">
        <v>8.16</v>
      </c>
      <c r="AO319" s="31">
        <v>8.89</v>
      </c>
      <c r="AP319" s="40">
        <v>36.7</v>
      </c>
      <c r="AQ319" s="36">
        <v>115.0</v>
      </c>
      <c r="AR319" s="36">
        <v>18.8</v>
      </c>
      <c r="AS319" s="41">
        <v>10.0</v>
      </c>
      <c r="AT319" s="41">
        <v>0.4</v>
      </c>
      <c r="AU319" s="40">
        <v>1.723E7</v>
      </c>
      <c r="AV319" s="40">
        <v>2.379</v>
      </c>
      <c r="AW319" s="36">
        <v>32.4</v>
      </c>
      <c r="AX319" s="40">
        <v>6.0</v>
      </c>
      <c r="AY319" s="41">
        <v>0.5</v>
      </c>
      <c r="AZ319" s="42">
        <v>0.01</v>
      </c>
      <c r="BA319" s="36">
        <v>32.91</v>
      </c>
    </row>
    <row r="320" ht="14.25" customHeight="1">
      <c r="A320" s="32" t="s">
        <v>441</v>
      </c>
      <c r="B320" s="33" t="s">
        <v>59</v>
      </c>
      <c r="C320" s="29"/>
      <c r="D320" s="29"/>
      <c r="E320" s="34">
        <v>43750.0</v>
      </c>
      <c r="F320" s="29">
        <v>1.0</v>
      </c>
      <c r="G320" s="33" t="s">
        <v>442</v>
      </c>
      <c r="H320" s="35">
        <v>0.4375</v>
      </c>
      <c r="I320" s="35">
        <v>0.5208333333333334</v>
      </c>
      <c r="J320" s="33">
        <v>1.1</v>
      </c>
      <c r="K320" s="33">
        <v>0.239</v>
      </c>
      <c r="L320" s="36">
        <v>44.4</v>
      </c>
      <c r="M320" s="36">
        <v>46.8</v>
      </c>
      <c r="N320" s="36">
        <v>48.6</v>
      </c>
      <c r="O320" s="36">
        <v>52.2</v>
      </c>
      <c r="P320" s="36">
        <v>49.1</v>
      </c>
      <c r="Q320" s="31">
        <v>48.22</v>
      </c>
      <c r="R320" s="36">
        <v>8.192</v>
      </c>
      <c r="S320" s="36">
        <v>8.293</v>
      </c>
      <c r="T320" s="36">
        <v>8.364</v>
      </c>
      <c r="U320" s="36">
        <v>8.244</v>
      </c>
      <c r="V320" s="36">
        <v>8.112</v>
      </c>
      <c r="W320" s="31">
        <v>8.241000000000001</v>
      </c>
      <c r="X320" s="36">
        <v>14.1</v>
      </c>
      <c r="Y320" s="36">
        <v>14.0</v>
      </c>
      <c r="Z320" s="36">
        <v>15.3</v>
      </c>
      <c r="AA320" s="36">
        <v>15.4</v>
      </c>
      <c r="AB320" s="36">
        <v>15.9</v>
      </c>
      <c r="AC320" s="31">
        <v>14.940000000000001</v>
      </c>
      <c r="AD320" s="36">
        <v>507.0</v>
      </c>
      <c r="AE320" s="36">
        <v>532.0</v>
      </c>
      <c r="AF320" s="36">
        <v>550.0</v>
      </c>
      <c r="AG320" s="36">
        <v>580.0</v>
      </c>
      <c r="AH320" s="36">
        <v>598.0</v>
      </c>
      <c r="AI320" s="31">
        <v>553.4</v>
      </c>
      <c r="AJ320" s="36">
        <v>8.59</v>
      </c>
      <c r="AK320" s="36">
        <v>7.08</v>
      </c>
      <c r="AL320" s="36">
        <v>7.06</v>
      </c>
      <c r="AM320" s="36">
        <v>6.42</v>
      </c>
      <c r="AN320" s="36">
        <v>6.15</v>
      </c>
      <c r="AO320" s="31">
        <v>7.06</v>
      </c>
      <c r="AP320" s="40">
        <v>50.3</v>
      </c>
      <c r="AQ320" s="36">
        <v>321.0</v>
      </c>
      <c r="AR320" s="36">
        <v>51.3</v>
      </c>
      <c r="AS320" s="41">
        <v>10.0</v>
      </c>
      <c r="AT320" s="40">
        <v>0.84</v>
      </c>
      <c r="AU320" s="40">
        <v>1.178E8</v>
      </c>
      <c r="AV320" s="40">
        <v>3.81</v>
      </c>
      <c r="AW320" s="36">
        <v>35.6</v>
      </c>
      <c r="AX320" s="41">
        <v>1.0</v>
      </c>
      <c r="AY320" s="41">
        <v>0.5</v>
      </c>
      <c r="AZ320" s="42">
        <v>0.01</v>
      </c>
      <c r="BA320" s="36">
        <v>36.11</v>
      </c>
    </row>
    <row r="321" ht="14.25" customHeight="1">
      <c r="A321" s="32" t="s">
        <v>443</v>
      </c>
      <c r="B321" s="33" t="s">
        <v>55</v>
      </c>
      <c r="C321" s="29"/>
      <c r="D321" s="29"/>
      <c r="E321" s="34">
        <v>43750.0</v>
      </c>
      <c r="F321" s="29">
        <v>1.0</v>
      </c>
      <c r="G321" s="33" t="s">
        <v>444</v>
      </c>
      <c r="H321" s="35">
        <v>0.5416666666666666</v>
      </c>
      <c r="I321" s="35">
        <v>0.625</v>
      </c>
      <c r="J321" s="33">
        <v>3.0</v>
      </c>
      <c r="K321" s="33">
        <v>0.218</v>
      </c>
      <c r="L321" s="36">
        <v>96.4</v>
      </c>
      <c r="M321" s="36">
        <v>94.4</v>
      </c>
      <c r="N321" s="36">
        <v>85.5</v>
      </c>
      <c r="O321" s="36">
        <v>86.5</v>
      </c>
      <c r="P321" s="36">
        <v>80.3</v>
      </c>
      <c r="Q321" s="31">
        <v>88.62</v>
      </c>
      <c r="R321" s="36">
        <v>8.05</v>
      </c>
      <c r="S321" s="36">
        <v>8.205</v>
      </c>
      <c r="T321" s="36">
        <v>8.215</v>
      </c>
      <c r="U321" s="36">
        <v>8.134</v>
      </c>
      <c r="V321" s="36">
        <v>8.102</v>
      </c>
      <c r="W321" s="31">
        <v>8.141200000000001</v>
      </c>
      <c r="X321" s="36">
        <v>20.7</v>
      </c>
      <c r="Y321" s="36">
        <v>21.5</v>
      </c>
      <c r="Z321" s="36">
        <v>20.9</v>
      </c>
      <c r="AA321" s="36">
        <v>20.6</v>
      </c>
      <c r="AB321" s="36">
        <v>20.7</v>
      </c>
      <c r="AC321" s="31">
        <v>20.880000000000003</v>
      </c>
      <c r="AD321" s="36">
        <v>714.0</v>
      </c>
      <c r="AE321" s="36">
        <v>711.0</v>
      </c>
      <c r="AF321" s="36">
        <v>720.0</v>
      </c>
      <c r="AG321" s="36">
        <v>729.0</v>
      </c>
      <c r="AH321" s="36">
        <v>724.0</v>
      </c>
      <c r="AI321" s="31">
        <v>719.6</v>
      </c>
      <c r="AJ321" s="36">
        <v>2.37</v>
      </c>
      <c r="AK321" s="36">
        <v>2.45</v>
      </c>
      <c r="AL321" s="36">
        <v>2.78</v>
      </c>
      <c r="AM321" s="36">
        <v>2.5</v>
      </c>
      <c r="AN321" s="36">
        <v>2.38</v>
      </c>
      <c r="AO321" s="31">
        <v>2.496</v>
      </c>
      <c r="AP321" s="40">
        <v>96.0</v>
      </c>
      <c r="AQ321" s="36">
        <v>304.0</v>
      </c>
      <c r="AR321" s="36">
        <v>143.0</v>
      </c>
      <c r="AS321" s="40">
        <v>23.6</v>
      </c>
      <c r="AT321" s="40">
        <v>1.92</v>
      </c>
      <c r="AU321" s="40">
        <v>2.143E8</v>
      </c>
      <c r="AV321" s="40">
        <v>3.871</v>
      </c>
      <c r="AW321" s="36">
        <v>34.1</v>
      </c>
      <c r="AX321" s="40">
        <v>3540.0</v>
      </c>
      <c r="AY321" s="41">
        <v>0.5</v>
      </c>
      <c r="AZ321" s="42">
        <v>0.01</v>
      </c>
      <c r="BA321" s="36">
        <v>34.61</v>
      </c>
    </row>
    <row r="322" ht="14.25" customHeight="1">
      <c r="A322" s="32" t="s">
        <v>445</v>
      </c>
      <c r="B322" s="33" t="s">
        <v>95</v>
      </c>
      <c r="C322" s="29"/>
      <c r="D322" s="29"/>
      <c r="E322" s="34">
        <v>43750.0</v>
      </c>
      <c r="F322" s="29">
        <v>1.0</v>
      </c>
      <c r="G322" s="33" t="s">
        <v>446</v>
      </c>
      <c r="H322" s="35">
        <v>0.2916666666666667</v>
      </c>
      <c r="I322" s="35">
        <v>0.375</v>
      </c>
      <c r="J322" s="33" t="s">
        <v>420</v>
      </c>
      <c r="K322" s="33" t="s">
        <v>420</v>
      </c>
      <c r="L322" s="36">
        <v>5.75</v>
      </c>
      <c r="M322" s="36">
        <v>7.89</v>
      </c>
      <c r="N322" s="36">
        <v>7.65</v>
      </c>
      <c r="O322" s="36">
        <v>8.41</v>
      </c>
      <c r="P322" s="36">
        <v>5.68</v>
      </c>
      <c r="Q322" s="31">
        <v>7.075999999999999</v>
      </c>
      <c r="R322" s="36">
        <v>7.9</v>
      </c>
      <c r="S322" s="36">
        <v>7.9</v>
      </c>
      <c r="T322" s="36">
        <v>7.77</v>
      </c>
      <c r="U322" s="36">
        <v>7.8</v>
      </c>
      <c r="V322" s="36">
        <v>7.73</v>
      </c>
      <c r="W322" s="31">
        <v>7.82</v>
      </c>
      <c r="X322" s="36">
        <v>15.8</v>
      </c>
      <c r="Y322" s="36">
        <v>15.9</v>
      </c>
      <c r="Z322" s="36">
        <v>16.5</v>
      </c>
      <c r="AA322" s="36">
        <v>16.5</v>
      </c>
      <c r="AB322" s="36">
        <v>16.4</v>
      </c>
      <c r="AC322" s="31">
        <v>16.22</v>
      </c>
      <c r="AD322" s="36">
        <v>311.0</v>
      </c>
      <c r="AE322" s="36">
        <v>332.0</v>
      </c>
      <c r="AF322" s="36">
        <v>263.0</v>
      </c>
      <c r="AG322" s="36">
        <v>226.0</v>
      </c>
      <c r="AH322" s="36">
        <v>243.0</v>
      </c>
      <c r="AI322" s="31">
        <v>275.0</v>
      </c>
      <c r="AJ322" s="36">
        <v>5.6</v>
      </c>
      <c r="AK322" s="36">
        <v>5.34</v>
      </c>
      <c r="AL322" s="36">
        <v>5.46</v>
      </c>
      <c r="AM322" s="36">
        <v>5.62</v>
      </c>
      <c r="AN322" s="36">
        <v>5.59</v>
      </c>
      <c r="AO322" s="31">
        <v>5.522</v>
      </c>
      <c r="AP322" s="40">
        <v>44.4</v>
      </c>
      <c r="AQ322" s="36">
        <v>208.0</v>
      </c>
      <c r="AR322" s="36">
        <v>30.8</v>
      </c>
      <c r="AS322" s="41">
        <v>10.0</v>
      </c>
      <c r="AT322" s="40">
        <v>1.84</v>
      </c>
      <c r="AU322" s="40">
        <v>7.03E7</v>
      </c>
      <c r="AV322" s="40">
        <v>2.706</v>
      </c>
      <c r="AW322" s="36">
        <v>12.4</v>
      </c>
      <c r="AX322" s="40">
        <v>17000.0</v>
      </c>
      <c r="AY322" s="41">
        <v>0.5</v>
      </c>
      <c r="AZ322" s="42">
        <v>0.01</v>
      </c>
      <c r="BA322" s="36">
        <v>12.91</v>
      </c>
    </row>
    <row r="323" ht="14.25" customHeight="1">
      <c r="A323" s="32" t="s">
        <v>447</v>
      </c>
      <c r="B323" s="33" t="s">
        <v>97</v>
      </c>
      <c r="C323" s="29"/>
      <c r="D323" s="29"/>
      <c r="E323" s="34">
        <v>43750.0</v>
      </c>
      <c r="F323" s="29">
        <v>1.0</v>
      </c>
      <c r="G323" s="33" t="s">
        <v>448</v>
      </c>
      <c r="H323" s="35">
        <v>0.4166666666666667</v>
      </c>
      <c r="I323" s="35">
        <v>0.5</v>
      </c>
      <c r="J323" s="33">
        <v>3.2</v>
      </c>
      <c r="K323" s="33">
        <v>0.12</v>
      </c>
      <c r="L323" s="36">
        <v>107.3</v>
      </c>
      <c r="M323" s="36">
        <v>115.9</v>
      </c>
      <c r="N323" s="36">
        <v>122.3</v>
      </c>
      <c r="O323" s="36">
        <v>121.9</v>
      </c>
      <c r="P323" s="36">
        <v>110.8</v>
      </c>
      <c r="Q323" s="31">
        <v>115.63999999999999</v>
      </c>
      <c r="R323" s="36">
        <v>7.62</v>
      </c>
      <c r="S323" s="36">
        <v>7.68</v>
      </c>
      <c r="T323" s="36">
        <v>7.55</v>
      </c>
      <c r="U323" s="36">
        <v>7.56</v>
      </c>
      <c r="V323" s="36">
        <v>7.67</v>
      </c>
      <c r="W323" s="31">
        <v>7.616</v>
      </c>
      <c r="X323" s="36">
        <v>16.2</v>
      </c>
      <c r="Y323" s="36">
        <v>16.4</v>
      </c>
      <c r="Z323" s="36">
        <v>16.4</v>
      </c>
      <c r="AA323" s="36">
        <v>16.9</v>
      </c>
      <c r="AB323" s="36">
        <v>17.0</v>
      </c>
      <c r="AC323" s="31">
        <v>16.58</v>
      </c>
      <c r="AD323" s="36">
        <v>258.0</v>
      </c>
      <c r="AE323" s="36">
        <v>281.0</v>
      </c>
      <c r="AF323" s="36">
        <v>254.0</v>
      </c>
      <c r="AG323" s="36">
        <v>241.0</v>
      </c>
      <c r="AH323" s="36">
        <v>252.0</v>
      </c>
      <c r="AI323" s="31">
        <v>257.2</v>
      </c>
      <c r="AJ323" s="36">
        <v>2.79</v>
      </c>
      <c r="AK323" s="36">
        <v>2.65</v>
      </c>
      <c r="AL323" s="36">
        <v>2.82</v>
      </c>
      <c r="AM323" s="36">
        <v>3.02</v>
      </c>
      <c r="AN323" s="36">
        <v>3.08</v>
      </c>
      <c r="AO323" s="31">
        <v>2.872</v>
      </c>
      <c r="AP323" s="40">
        <v>80.0</v>
      </c>
      <c r="AQ323" s="36">
        <v>249.0</v>
      </c>
      <c r="AR323" s="36">
        <v>51.4</v>
      </c>
      <c r="AS323" s="41">
        <v>10.0</v>
      </c>
      <c r="AT323" s="40">
        <v>3.24</v>
      </c>
      <c r="AU323" s="40">
        <v>4.352E8</v>
      </c>
      <c r="AV323" s="40">
        <v>1.77</v>
      </c>
      <c r="AW323" s="36">
        <v>13.5</v>
      </c>
      <c r="AX323" s="40">
        <v>9210.0</v>
      </c>
      <c r="AY323" s="41">
        <v>0.5</v>
      </c>
      <c r="AZ323" s="42">
        <v>0.01</v>
      </c>
      <c r="BA323" s="36">
        <v>14.01</v>
      </c>
    </row>
    <row r="324" ht="14.25" customHeight="1">
      <c r="A324" s="32" t="s">
        <v>449</v>
      </c>
      <c r="B324" s="33" t="s">
        <v>85</v>
      </c>
      <c r="C324" s="29"/>
      <c r="D324" s="29"/>
      <c r="E324" s="34">
        <v>43750.0</v>
      </c>
      <c r="F324" s="29">
        <v>1.0</v>
      </c>
      <c r="G324" s="33" t="s">
        <v>450</v>
      </c>
      <c r="H324" s="35">
        <v>0.5659722222222222</v>
      </c>
      <c r="I324" s="35">
        <v>0.6493055555555556</v>
      </c>
      <c r="J324" s="33">
        <v>5.8</v>
      </c>
      <c r="K324" s="33">
        <v>0.137</v>
      </c>
      <c r="L324" s="36">
        <v>140.7</v>
      </c>
      <c r="M324" s="36">
        <v>134.3</v>
      </c>
      <c r="N324" s="36">
        <v>125.6</v>
      </c>
      <c r="O324" s="36">
        <v>147.1</v>
      </c>
      <c r="P324" s="36">
        <v>153.8</v>
      </c>
      <c r="Q324" s="31">
        <v>140.3</v>
      </c>
      <c r="R324" s="36">
        <v>8.17</v>
      </c>
      <c r="S324" s="36">
        <v>8.16</v>
      </c>
      <c r="T324" s="36">
        <v>8.16</v>
      </c>
      <c r="U324" s="36">
        <v>8.2</v>
      </c>
      <c r="V324" s="36">
        <v>8.27</v>
      </c>
      <c r="W324" s="31">
        <v>8.191999999999998</v>
      </c>
      <c r="X324" s="36">
        <v>18.7</v>
      </c>
      <c r="Y324" s="36">
        <v>18.7</v>
      </c>
      <c r="Z324" s="36">
        <v>18.5</v>
      </c>
      <c r="AA324" s="36">
        <v>18.4</v>
      </c>
      <c r="AB324" s="36">
        <v>18.2</v>
      </c>
      <c r="AC324" s="31">
        <v>18.5</v>
      </c>
      <c r="AD324" s="36">
        <v>580.0</v>
      </c>
      <c r="AE324" s="36">
        <v>588.0</v>
      </c>
      <c r="AF324" s="36">
        <v>577.0</v>
      </c>
      <c r="AG324" s="36">
        <v>596.0</v>
      </c>
      <c r="AH324" s="36">
        <v>592.0</v>
      </c>
      <c r="AI324" s="31">
        <v>586.6</v>
      </c>
      <c r="AJ324" s="36">
        <v>1.55</v>
      </c>
      <c r="AK324" s="36">
        <v>1.6</v>
      </c>
      <c r="AL324" s="36">
        <v>1.69</v>
      </c>
      <c r="AM324" s="36">
        <v>1.61</v>
      </c>
      <c r="AN324" s="36">
        <v>1.77</v>
      </c>
      <c r="AO324" s="31">
        <v>1.6440000000000001</v>
      </c>
      <c r="AP324" s="40">
        <v>348.0</v>
      </c>
      <c r="AQ324" s="36">
        <v>532.0</v>
      </c>
      <c r="AR324" s="36">
        <v>130.0</v>
      </c>
      <c r="AS324" s="40">
        <v>57.4</v>
      </c>
      <c r="AT324" s="40">
        <v>5.13</v>
      </c>
      <c r="AU324" s="40">
        <v>8.2E8</v>
      </c>
      <c r="AV324" s="40">
        <v>4.351</v>
      </c>
      <c r="AW324" s="36">
        <v>24.7</v>
      </c>
      <c r="AX324" s="40">
        <v>5480.0</v>
      </c>
      <c r="AY324" s="41">
        <v>0.5</v>
      </c>
      <c r="AZ324" s="42">
        <v>0.01</v>
      </c>
      <c r="BA324" s="36">
        <v>25.21</v>
      </c>
    </row>
    <row r="325" ht="14.25" customHeight="1">
      <c r="A325" s="32" t="s">
        <v>451</v>
      </c>
      <c r="B325" s="33" t="s">
        <v>63</v>
      </c>
      <c r="C325" s="29"/>
      <c r="D325" s="29"/>
      <c r="E325" s="34">
        <v>43750.0</v>
      </c>
      <c r="F325" s="29">
        <v>1.0</v>
      </c>
      <c r="G325" s="33" t="s">
        <v>452</v>
      </c>
      <c r="H325" s="35">
        <v>0.6666666666666666</v>
      </c>
      <c r="I325" s="35">
        <v>0.75</v>
      </c>
      <c r="J325" s="33">
        <v>6.5</v>
      </c>
      <c r="K325" s="33">
        <v>0.145</v>
      </c>
      <c r="L325" s="36">
        <v>354.1</v>
      </c>
      <c r="M325" s="36">
        <v>380.4</v>
      </c>
      <c r="N325" s="36">
        <v>365.0</v>
      </c>
      <c r="O325" s="36">
        <v>370.7</v>
      </c>
      <c r="P325" s="36">
        <v>359.8</v>
      </c>
      <c r="Q325" s="31">
        <v>366.0</v>
      </c>
      <c r="R325" s="36">
        <v>8.15</v>
      </c>
      <c r="S325" s="36">
        <v>8.21</v>
      </c>
      <c r="T325" s="36">
        <v>8.25</v>
      </c>
      <c r="U325" s="36">
        <v>8.24</v>
      </c>
      <c r="V325" s="36">
        <v>8.29</v>
      </c>
      <c r="W325" s="31">
        <v>8.228</v>
      </c>
      <c r="X325" s="36">
        <v>18.2</v>
      </c>
      <c r="Y325" s="36">
        <v>18.2</v>
      </c>
      <c r="Z325" s="36">
        <v>18.1</v>
      </c>
      <c r="AA325" s="36">
        <v>18.1</v>
      </c>
      <c r="AB325" s="36">
        <v>17.9</v>
      </c>
      <c r="AC325" s="31">
        <v>18.1</v>
      </c>
      <c r="AD325" s="36">
        <v>627.0</v>
      </c>
      <c r="AE325" s="36">
        <v>631.0</v>
      </c>
      <c r="AF325" s="36">
        <v>638.0</v>
      </c>
      <c r="AG325" s="36">
        <v>646.0</v>
      </c>
      <c r="AH325" s="36">
        <v>654.0</v>
      </c>
      <c r="AI325" s="31">
        <v>639.2</v>
      </c>
      <c r="AJ325" s="36">
        <v>0.81</v>
      </c>
      <c r="AK325" s="36">
        <v>0.87</v>
      </c>
      <c r="AL325" s="36">
        <v>0.87</v>
      </c>
      <c r="AM325" s="36">
        <v>0.86</v>
      </c>
      <c r="AN325" s="36">
        <v>0.96</v>
      </c>
      <c r="AO325" s="31">
        <v>0.874</v>
      </c>
      <c r="AP325" s="40">
        <v>334.0</v>
      </c>
      <c r="AQ325" s="36">
        <v>456.0</v>
      </c>
      <c r="AR325" s="36">
        <v>122.0</v>
      </c>
      <c r="AS325" s="40">
        <v>71.8</v>
      </c>
      <c r="AT325" s="40">
        <v>5.62</v>
      </c>
      <c r="AU325" s="40">
        <v>8.62E8</v>
      </c>
      <c r="AV325" s="40">
        <v>4.621</v>
      </c>
      <c r="AW325" s="36">
        <v>18.8</v>
      </c>
      <c r="AX325" s="41">
        <v>1.0</v>
      </c>
      <c r="AY325" s="41">
        <v>0.5</v>
      </c>
      <c r="AZ325" s="42">
        <v>0.01</v>
      </c>
      <c r="BA325" s="36">
        <v>19.31</v>
      </c>
    </row>
    <row r="326" ht="14.25" customHeight="1">
      <c r="A326" s="10" t="s">
        <v>453</v>
      </c>
      <c r="B326" s="12" t="s">
        <v>67</v>
      </c>
      <c r="C326" s="12"/>
      <c r="D326" s="12"/>
      <c r="E326" s="44">
        <v>43846.0</v>
      </c>
      <c r="F326" s="29">
        <v>1.0</v>
      </c>
      <c r="G326" s="12" t="s">
        <v>454</v>
      </c>
      <c r="H326" s="45">
        <v>0.25</v>
      </c>
      <c r="I326" s="45">
        <v>0.3333333333333333</v>
      </c>
      <c r="J326" s="12">
        <v>1.1</v>
      </c>
      <c r="K326" s="12">
        <v>0.1</v>
      </c>
      <c r="L326" s="14">
        <v>56.1</v>
      </c>
      <c r="M326" s="14">
        <v>56.1</v>
      </c>
      <c r="N326" s="14">
        <v>57.9</v>
      </c>
      <c r="O326" s="14">
        <v>55.5</v>
      </c>
      <c r="P326" s="14">
        <v>58.0</v>
      </c>
      <c r="Q326" s="14">
        <v>56.72</v>
      </c>
      <c r="R326" s="14">
        <v>7.7</v>
      </c>
      <c r="S326" s="14">
        <v>7.75</v>
      </c>
      <c r="T326" s="14">
        <v>7.77</v>
      </c>
      <c r="U326" s="14">
        <v>7.39</v>
      </c>
      <c r="V326" s="14">
        <v>7.8</v>
      </c>
      <c r="W326" s="14">
        <v>7.68</v>
      </c>
      <c r="X326" s="14">
        <v>11.8</v>
      </c>
      <c r="Y326" s="14">
        <v>11.8</v>
      </c>
      <c r="Z326" s="14">
        <v>11.9</v>
      </c>
      <c r="AA326" s="14">
        <v>11.9</v>
      </c>
      <c r="AB326" s="14">
        <v>12.0</v>
      </c>
      <c r="AC326" s="14">
        <v>11.9</v>
      </c>
      <c r="AD326" s="14">
        <v>239.0</v>
      </c>
      <c r="AE326" s="14">
        <v>238.0</v>
      </c>
      <c r="AF326" s="14">
        <v>235.0</v>
      </c>
      <c r="AG326" s="14">
        <v>232.0</v>
      </c>
      <c r="AH326" s="14">
        <v>236.0</v>
      </c>
      <c r="AI326" s="14">
        <v>236.0</v>
      </c>
      <c r="AJ326" s="14">
        <v>7.13</v>
      </c>
      <c r="AK326" s="14">
        <v>7.05</v>
      </c>
      <c r="AL326" s="14">
        <v>7.1</v>
      </c>
      <c r="AM326" s="14">
        <v>6.78</v>
      </c>
      <c r="AN326" s="14">
        <v>6.9</v>
      </c>
      <c r="AO326" s="14">
        <v>6.99</v>
      </c>
      <c r="AP326" s="14">
        <v>12.5</v>
      </c>
      <c r="AQ326" s="14">
        <v>44.9</v>
      </c>
      <c r="AR326" s="14">
        <v>16.0</v>
      </c>
      <c r="AS326" s="14">
        <v>10.0</v>
      </c>
      <c r="AT326" s="14">
        <v>0.4</v>
      </c>
      <c r="AU326" s="14">
        <v>1565000.0</v>
      </c>
      <c r="AV326" s="14">
        <v>1.22</v>
      </c>
      <c r="AW326" s="14">
        <v>13.1</v>
      </c>
      <c r="AX326" s="14">
        <v>200.0</v>
      </c>
      <c r="AY326" s="14">
        <v>0.5</v>
      </c>
      <c r="AZ326" s="14">
        <v>0.01</v>
      </c>
      <c r="BA326" s="14">
        <v>13.61</v>
      </c>
    </row>
    <row r="327" ht="14.25" customHeight="1">
      <c r="A327" s="10" t="s">
        <v>455</v>
      </c>
      <c r="B327" s="12" t="s">
        <v>77</v>
      </c>
      <c r="C327" s="12"/>
      <c r="D327" s="12"/>
      <c r="E327" s="44">
        <v>43846.0</v>
      </c>
      <c r="F327" s="29">
        <v>1.0</v>
      </c>
      <c r="G327" s="12" t="s">
        <v>456</v>
      </c>
      <c r="H327" s="45">
        <v>0.34375</v>
      </c>
      <c r="I327" s="45">
        <v>0.4270833333333333</v>
      </c>
      <c r="J327" s="12">
        <v>4.3</v>
      </c>
      <c r="K327" s="12">
        <v>0.14</v>
      </c>
      <c r="L327" s="14">
        <v>158.2</v>
      </c>
      <c r="M327" s="14">
        <v>168.9</v>
      </c>
      <c r="N327" s="14">
        <v>180.0</v>
      </c>
      <c r="O327" s="14">
        <v>172.5</v>
      </c>
      <c r="P327" s="14">
        <v>171.0</v>
      </c>
      <c r="Q327" s="14">
        <v>170.12</v>
      </c>
      <c r="R327" s="14">
        <v>7.69</v>
      </c>
      <c r="S327" s="14">
        <v>7.52</v>
      </c>
      <c r="T327" s="14">
        <v>7.53</v>
      </c>
      <c r="U327" s="14">
        <v>7.49</v>
      </c>
      <c r="V327" s="14">
        <v>7.51</v>
      </c>
      <c r="W327" s="14">
        <v>7.55</v>
      </c>
      <c r="X327" s="14">
        <v>16.3</v>
      </c>
      <c r="Y327" s="14">
        <v>16.5</v>
      </c>
      <c r="Z327" s="14">
        <v>16.7</v>
      </c>
      <c r="AA327" s="14">
        <v>16.4</v>
      </c>
      <c r="AB327" s="14">
        <v>16.9</v>
      </c>
      <c r="AC327" s="14">
        <v>16.6</v>
      </c>
      <c r="AD327" s="14">
        <v>329.0</v>
      </c>
      <c r="AE327" s="14">
        <v>330.0</v>
      </c>
      <c r="AF327" s="14">
        <v>338.0</v>
      </c>
      <c r="AG327" s="14">
        <v>326.0</v>
      </c>
      <c r="AH327" s="14">
        <v>330.0</v>
      </c>
      <c r="AI327" s="14">
        <v>330.6</v>
      </c>
      <c r="AJ327" s="14">
        <v>1.99</v>
      </c>
      <c r="AK327" s="14">
        <v>2.02</v>
      </c>
      <c r="AL327" s="14">
        <v>2.0</v>
      </c>
      <c r="AM327" s="14">
        <v>1.94</v>
      </c>
      <c r="AN327" s="14">
        <v>1.97</v>
      </c>
      <c r="AO327" s="14">
        <v>1.98</v>
      </c>
      <c r="AP327" s="14">
        <v>129.0</v>
      </c>
      <c r="AQ327" s="14">
        <v>162.0</v>
      </c>
      <c r="AR327" s="14">
        <v>94.0</v>
      </c>
      <c r="AS327" s="14">
        <v>35.7</v>
      </c>
      <c r="AT327" s="14">
        <v>1.26</v>
      </c>
      <c r="AU327" s="14">
        <v>1565000.0</v>
      </c>
      <c r="AV327" s="14">
        <v>1.215</v>
      </c>
      <c r="AW327" s="14">
        <v>36.2</v>
      </c>
      <c r="AX327" s="14">
        <v>38730.0</v>
      </c>
      <c r="AY327" s="14">
        <v>0.5</v>
      </c>
      <c r="AZ327" s="14">
        <v>0.01</v>
      </c>
      <c r="BA327" s="14">
        <v>36.71</v>
      </c>
    </row>
    <row r="328" ht="14.25" customHeight="1">
      <c r="A328" s="10" t="s">
        <v>457</v>
      </c>
      <c r="B328" s="12" t="s">
        <v>65</v>
      </c>
      <c r="C328" s="12"/>
      <c r="D328" s="12"/>
      <c r="E328" s="44">
        <v>43846.0</v>
      </c>
      <c r="F328" s="29">
        <v>1.0</v>
      </c>
      <c r="G328" s="12" t="s">
        <v>458</v>
      </c>
      <c r="H328" s="45">
        <v>0.4375</v>
      </c>
      <c r="I328" s="45">
        <v>0.5208333333333334</v>
      </c>
      <c r="J328" s="12">
        <v>8.0</v>
      </c>
      <c r="K328" s="12">
        <v>0.17</v>
      </c>
      <c r="L328" s="14">
        <v>262.4</v>
      </c>
      <c r="M328" s="14">
        <v>248.3</v>
      </c>
      <c r="N328" s="14">
        <v>262.1</v>
      </c>
      <c r="O328" s="14">
        <v>245.2</v>
      </c>
      <c r="P328" s="14">
        <v>259.7</v>
      </c>
      <c r="Q328" s="14">
        <v>255.54</v>
      </c>
      <c r="R328" s="14">
        <v>7.57</v>
      </c>
      <c r="S328" s="14">
        <v>7.52</v>
      </c>
      <c r="T328" s="14">
        <v>7.61</v>
      </c>
      <c r="U328" s="14">
        <v>7.64</v>
      </c>
      <c r="V328" s="14">
        <v>7.55</v>
      </c>
      <c r="W328" s="14">
        <v>7.58</v>
      </c>
      <c r="X328" s="14">
        <v>20.1</v>
      </c>
      <c r="Y328" s="14">
        <v>19.1</v>
      </c>
      <c r="Z328" s="14">
        <v>19.2</v>
      </c>
      <c r="AA328" s="14">
        <v>19.4</v>
      </c>
      <c r="AB328" s="14">
        <v>19.1</v>
      </c>
      <c r="AC328" s="14">
        <v>19.4</v>
      </c>
      <c r="AD328" s="14">
        <v>373.0</v>
      </c>
      <c r="AE328" s="14">
        <v>386.0</v>
      </c>
      <c r="AF328" s="14">
        <v>409.0</v>
      </c>
      <c r="AG328" s="14">
        <v>373.0</v>
      </c>
      <c r="AH328" s="14">
        <v>389.0</v>
      </c>
      <c r="AI328" s="14">
        <v>386.0</v>
      </c>
      <c r="AJ328" s="14">
        <v>0.59</v>
      </c>
      <c r="AK328" s="14">
        <v>0.69</v>
      </c>
      <c r="AL328" s="14">
        <v>0.52</v>
      </c>
      <c r="AM328" s="14">
        <v>0.56</v>
      </c>
      <c r="AN328" s="14">
        <v>0.61</v>
      </c>
      <c r="AO328" s="14">
        <v>0.63</v>
      </c>
      <c r="AP328" s="14">
        <v>102.0</v>
      </c>
      <c r="AQ328" s="14">
        <v>214.8</v>
      </c>
      <c r="AR328" s="14">
        <v>147.0</v>
      </c>
      <c r="AS328" s="14">
        <v>73.2</v>
      </c>
      <c r="AT328" s="14">
        <v>2.48</v>
      </c>
      <c r="AU328" s="14">
        <v>5.48E9</v>
      </c>
      <c r="AV328" s="14">
        <v>3.148</v>
      </c>
      <c r="AW328" s="14">
        <v>41.5</v>
      </c>
      <c r="AX328" s="14">
        <v>13500.0</v>
      </c>
      <c r="AY328" s="14">
        <v>0.5</v>
      </c>
      <c r="AZ328" s="14">
        <v>0.01</v>
      </c>
      <c r="BA328" s="14">
        <v>42.01</v>
      </c>
    </row>
    <row r="329" ht="14.25" customHeight="1">
      <c r="A329" s="10" t="s">
        <v>459</v>
      </c>
      <c r="B329" s="12" t="s">
        <v>70</v>
      </c>
      <c r="C329" s="12"/>
      <c r="D329" s="12"/>
      <c r="E329" s="44">
        <v>43846.0</v>
      </c>
      <c r="F329" s="29">
        <v>1.0</v>
      </c>
      <c r="G329" s="12" t="s">
        <v>460</v>
      </c>
      <c r="H329" s="45">
        <v>0.5833333333333334</v>
      </c>
      <c r="I329" s="45">
        <v>0.6666666666666666</v>
      </c>
      <c r="J329" s="12">
        <v>6.4</v>
      </c>
      <c r="K329" s="12">
        <v>0.16</v>
      </c>
      <c r="L329" s="14">
        <v>267.0</v>
      </c>
      <c r="M329" s="14">
        <v>229.3</v>
      </c>
      <c r="N329" s="14">
        <v>252.2</v>
      </c>
      <c r="O329" s="14">
        <v>280.9</v>
      </c>
      <c r="P329" s="14">
        <v>284.3</v>
      </c>
      <c r="Q329" s="14">
        <v>262.74</v>
      </c>
      <c r="R329" s="14">
        <v>7.62</v>
      </c>
      <c r="S329" s="14">
        <v>7.59</v>
      </c>
      <c r="T329" s="14">
        <v>7.65</v>
      </c>
      <c r="U329" s="14">
        <v>7.55</v>
      </c>
      <c r="V329" s="14">
        <v>7.6</v>
      </c>
      <c r="W329" s="14">
        <v>7.6</v>
      </c>
      <c r="X329" s="14">
        <v>19.4</v>
      </c>
      <c r="Y329" s="14">
        <v>19.1</v>
      </c>
      <c r="Z329" s="14">
        <v>19.0</v>
      </c>
      <c r="AA329" s="14">
        <v>18.5</v>
      </c>
      <c r="AB329" s="14">
        <v>18.4</v>
      </c>
      <c r="AC329" s="14">
        <v>18.9</v>
      </c>
      <c r="AD329" s="14">
        <v>422.0</v>
      </c>
      <c r="AE329" s="14">
        <v>410.0</v>
      </c>
      <c r="AF329" s="14">
        <v>415.0</v>
      </c>
      <c r="AG329" s="14">
        <v>405.0</v>
      </c>
      <c r="AH329" s="14">
        <v>409.0</v>
      </c>
      <c r="AI329" s="14">
        <v>412.2</v>
      </c>
      <c r="AJ329" s="14">
        <v>0.36</v>
      </c>
      <c r="AK329" s="14">
        <v>0.43</v>
      </c>
      <c r="AL329" s="14">
        <v>0.42</v>
      </c>
      <c r="AM329" s="14">
        <v>0.53</v>
      </c>
      <c r="AN329" s="14">
        <v>0.25</v>
      </c>
      <c r="AO329" s="14">
        <v>0.4</v>
      </c>
      <c r="AP329" s="14">
        <v>151.0</v>
      </c>
      <c r="AQ329" s="14">
        <v>185.0</v>
      </c>
      <c r="AR329" s="14">
        <v>109.0</v>
      </c>
      <c r="AS329" s="14">
        <v>10.0</v>
      </c>
      <c r="AT329" s="14">
        <v>2.74</v>
      </c>
      <c r="AU329" s="14">
        <v>3.654E8</v>
      </c>
      <c r="AV329" s="14">
        <v>2.74</v>
      </c>
      <c r="AW329" s="14">
        <v>27.3</v>
      </c>
      <c r="AX329" s="14">
        <v>12100.0</v>
      </c>
      <c r="AY329" s="14">
        <v>0.5</v>
      </c>
      <c r="AZ329" s="14">
        <v>0.01</v>
      </c>
      <c r="BA329" s="14">
        <v>27.810000000000002</v>
      </c>
    </row>
    <row r="330" ht="14.25" customHeight="1">
      <c r="A330" s="10" t="s">
        <v>461</v>
      </c>
      <c r="B330" s="12" t="s">
        <v>114</v>
      </c>
      <c r="C330" s="12"/>
      <c r="D330" s="12"/>
      <c r="E330" s="44">
        <v>43846.0</v>
      </c>
      <c r="F330" s="29">
        <v>1.0</v>
      </c>
      <c r="G330" s="12" t="s">
        <v>462</v>
      </c>
      <c r="H330" s="45">
        <v>0.25</v>
      </c>
      <c r="I330" s="45">
        <v>0.3333333333333333</v>
      </c>
      <c r="J330" s="12">
        <v>6.4</v>
      </c>
      <c r="K330" s="12">
        <v>0.068</v>
      </c>
      <c r="L330" s="14">
        <v>7.5</v>
      </c>
      <c r="M330" s="14">
        <v>12.9</v>
      </c>
      <c r="N330" s="14">
        <v>12.1</v>
      </c>
      <c r="O330" s="14">
        <v>13.8</v>
      </c>
      <c r="P330" s="14">
        <v>12.2</v>
      </c>
      <c r="Q330" s="14">
        <v>11.7</v>
      </c>
      <c r="R330" s="14">
        <v>7.6</v>
      </c>
      <c r="S330" s="14">
        <v>7.47</v>
      </c>
      <c r="T330" s="14">
        <v>7.54</v>
      </c>
      <c r="U330" s="14">
        <v>7.67</v>
      </c>
      <c r="V330" s="14">
        <v>7.58</v>
      </c>
      <c r="W330" s="14">
        <v>7.57</v>
      </c>
      <c r="X330" s="14">
        <v>17.3</v>
      </c>
      <c r="Y330" s="14">
        <v>17.2</v>
      </c>
      <c r="Z330" s="14">
        <v>17.3</v>
      </c>
      <c r="AA330" s="14">
        <v>17.8</v>
      </c>
      <c r="AB330" s="14">
        <v>17.8</v>
      </c>
      <c r="AC330" s="14">
        <v>17.5</v>
      </c>
      <c r="AD330" s="14">
        <v>489.0</v>
      </c>
      <c r="AE330" s="14">
        <v>469.0</v>
      </c>
      <c r="AF330" s="14">
        <v>486.0</v>
      </c>
      <c r="AG330" s="14">
        <v>501.0</v>
      </c>
      <c r="AH330" s="14">
        <v>498.0</v>
      </c>
      <c r="AI330" s="14">
        <v>488.6</v>
      </c>
      <c r="AJ330" s="14">
        <v>1.28</v>
      </c>
      <c r="AK330" s="14">
        <v>1.02</v>
      </c>
      <c r="AL330" s="14">
        <v>0.94</v>
      </c>
      <c r="AM330" s="14">
        <v>0.87</v>
      </c>
      <c r="AN330" s="14">
        <v>0.94</v>
      </c>
      <c r="AO330" s="14">
        <v>1.01</v>
      </c>
      <c r="AP330" s="14">
        <v>39.8</v>
      </c>
      <c r="AQ330" s="14">
        <v>93.15</v>
      </c>
      <c r="AR330" s="14">
        <v>18.7</v>
      </c>
      <c r="AS330" s="14">
        <v>10.0</v>
      </c>
      <c r="AT330" s="14">
        <v>1.2</v>
      </c>
      <c r="AU330" s="14">
        <v>2.613E8</v>
      </c>
      <c r="AV330" s="14">
        <v>2.099</v>
      </c>
      <c r="AW330" s="14">
        <v>20.5</v>
      </c>
      <c r="AX330" s="14">
        <v>38730.0</v>
      </c>
      <c r="AY330" s="14">
        <v>0.5</v>
      </c>
      <c r="AZ330" s="14">
        <v>0.01</v>
      </c>
      <c r="BA330" s="14">
        <v>21.01</v>
      </c>
    </row>
    <row r="331" ht="14.25" customHeight="1">
      <c r="A331" s="10" t="s">
        <v>463</v>
      </c>
      <c r="B331" s="12" t="s">
        <v>89</v>
      </c>
      <c r="C331" s="12"/>
      <c r="D331" s="12"/>
      <c r="E331" s="44">
        <v>43846.0</v>
      </c>
      <c r="F331" s="29">
        <v>1.0</v>
      </c>
      <c r="G331" s="12" t="s">
        <v>464</v>
      </c>
      <c r="H331" s="45">
        <v>0.3541666666666667</v>
      </c>
      <c r="I331" s="45">
        <v>0.4375</v>
      </c>
      <c r="J331" s="12">
        <v>2.1</v>
      </c>
      <c r="K331" s="12">
        <v>0.123</v>
      </c>
      <c r="L331" s="14">
        <v>57.3</v>
      </c>
      <c r="M331" s="14">
        <v>57.7</v>
      </c>
      <c r="N331" s="14">
        <v>54.6</v>
      </c>
      <c r="O331" s="14">
        <v>58.7</v>
      </c>
      <c r="P331" s="14">
        <v>58.0</v>
      </c>
      <c r="Q331" s="14">
        <v>57.26</v>
      </c>
      <c r="R331" s="14">
        <v>7.62</v>
      </c>
      <c r="S331" s="14">
        <v>7.57</v>
      </c>
      <c r="T331" s="14">
        <v>7.74</v>
      </c>
      <c r="U331" s="14">
        <v>7.72</v>
      </c>
      <c r="V331" s="14">
        <v>7.65</v>
      </c>
      <c r="W331" s="14">
        <v>7.66</v>
      </c>
      <c r="X331" s="14">
        <v>16.6</v>
      </c>
      <c r="Y331" s="14">
        <v>16.9</v>
      </c>
      <c r="Z331" s="14">
        <v>17.4</v>
      </c>
      <c r="AA331" s="14">
        <v>17.7</v>
      </c>
      <c r="AB331" s="14">
        <v>18.3</v>
      </c>
      <c r="AC331" s="14">
        <v>17.4</v>
      </c>
      <c r="AD331" s="14">
        <v>463.0</v>
      </c>
      <c r="AE331" s="14">
        <v>462.0</v>
      </c>
      <c r="AF331" s="14">
        <v>462.0</v>
      </c>
      <c r="AG331" s="14">
        <v>468.0</v>
      </c>
      <c r="AH331" s="14">
        <v>466.0</v>
      </c>
      <c r="AI331" s="14">
        <v>464.2</v>
      </c>
      <c r="AJ331" s="14">
        <v>2.64</v>
      </c>
      <c r="AK331" s="14">
        <v>2.61</v>
      </c>
      <c r="AL331" s="14">
        <v>2.62</v>
      </c>
      <c r="AM331" s="14">
        <v>2.48</v>
      </c>
      <c r="AN331" s="14">
        <v>2.65</v>
      </c>
      <c r="AO331" s="14">
        <v>2.6</v>
      </c>
      <c r="AP331" s="14">
        <v>57.4</v>
      </c>
      <c r="AQ331" s="14">
        <v>74.23</v>
      </c>
      <c r="AR331" s="14">
        <v>23.8</v>
      </c>
      <c r="AS331" s="14">
        <v>10.0</v>
      </c>
      <c r="AT331" s="14">
        <v>1.15</v>
      </c>
      <c r="AU331" s="14">
        <v>1.45E8</v>
      </c>
      <c r="AV331" s="14">
        <v>1.766</v>
      </c>
      <c r="AW331" s="14">
        <v>24.1</v>
      </c>
      <c r="AX331" s="14">
        <v>26130.0</v>
      </c>
      <c r="AY331" s="14">
        <v>0.5</v>
      </c>
      <c r="AZ331" s="14">
        <v>0.01</v>
      </c>
      <c r="BA331" s="14">
        <v>24.610000000000003</v>
      </c>
    </row>
    <row r="332" ht="14.25" customHeight="1">
      <c r="A332" s="10" t="s">
        <v>465</v>
      </c>
      <c r="B332" s="12" t="s">
        <v>81</v>
      </c>
      <c r="C332" s="12"/>
      <c r="D332" s="12"/>
      <c r="E332" s="44">
        <v>43846.0</v>
      </c>
      <c r="F332" s="29">
        <v>1.0</v>
      </c>
      <c r="G332" s="12" t="s">
        <v>466</v>
      </c>
      <c r="H332" s="45">
        <v>0.4583333333333333</v>
      </c>
      <c r="I332" s="45">
        <v>0.5416666666666666</v>
      </c>
      <c r="J332" s="12">
        <v>3.0</v>
      </c>
      <c r="K332" s="12">
        <v>0.117</v>
      </c>
      <c r="L332" s="14">
        <v>61.8</v>
      </c>
      <c r="M332" s="14">
        <v>59.6</v>
      </c>
      <c r="N332" s="14">
        <v>77.2</v>
      </c>
      <c r="O332" s="14">
        <v>97.5</v>
      </c>
      <c r="P332" s="14">
        <v>97.3</v>
      </c>
      <c r="Q332" s="14">
        <v>78.68</v>
      </c>
      <c r="R332" s="14">
        <v>7.93</v>
      </c>
      <c r="S332" s="14">
        <v>7.97</v>
      </c>
      <c r="T332" s="14">
        <v>7.96</v>
      </c>
      <c r="U332" s="14">
        <v>7.87</v>
      </c>
      <c r="V332" s="14">
        <v>8.02</v>
      </c>
      <c r="W332" s="14">
        <v>7.95</v>
      </c>
      <c r="X332" s="14">
        <v>21.8</v>
      </c>
      <c r="Y332" s="14">
        <v>22.2</v>
      </c>
      <c r="Z332" s="14">
        <v>22.1</v>
      </c>
      <c r="AA332" s="14">
        <v>20.6</v>
      </c>
      <c r="AB332" s="14">
        <v>20.6</v>
      </c>
      <c r="AC332" s="14">
        <v>21.5</v>
      </c>
      <c r="AD332" s="14">
        <v>497.0</v>
      </c>
      <c r="AE332" s="14">
        <v>489.0</v>
      </c>
      <c r="AF332" s="14">
        <v>491.0</v>
      </c>
      <c r="AG332" s="14">
        <v>510.0</v>
      </c>
      <c r="AH332" s="14">
        <v>521.0</v>
      </c>
      <c r="AI332" s="14">
        <v>501.6</v>
      </c>
      <c r="AJ332" s="14">
        <v>2.5</v>
      </c>
      <c r="AK332" s="14">
        <v>2.32</v>
      </c>
      <c r="AL332" s="14">
        <v>2.21</v>
      </c>
      <c r="AM332" s="14">
        <v>0.98</v>
      </c>
      <c r="AN332" s="14">
        <v>0.99</v>
      </c>
      <c r="AO332" s="14">
        <v>1.8</v>
      </c>
      <c r="AP332" s="14">
        <v>32.2</v>
      </c>
      <c r="AQ332" s="14">
        <v>123.0</v>
      </c>
      <c r="AR332" s="14">
        <v>70.0</v>
      </c>
      <c r="AS332" s="14">
        <v>10.0</v>
      </c>
      <c r="AT332" s="14">
        <v>1.52</v>
      </c>
      <c r="AU332" s="14">
        <v>1.989E8</v>
      </c>
      <c r="AV332" s="14">
        <v>1.813</v>
      </c>
      <c r="AW332" s="14">
        <v>23.1</v>
      </c>
      <c r="AX332" s="14">
        <v>15531.0</v>
      </c>
      <c r="AY332" s="14">
        <v>0.5</v>
      </c>
      <c r="AZ332" s="14">
        <v>0.01</v>
      </c>
      <c r="BA332" s="14">
        <v>23.610000000000003</v>
      </c>
    </row>
    <row r="333" ht="14.25" customHeight="1">
      <c r="A333" s="10" t="s">
        <v>467</v>
      </c>
      <c r="B333" s="12" t="s">
        <v>91</v>
      </c>
      <c r="C333" s="12"/>
      <c r="D333" s="12"/>
      <c r="E333" s="44">
        <v>43846.0</v>
      </c>
      <c r="F333" s="29">
        <v>1.0</v>
      </c>
      <c r="G333" s="12" t="s">
        <v>468</v>
      </c>
      <c r="H333" s="45">
        <v>0.6666666666666666</v>
      </c>
      <c r="I333" s="45">
        <v>0.75</v>
      </c>
      <c r="J333" s="12">
        <v>6.15</v>
      </c>
      <c r="K333" s="12">
        <v>0.446</v>
      </c>
      <c r="L333" s="14">
        <v>325.7</v>
      </c>
      <c r="M333" s="14">
        <v>306.5</v>
      </c>
      <c r="N333" s="14">
        <v>328.3</v>
      </c>
      <c r="O333" s="14">
        <v>323.3</v>
      </c>
      <c r="P333" s="14">
        <v>323.3</v>
      </c>
      <c r="Q333" s="14">
        <v>321.42</v>
      </c>
      <c r="R333" s="14">
        <v>7.71</v>
      </c>
      <c r="S333" s="14">
        <v>7.74</v>
      </c>
      <c r="T333" s="14">
        <v>7.58</v>
      </c>
      <c r="U333" s="14">
        <v>7.57</v>
      </c>
      <c r="V333" s="14">
        <v>7.56</v>
      </c>
      <c r="W333" s="14">
        <v>7.63</v>
      </c>
      <c r="X333" s="14">
        <v>16.3</v>
      </c>
      <c r="Y333" s="14">
        <v>16.0</v>
      </c>
      <c r="Z333" s="14">
        <v>16.0</v>
      </c>
      <c r="AA333" s="14">
        <v>16.7</v>
      </c>
      <c r="AB333" s="14">
        <v>16.1</v>
      </c>
      <c r="AC333" s="14">
        <v>16.2</v>
      </c>
      <c r="AD333" s="14">
        <v>466.0</v>
      </c>
      <c r="AE333" s="14">
        <v>455.0</v>
      </c>
      <c r="AF333" s="14">
        <v>446.0</v>
      </c>
      <c r="AG333" s="14">
        <v>427.0</v>
      </c>
      <c r="AH333" s="14">
        <v>420.0</v>
      </c>
      <c r="AI333" s="14">
        <v>443.0</v>
      </c>
      <c r="AJ333" s="14">
        <v>1.27</v>
      </c>
      <c r="AK333" s="14">
        <v>1.15</v>
      </c>
      <c r="AL333" s="14">
        <v>0.75</v>
      </c>
      <c r="AM333" s="14">
        <v>0.59</v>
      </c>
      <c r="AN333" s="14">
        <v>0.88</v>
      </c>
      <c r="AO333" s="14">
        <v>0.93</v>
      </c>
      <c r="AP333" s="14">
        <v>43.6</v>
      </c>
      <c r="AQ333" s="14">
        <v>98.58</v>
      </c>
      <c r="AR333" s="14">
        <v>41.3</v>
      </c>
      <c r="AS333" s="14">
        <v>10.0</v>
      </c>
      <c r="AT333" s="14">
        <v>1.74</v>
      </c>
      <c r="AU333" s="14">
        <v>1.789E8</v>
      </c>
      <c r="AV333" s="14">
        <v>2.22</v>
      </c>
      <c r="AW333" s="14">
        <v>18.3</v>
      </c>
      <c r="AX333" s="14">
        <v>12033.0</v>
      </c>
      <c r="AY333" s="14">
        <v>0.5</v>
      </c>
      <c r="AZ333" s="14">
        <v>0.01</v>
      </c>
      <c r="BA333" s="14">
        <v>18.810000000000002</v>
      </c>
    </row>
    <row r="334" ht="14.25" customHeight="1">
      <c r="A334" s="10" t="s">
        <v>469</v>
      </c>
      <c r="B334" s="12" t="s">
        <v>118</v>
      </c>
      <c r="C334" s="12"/>
      <c r="D334" s="12"/>
      <c r="E334" s="44">
        <v>43846.0</v>
      </c>
      <c r="F334" s="29">
        <v>1.0</v>
      </c>
      <c r="G334" s="12" t="s">
        <v>470</v>
      </c>
      <c r="H334" s="45">
        <v>0.25</v>
      </c>
      <c r="I334" s="45">
        <v>0.3333333333333333</v>
      </c>
      <c r="J334" s="12">
        <v>0.6</v>
      </c>
      <c r="K334" s="12">
        <v>0.04</v>
      </c>
      <c r="L334" s="14">
        <v>4.2</v>
      </c>
      <c r="M334" s="14">
        <v>4.6</v>
      </c>
      <c r="N334" s="14">
        <v>4.7</v>
      </c>
      <c r="O334" s="14">
        <v>4.6</v>
      </c>
      <c r="P334" s="14">
        <v>4.3</v>
      </c>
      <c r="Q334" s="14">
        <v>4.48</v>
      </c>
      <c r="R334" s="14">
        <v>7.02</v>
      </c>
      <c r="S334" s="14">
        <v>7.16</v>
      </c>
      <c r="T334" s="14">
        <v>7.14</v>
      </c>
      <c r="U334" s="14">
        <v>7.28</v>
      </c>
      <c r="V334" s="14">
        <v>7.33</v>
      </c>
      <c r="W334" s="14">
        <v>7.18</v>
      </c>
      <c r="X334" s="14">
        <v>16.4</v>
      </c>
      <c r="Y334" s="14">
        <v>16.2</v>
      </c>
      <c r="Z334" s="14">
        <v>16.3</v>
      </c>
      <c r="AA334" s="14">
        <v>16.5</v>
      </c>
      <c r="AB334" s="14">
        <v>16.4</v>
      </c>
      <c r="AC334" s="14">
        <v>16.4</v>
      </c>
      <c r="AD334" s="14">
        <v>148.9</v>
      </c>
      <c r="AE334" s="14">
        <v>152.2</v>
      </c>
      <c r="AF334" s="14">
        <v>169.2</v>
      </c>
      <c r="AG334" s="14">
        <v>185.1</v>
      </c>
      <c r="AH334" s="14">
        <v>208.0</v>
      </c>
      <c r="AI334" s="14">
        <v>172.8</v>
      </c>
      <c r="AJ334" s="14">
        <v>3.38</v>
      </c>
      <c r="AK334" s="14">
        <v>3.43</v>
      </c>
      <c r="AL334" s="14">
        <v>3.28</v>
      </c>
      <c r="AM334" s="14">
        <v>3.24</v>
      </c>
      <c r="AN334" s="14">
        <v>3.19</v>
      </c>
      <c r="AO334" s="14">
        <v>3.3</v>
      </c>
      <c r="AP334" s="14">
        <v>6.0</v>
      </c>
      <c r="AQ334" s="14">
        <v>20.3</v>
      </c>
      <c r="AR334" s="14">
        <v>4.0</v>
      </c>
      <c r="AS334" s="14">
        <v>10.0</v>
      </c>
      <c r="AT334" s="14">
        <v>0.4</v>
      </c>
      <c r="AU334" s="14">
        <v>129970.0</v>
      </c>
      <c r="AV334" s="14">
        <v>1.627</v>
      </c>
      <c r="AW334" s="14">
        <v>33.3</v>
      </c>
      <c r="AX334" s="14">
        <v>517.0</v>
      </c>
      <c r="AY334" s="14">
        <v>1.04</v>
      </c>
      <c r="AZ334" s="14">
        <v>0.168</v>
      </c>
      <c r="BA334" s="14">
        <v>34.507999999999996</v>
      </c>
    </row>
    <row r="335" ht="14.25" customHeight="1">
      <c r="A335" s="10" t="s">
        <v>471</v>
      </c>
      <c r="B335" s="12" t="s">
        <v>120</v>
      </c>
      <c r="C335" s="12"/>
      <c r="D335" s="12"/>
      <c r="E335" s="44">
        <v>43846.0</v>
      </c>
      <c r="F335" s="29">
        <v>1.0</v>
      </c>
      <c r="G335" s="12" t="s">
        <v>472</v>
      </c>
      <c r="H335" s="45">
        <v>0.2673611111111111</v>
      </c>
      <c r="I335" s="45">
        <v>0.3506944444444444</v>
      </c>
      <c r="J335" s="12">
        <v>2.8</v>
      </c>
      <c r="K335" s="12">
        <v>0.074</v>
      </c>
      <c r="L335" s="14">
        <v>5.3</v>
      </c>
      <c r="M335" s="14">
        <v>5.4</v>
      </c>
      <c r="N335" s="14">
        <v>5.8</v>
      </c>
      <c r="O335" s="14">
        <v>6.1</v>
      </c>
      <c r="P335" s="14">
        <v>6.2</v>
      </c>
      <c r="Q335" s="14">
        <v>5.76</v>
      </c>
      <c r="R335" s="14">
        <v>7.58</v>
      </c>
      <c r="S335" s="14">
        <v>7.54</v>
      </c>
      <c r="T335" s="14">
        <v>7.51</v>
      </c>
      <c r="U335" s="14">
        <v>7.53</v>
      </c>
      <c r="V335" s="14">
        <v>8.1</v>
      </c>
      <c r="W335" s="14">
        <v>7.65</v>
      </c>
      <c r="X335" s="14">
        <v>13.5</v>
      </c>
      <c r="Y335" s="14">
        <v>13.3</v>
      </c>
      <c r="Z335" s="14">
        <v>13.7</v>
      </c>
      <c r="AA335" s="14">
        <v>14.6</v>
      </c>
      <c r="AB335" s="14">
        <v>14.9</v>
      </c>
      <c r="AC335" s="14">
        <v>14.0</v>
      </c>
      <c r="AD335" s="14">
        <v>397.0</v>
      </c>
      <c r="AE335" s="14">
        <v>398.0</v>
      </c>
      <c r="AF335" s="14">
        <v>382.0</v>
      </c>
      <c r="AG335" s="14">
        <v>374.0</v>
      </c>
      <c r="AH335" s="14">
        <v>368.0</v>
      </c>
      <c r="AI335" s="14">
        <v>383.8</v>
      </c>
      <c r="AJ335" s="14">
        <v>2.56</v>
      </c>
      <c r="AK335" s="14">
        <v>2.79</v>
      </c>
      <c r="AL335" s="14">
        <v>3.02</v>
      </c>
      <c r="AM335" s="14">
        <v>3.89</v>
      </c>
      <c r="AN335" s="14">
        <v>4.24</v>
      </c>
      <c r="AO335" s="14">
        <v>3.3</v>
      </c>
      <c r="AP335" s="14">
        <v>21.6</v>
      </c>
      <c r="AQ335" s="14">
        <v>63.7</v>
      </c>
      <c r="AR335" s="14">
        <v>12.0</v>
      </c>
      <c r="AS335" s="14">
        <v>10.0</v>
      </c>
      <c r="AT335" s="14">
        <v>1.21</v>
      </c>
      <c r="AU335" s="14">
        <v>1.2033E7</v>
      </c>
      <c r="AV335" s="14">
        <v>1.745</v>
      </c>
      <c r="AW335" s="14">
        <v>14.4</v>
      </c>
      <c r="AX335" s="14">
        <v>4352.0</v>
      </c>
      <c r="AY335" s="14">
        <v>0.5</v>
      </c>
      <c r="AZ335" s="14">
        <v>0.01</v>
      </c>
      <c r="BA335" s="14">
        <v>14.91</v>
      </c>
    </row>
    <row r="336" ht="14.25" customHeight="1">
      <c r="A336" s="10" t="s">
        <v>473</v>
      </c>
      <c r="B336" s="12" t="s">
        <v>116</v>
      </c>
      <c r="C336" s="12"/>
      <c r="D336" s="12"/>
      <c r="E336" s="44">
        <v>43846.0</v>
      </c>
      <c r="F336" s="29">
        <v>1.0</v>
      </c>
      <c r="G336" s="12" t="s">
        <v>474</v>
      </c>
      <c r="H336" s="45">
        <v>0.375</v>
      </c>
      <c r="I336" s="45">
        <v>0.4583333333333333</v>
      </c>
      <c r="J336" s="12">
        <v>2.0</v>
      </c>
      <c r="K336" s="12">
        <v>0.031</v>
      </c>
      <c r="L336" s="14">
        <v>6.6</v>
      </c>
      <c r="M336" s="14">
        <v>10.9</v>
      </c>
      <c r="N336" s="14">
        <v>7.0</v>
      </c>
      <c r="O336" s="14">
        <v>9.0</v>
      </c>
      <c r="P336" s="14">
        <v>10.5</v>
      </c>
      <c r="Q336" s="14">
        <v>8.8</v>
      </c>
      <c r="R336" s="14">
        <v>8.39</v>
      </c>
      <c r="S336" s="14">
        <v>8.59</v>
      </c>
      <c r="T336" s="14">
        <v>8.72</v>
      </c>
      <c r="U336" s="14">
        <v>8.65</v>
      </c>
      <c r="V336" s="14">
        <v>8.77</v>
      </c>
      <c r="W336" s="14">
        <v>8.62</v>
      </c>
      <c r="X336" s="14">
        <v>18.8</v>
      </c>
      <c r="Y336" s="14">
        <v>18.6</v>
      </c>
      <c r="Z336" s="14">
        <v>19.7</v>
      </c>
      <c r="AA336" s="14">
        <v>19.4</v>
      </c>
      <c r="AB336" s="14">
        <v>19.9</v>
      </c>
      <c r="AC336" s="14">
        <v>19.3</v>
      </c>
      <c r="AD336" s="14">
        <v>456.0</v>
      </c>
      <c r="AE336" s="14">
        <v>446.0</v>
      </c>
      <c r="AF336" s="14">
        <v>436.0</v>
      </c>
      <c r="AG336" s="14">
        <v>472.0</v>
      </c>
      <c r="AH336" s="14">
        <v>448.0</v>
      </c>
      <c r="AI336" s="14">
        <v>451.6</v>
      </c>
      <c r="AJ336" s="14">
        <v>6.47</v>
      </c>
      <c r="AK336" s="14">
        <v>6.58</v>
      </c>
      <c r="AL336" s="14">
        <v>8.95</v>
      </c>
      <c r="AM336" s="14">
        <v>6.6</v>
      </c>
      <c r="AN336" s="14">
        <v>8.1</v>
      </c>
      <c r="AO336" s="14">
        <v>7.34</v>
      </c>
      <c r="AP336" s="14">
        <v>34.9</v>
      </c>
      <c r="AQ336" s="14">
        <v>90.1</v>
      </c>
      <c r="AR336" s="14">
        <v>28.0</v>
      </c>
      <c r="AS336" s="14">
        <v>10.0</v>
      </c>
      <c r="AT336" s="14">
        <v>1.7</v>
      </c>
      <c r="AU336" s="14">
        <v>1.119E8</v>
      </c>
      <c r="AV336" s="14">
        <v>1.193</v>
      </c>
      <c r="AW336" s="14">
        <v>21.6</v>
      </c>
      <c r="AX336" s="14">
        <v>6760.0</v>
      </c>
      <c r="AY336" s="14">
        <v>0.5</v>
      </c>
      <c r="AZ336" s="14">
        <v>0.01</v>
      </c>
      <c r="BA336" s="14">
        <v>22.110000000000003</v>
      </c>
    </row>
    <row r="337" ht="14.25" customHeight="1">
      <c r="A337" s="10" t="s">
        <v>475</v>
      </c>
      <c r="B337" s="12" t="s">
        <v>129</v>
      </c>
      <c r="C337" s="12"/>
      <c r="D337" s="12"/>
      <c r="E337" s="44">
        <v>43846.0</v>
      </c>
      <c r="F337" s="29">
        <v>1.0</v>
      </c>
      <c r="G337" s="12" t="s">
        <v>476</v>
      </c>
      <c r="H337" s="45">
        <v>0.4791666666666667</v>
      </c>
      <c r="I337" s="45">
        <v>0.5625</v>
      </c>
      <c r="J337" s="12">
        <v>2.2</v>
      </c>
      <c r="K337" s="12">
        <v>0.032</v>
      </c>
      <c r="L337" s="14">
        <v>13.2</v>
      </c>
      <c r="M337" s="14">
        <v>12.5</v>
      </c>
      <c r="N337" s="14">
        <v>10.5</v>
      </c>
      <c r="O337" s="14">
        <v>9.8</v>
      </c>
      <c r="P337" s="14">
        <v>15.2</v>
      </c>
      <c r="Q337" s="14">
        <v>12.24</v>
      </c>
      <c r="R337" s="14">
        <v>9.32</v>
      </c>
      <c r="S337" s="14">
        <v>9.38</v>
      </c>
      <c r="T337" s="14">
        <v>9.44</v>
      </c>
      <c r="U337" s="14">
        <v>9.38</v>
      </c>
      <c r="V337" s="14">
        <v>9.39</v>
      </c>
      <c r="W337" s="14">
        <v>9.38</v>
      </c>
      <c r="X337" s="14">
        <v>23.5</v>
      </c>
      <c r="Y337" s="14">
        <v>23.0</v>
      </c>
      <c r="Z337" s="14">
        <v>16.5</v>
      </c>
      <c r="AA337" s="14">
        <v>20.6</v>
      </c>
      <c r="AB337" s="14">
        <v>21.6</v>
      </c>
      <c r="AC337" s="14">
        <v>21.0</v>
      </c>
      <c r="AD337" s="14">
        <v>347.0</v>
      </c>
      <c r="AE337" s="14">
        <v>345.0</v>
      </c>
      <c r="AF337" s="14">
        <v>344.0</v>
      </c>
      <c r="AG337" s="14">
        <v>346.0</v>
      </c>
      <c r="AH337" s="14">
        <v>345.0</v>
      </c>
      <c r="AI337" s="14">
        <v>345.4</v>
      </c>
      <c r="AJ337" s="14">
        <v>13.91</v>
      </c>
      <c r="AK337" s="14">
        <v>14.93</v>
      </c>
      <c r="AL337" s="14">
        <v>14.32</v>
      </c>
      <c r="AM337" s="14">
        <v>15.78</v>
      </c>
      <c r="AN337" s="14">
        <v>15.8</v>
      </c>
      <c r="AO337" s="14">
        <v>14.95</v>
      </c>
      <c r="AP337" s="14">
        <v>12.9</v>
      </c>
      <c r="AQ337" s="14">
        <v>64.1</v>
      </c>
      <c r="AR337" s="14">
        <v>4.0</v>
      </c>
      <c r="AS337" s="14">
        <v>10.0</v>
      </c>
      <c r="AT337" s="14">
        <v>1.15</v>
      </c>
      <c r="AU337" s="14">
        <v>6131000.0</v>
      </c>
      <c r="AV337" s="14">
        <v>1.556</v>
      </c>
      <c r="AW337" s="14">
        <v>12.3</v>
      </c>
      <c r="AX337" s="14">
        <v>51.0</v>
      </c>
      <c r="AY337" s="14">
        <v>0.5</v>
      </c>
      <c r="AZ337" s="14">
        <v>0.119</v>
      </c>
      <c r="BA337" s="14">
        <v>12.919</v>
      </c>
    </row>
    <row r="338" ht="14.25" customHeight="1">
      <c r="A338" s="10" t="s">
        <v>477</v>
      </c>
      <c r="B338" s="12" t="s">
        <v>87</v>
      </c>
      <c r="C338" s="12"/>
      <c r="D338" s="12"/>
      <c r="E338" s="44">
        <v>43846.0</v>
      </c>
      <c r="F338" s="29">
        <v>1.0</v>
      </c>
      <c r="G338" s="12" t="s">
        <v>478</v>
      </c>
      <c r="H338" s="45">
        <v>0.6041666666666666</v>
      </c>
      <c r="I338" s="45">
        <v>0.6875</v>
      </c>
      <c r="J338" s="12">
        <v>5.95</v>
      </c>
      <c r="K338" s="12">
        <v>0.49</v>
      </c>
      <c r="L338" s="14">
        <v>377.0</v>
      </c>
      <c r="M338" s="14">
        <v>367.0</v>
      </c>
      <c r="N338" s="14">
        <v>369.0</v>
      </c>
      <c r="O338" s="14">
        <v>362.0</v>
      </c>
      <c r="P338" s="14">
        <v>362.0</v>
      </c>
      <c r="Q338" s="14">
        <v>367.4</v>
      </c>
      <c r="R338" s="14">
        <v>7.56</v>
      </c>
      <c r="S338" s="14">
        <v>7.58</v>
      </c>
      <c r="T338" s="14">
        <v>7.52</v>
      </c>
      <c r="U338" s="14">
        <v>7.56</v>
      </c>
      <c r="V338" s="14">
        <v>7.56</v>
      </c>
      <c r="W338" s="14">
        <v>7.55</v>
      </c>
      <c r="X338" s="14">
        <v>18.0</v>
      </c>
      <c r="Y338" s="14">
        <v>18.2</v>
      </c>
      <c r="Z338" s="14">
        <v>18.2</v>
      </c>
      <c r="AA338" s="14">
        <v>19.1</v>
      </c>
      <c r="AB338" s="14">
        <v>19.2</v>
      </c>
      <c r="AC338" s="14">
        <v>18.5</v>
      </c>
      <c r="AD338" s="14">
        <v>435.0</v>
      </c>
      <c r="AE338" s="14">
        <v>439.0</v>
      </c>
      <c r="AF338" s="14">
        <v>447.0</v>
      </c>
      <c r="AG338" s="14">
        <v>434.0</v>
      </c>
      <c r="AH338" s="14">
        <v>429.0</v>
      </c>
      <c r="AI338" s="14">
        <v>436.8</v>
      </c>
      <c r="AJ338" s="14">
        <v>0.53</v>
      </c>
      <c r="AK338" s="14">
        <v>0.4</v>
      </c>
      <c r="AL338" s="14">
        <v>0.53</v>
      </c>
      <c r="AM338" s="14">
        <v>0.55</v>
      </c>
      <c r="AN338" s="14">
        <v>0.58</v>
      </c>
      <c r="AO338" s="14">
        <v>0.52</v>
      </c>
      <c r="AP338" s="14">
        <v>54.8</v>
      </c>
      <c r="AQ338" s="14">
        <v>128.0</v>
      </c>
      <c r="AR338" s="14">
        <v>34.3</v>
      </c>
      <c r="AS338" s="14">
        <v>10.0</v>
      </c>
      <c r="AT338" s="14">
        <v>1.26</v>
      </c>
      <c r="AU338" s="14">
        <v>2.481E8</v>
      </c>
      <c r="AV338" s="14">
        <v>2.442</v>
      </c>
      <c r="AW338" s="14">
        <v>21.7</v>
      </c>
      <c r="AX338" s="14">
        <v>7270.0</v>
      </c>
      <c r="AY338" s="14">
        <v>0.5</v>
      </c>
      <c r="AZ338" s="14">
        <v>0.01</v>
      </c>
      <c r="BA338" s="14">
        <v>22.21</v>
      </c>
    </row>
    <row r="339" ht="14.25" customHeight="1">
      <c r="A339" s="10" t="s">
        <v>479</v>
      </c>
      <c r="B339" s="12" t="s">
        <v>126</v>
      </c>
      <c r="C339" s="12"/>
      <c r="D339" s="12"/>
      <c r="E339" s="44">
        <v>43857.0</v>
      </c>
      <c r="F339" s="29">
        <v>1.0</v>
      </c>
      <c r="G339" s="12" t="s">
        <v>480</v>
      </c>
      <c r="H339" s="45">
        <v>0.25</v>
      </c>
      <c r="I339" s="45">
        <v>0.3333333333333333</v>
      </c>
      <c r="J339" s="12">
        <v>0.8</v>
      </c>
      <c r="K339" s="12">
        <v>0.189</v>
      </c>
      <c r="L339" s="14">
        <v>20.0</v>
      </c>
      <c r="M339" s="14">
        <v>19.7</v>
      </c>
      <c r="N339" s="14">
        <v>17.9</v>
      </c>
      <c r="O339" s="14">
        <v>18.2</v>
      </c>
      <c r="P339" s="14">
        <v>17.8</v>
      </c>
      <c r="Q339" s="14">
        <v>18.7</v>
      </c>
      <c r="R339" s="14">
        <v>7.75</v>
      </c>
      <c r="S339" s="14">
        <v>7.97</v>
      </c>
      <c r="T339" s="14">
        <v>8.05</v>
      </c>
      <c r="U339" s="14">
        <v>8.04</v>
      </c>
      <c r="V339" s="14">
        <v>8.91</v>
      </c>
      <c r="W339" s="14">
        <v>8.14</v>
      </c>
      <c r="X339" s="14">
        <v>13.7</v>
      </c>
      <c r="Y339" s="14">
        <v>13.7</v>
      </c>
      <c r="Z339" s="14">
        <v>13.8</v>
      </c>
      <c r="AA339" s="14">
        <v>13.9</v>
      </c>
      <c r="AB339" s="14">
        <v>14.7</v>
      </c>
      <c r="AC339" s="14">
        <v>14.0</v>
      </c>
      <c r="AD339" s="14">
        <v>498.0</v>
      </c>
      <c r="AE339" s="14">
        <v>497.0</v>
      </c>
      <c r="AF339" s="14">
        <v>503.0</v>
      </c>
      <c r="AG339" s="14">
        <v>510.0</v>
      </c>
      <c r="AH339" s="14">
        <v>561.0</v>
      </c>
      <c r="AI339" s="14">
        <v>513.8</v>
      </c>
      <c r="AJ339" s="14">
        <v>7.21</v>
      </c>
      <c r="AK339" s="14">
        <v>7.02</v>
      </c>
      <c r="AL339" s="14">
        <v>8.01</v>
      </c>
      <c r="AM339" s="14">
        <v>8.11</v>
      </c>
      <c r="AN339" s="14">
        <v>8.32</v>
      </c>
      <c r="AO339" s="14">
        <v>7.73</v>
      </c>
      <c r="AP339" s="14">
        <v>11.0</v>
      </c>
      <c r="AQ339" s="14">
        <v>54.9</v>
      </c>
      <c r="AR339" s="14">
        <v>103.0</v>
      </c>
      <c r="AS339" s="14">
        <v>10.0</v>
      </c>
      <c r="AT339" s="14">
        <v>0.4</v>
      </c>
      <c r="AU339" s="14">
        <v>1.012E8</v>
      </c>
      <c r="AV339" s="14">
        <v>0.799</v>
      </c>
      <c r="AW339" s="14">
        <v>39.3</v>
      </c>
      <c r="AX339" s="14">
        <v>1340.0</v>
      </c>
      <c r="AY339" s="14">
        <v>1.686</v>
      </c>
      <c r="AZ339" s="14">
        <v>0.328</v>
      </c>
      <c r="BA339" s="14">
        <v>41.314</v>
      </c>
    </row>
    <row r="340" ht="14.25" customHeight="1">
      <c r="A340" s="10" t="s">
        <v>481</v>
      </c>
      <c r="B340" s="12" t="s">
        <v>104</v>
      </c>
      <c r="C340" s="12"/>
      <c r="D340" s="12"/>
      <c r="E340" s="44">
        <v>43857.0</v>
      </c>
      <c r="F340" s="29">
        <v>1.0</v>
      </c>
      <c r="G340" s="12" t="s">
        <v>482</v>
      </c>
      <c r="H340" s="45">
        <v>0.3541666666666667</v>
      </c>
      <c r="I340" s="45">
        <v>0.4375</v>
      </c>
      <c r="J340" s="12">
        <v>1.2</v>
      </c>
      <c r="K340" s="12">
        <v>0.193</v>
      </c>
      <c r="L340" s="14">
        <v>25.7</v>
      </c>
      <c r="M340" s="14">
        <v>30.8</v>
      </c>
      <c r="N340" s="14">
        <v>20.7</v>
      </c>
      <c r="O340" s="14">
        <v>24.5</v>
      </c>
      <c r="P340" s="14">
        <v>48.0</v>
      </c>
      <c r="Q340" s="14">
        <v>29.9</v>
      </c>
      <c r="R340" s="14">
        <v>8.75</v>
      </c>
      <c r="S340" s="14">
        <v>8.63</v>
      </c>
      <c r="T340" s="14">
        <v>8.98</v>
      </c>
      <c r="U340" s="14">
        <v>8.92</v>
      </c>
      <c r="V340" s="14">
        <v>9.23</v>
      </c>
      <c r="W340" s="14">
        <v>8.9</v>
      </c>
      <c r="X340" s="14">
        <v>14.7</v>
      </c>
      <c r="Y340" s="14">
        <v>15.0</v>
      </c>
      <c r="Z340" s="14">
        <v>15.6</v>
      </c>
      <c r="AA340" s="14">
        <v>15.2</v>
      </c>
      <c r="AB340" s="14">
        <v>16.2</v>
      </c>
      <c r="AC340" s="14">
        <v>15.3</v>
      </c>
      <c r="AD340" s="14">
        <v>524.0</v>
      </c>
      <c r="AE340" s="14">
        <v>540.0</v>
      </c>
      <c r="AF340" s="14">
        <v>546.0</v>
      </c>
      <c r="AG340" s="14">
        <v>557.0</v>
      </c>
      <c r="AH340" s="14">
        <v>526.0</v>
      </c>
      <c r="AI340" s="14">
        <v>538.6</v>
      </c>
      <c r="AJ340" s="14">
        <v>7.01</v>
      </c>
      <c r="AK340" s="14">
        <v>7.22</v>
      </c>
      <c r="AL340" s="14">
        <v>8.06</v>
      </c>
      <c r="AM340" s="14">
        <v>8.14</v>
      </c>
      <c r="AN340" s="14">
        <v>8.42</v>
      </c>
      <c r="AO340" s="14">
        <v>7.77</v>
      </c>
      <c r="AP340" s="14">
        <v>111.0</v>
      </c>
      <c r="AQ340" s="14">
        <v>181.0</v>
      </c>
      <c r="AR340" s="14">
        <v>608.0</v>
      </c>
      <c r="AS340" s="14">
        <v>10.0</v>
      </c>
      <c r="AT340" s="14">
        <v>0.7</v>
      </c>
      <c r="AU340" s="14">
        <v>2.613E8</v>
      </c>
      <c r="AV340" s="14">
        <v>2.717</v>
      </c>
      <c r="AW340" s="14">
        <v>24.7</v>
      </c>
      <c r="AX340" s="14">
        <v>155310.0</v>
      </c>
      <c r="AY340" s="14">
        <v>0.5</v>
      </c>
      <c r="AZ340" s="14">
        <v>0.01</v>
      </c>
      <c r="BA340" s="14">
        <v>25.21</v>
      </c>
    </row>
    <row r="341" ht="14.25" customHeight="1">
      <c r="A341" s="10" t="s">
        <v>483</v>
      </c>
      <c r="B341" s="12" t="s">
        <v>106</v>
      </c>
      <c r="C341" s="12"/>
      <c r="D341" s="12"/>
      <c r="E341" s="44">
        <v>43857.0</v>
      </c>
      <c r="F341" s="29">
        <v>1.0</v>
      </c>
      <c r="G341" s="12" t="s">
        <v>484</v>
      </c>
      <c r="H341" s="45">
        <v>0.4583333333333333</v>
      </c>
      <c r="I341" s="45">
        <v>0.5416666666666666</v>
      </c>
      <c r="J341" s="12">
        <v>1.2</v>
      </c>
      <c r="K341" s="12">
        <v>0.178</v>
      </c>
      <c r="L341" s="14">
        <v>65.9</v>
      </c>
      <c r="M341" s="14">
        <v>51.7</v>
      </c>
      <c r="N341" s="14">
        <v>59.0</v>
      </c>
      <c r="O341" s="14">
        <v>50.2</v>
      </c>
      <c r="P341" s="14">
        <v>50.6</v>
      </c>
      <c r="Q341" s="14">
        <v>55.5</v>
      </c>
      <c r="R341" s="14">
        <v>9.38</v>
      </c>
      <c r="S341" s="14">
        <v>10.47</v>
      </c>
      <c r="T341" s="14">
        <v>10.22</v>
      </c>
      <c r="U341" s="14">
        <v>9.52</v>
      </c>
      <c r="V341" s="14">
        <v>10.11</v>
      </c>
      <c r="W341" s="14">
        <v>9.94</v>
      </c>
      <c r="X341" s="14">
        <v>17.6</v>
      </c>
      <c r="Y341" s="14">
        <v>17.9</v>
      </c>
      <c r="Z341" s="14">
        <v>18.6</v>
      </c>
      <c r="AA341" s="14">
        <v>17.6</v>
      </c>
      <c r="AB341" s="14">
        <v>17.2</v>
      </c>
      <c r="AC341" s="14">
        <v>17.8</v>
      </c>
      <c r="AD341" s="14">
        <v>564.0</v>
      </c>
      <c r="AE341" s="14">
        <v>520.0</v>
      </c>
      <c r="AF341" s="14">
        <v>510.0</v>
      </c>
      <c r="AG341" s="14">
        <v>517.0</v>
      </c>
      <c r="AH341" s="14">
        <v>536.0</v>
      </c>
      <c r="AI341" s="14">
        <v>529.4</v>
      </c>
      <c r="AJ341" s="14">
        <v>9.26</v>
      </c>
      <c r="AK341" s="14">
        <v>8.27</v>
      </c>
      <c r="AL341" s="14">
        <v>9.02</v>
      </c>
      <c r="AM341" s="14">
        <v>9.56</v>
      </c>
      <c r="AN341" s="14">
        <v>9.01</v>
      </c>
      <c r="AO341" s="14">
        <v>9.02</v>
      </c>
      <c r="AP341" s="14">
        <v>85.7</v>
      </c>
      <c r="AQ341" s="14">
        <v>311.0</v>
      </c>
      <c r="AR341" s="14">
        <v>1584.0</v>
      </c>
      <c r="AS341" s="14">
        <v>0.1</v>
      </c>
      <c r="AT341" s="14">
        <v>0.91</v>
      </c>
      <c r="AU341" s="14">
        <v>1353000.0</v>
      </c>
      <c r="AV341" s="14">
        <v>2.0</v>
      </c>
      <c r="AW341" s="14">
        <v>19.3</v>
      </c>
      <c r="AX341" s="14">
        <v>92080.0</v>
      </c>
      <c r="AY341" s="14">
        <v>0.5</v>
      </c>
      <c r="AZ341" s="14">
        <v>0.012</v>
      </c>
      <c r="BA341" s="14">
        <v>19.812</v>
      </c>
    </row>
    <row r="342" ht="14.25" customHeight="1">
      <c r="A342" s="10" t="s">
        <v>485</v>
      </c>
      <c r="B342" s="12" t="s">
        <v>74</v>
      </c>
      <c r="C342" s="12"/>
      <c r="D342" s="12"/>
      <c r="E342" s="44">
        <v>43857.0</v>
      </c>
      <c r="F342" s="29">
        <v>1.0</v>
      </c>
      <c r="G342" s="12" t="s">
        <v>486</v>
      </c>
      <c r="H342" s="45">
        <v>0.25</v>
      </c>
      <c r="I342" s="45">
        <v>0.3333333333333333</v>
      </c>
      <c r="J342" s="12">
        <v>1.2</v>
      </c>
      <c r="K342" s="12">
        <v>0.088</v>
      </c>
      <c r="L342" s="14">
        <v>6.5</v>
      </c>
      <c r="M342" s="14">
        <v>9.5</v>
      </c>
      <c r="N342" s="14">
        <v>8.6</v>
      </c>
      <c r="O342" s="14">
        <v>12.0</v>
      </c>
      <c r="P342" s="14">
        <v>10.2</v>
      </c>
      <c r="Q342" s="14">
        <v>9.4</v>
      </c>
      <c r="R342" s="14">
        <v>7.92</v>
      </c>
      <c r="S342" s="14">
        <v>7.9</v>
      </c>
      <c r="T342" s="14">
        <v>7.98</v>
      </c>
      <c r="U342" s="14">
        <v>7.99</v>
      </c>
      <c r="V342" s="14">
        <v>8.0</v>
      </c>
      <c r="W342" s="14">
        <v>7.96</v>
      </c>
      <c r="X342" s="14">
        <v>11.9</v>
      </c>
      <c r="Y342" s="14">
        <v>12.0</v>
      </c>
      <c r="Z342" s="14">
        <v>11.9</v>
      </c>
      <c r="AA342" s="14">
        <v>12.0</v>
      </c>
      <c r="AB342" s="14">
        <v>12.1</v>
      </c>
      <c r="AC342" s="14">
        <v>12.0</v>
      </c>
      <c r="AD342" s="14">
        <v>221.0</v>
      </c>
      <c r="AE342" s="14">
        <v>221.0</v>
      </c>
      <c r="AF342" s="14">
        <v>219.0</v>
      </c>
      <c r="AG342" s="14">
        <v>217.0</v>
      </c>
      <c r="AH342" s="14">
        <v>215.0</v>
      </c>
      <c r="AI342" s="14">
        <v>218.6</v>
      </c>
      <c r="AJ342" s="14">
        <v>8.37</v>
      </c>
      <c r="AK342" s="14">
        <v>8.53</v>
      </c>
      <c r="AL342" s="14">
        <v>8.75</v>
      </c>
      <c r="AM342" s="14">
        <v>8.77</v>
      </c>
      <c r="AN342" s="14">
        <v>9.84</v>
      </c>
      <c r="AO342" s="14">
        <v>8.85</v>
      </c>
      <c r="AP342" s="14">
        <v>37.0</v>
      </c>
      <c r="AQ342" s="14">
        <v>18.0</v>
      </c>
      <c r="AR342" s="14">
        <v>23.0</v>
      </c>
      <c r="AS342" s="14">
        <v>10.0</v>
      </c>
      <c r="AT342" s="14">
        <v>0.4</v>
      </c>
      <c r="AU342" s="14">
        <v>3448000.0</v>
      </c>
      <c r="AV342" s="14">
        <v>0.115</v>
      </c>
      <c r="AW342" s="14">
        <v>23.1</v>
      </c>
      <c r="AX342" s="14">
        <v>520.0</v>
      </c>
      <c r="AY342" s="14">
        <v>2.109</v>
      </c>
      <c r="AZ342" s="14">
        <v>0.199</v>
      </c>
      <c r="BA342" s="14">
        <v>25.408000000000005</v>
      </c>
    </row>
    <row r="343" ht="14.25" customHeight="1">
      <c r="A343" s="10" t="s">
        <v>487</v>
      </c>
      <c r="B343" s="12" t="s">
        <v>102</v>
      </c>
      <c r="C343" s="12"/>
      <c r="D343" s="12"/>
      <c r="E343" s="44">
        <v>43857.0</v>
      </c>
      <c r="F343" s="29">
        <v>1.0</v>
      </c>
      <c r="G343" s="12" t="s">
        <v>488</v>
      </c>
      <c r="H343" s="45">
        <v>0.3541666666666667</v>
      </c>
      <c r="I343" s="45">
        <v>0.4375</v>
      </c>
      <c r="J343" s="12">
        <v>0.8</v>
      </c>
      <c r="K343" s="12">
        <v>0.275</v>
      </c>
      <c r="L343" s="14">
        <v>34.5</v>
      </c>
      <c r="M343" s="14">
        <v>33.2</v>
      </c>
      <c r="N343" s="14">
        <v>34.1</v>
      </c>
      <c r="O343" s="14">
        <v>33.7</v>
      </c>
      <c r="P343" s="14">
        <v>33.3</v>
      </c>
      <c r="Q343" s="14">
        <v>33.8</v>
      </c>
      <c r="R343" s="14">
        <v>8.04</v>
      </c>
      <c r="S343" s="14">
        <v>8.22</v>
      </c>
      <c r="T343" s="14">
        <v>8.37</v>
      </c>
      <c r="U343" s="14">
        <v>11.15</v>
      </c>
      <c r="V343" s="14">
        <v>10.15</v>
      </c>
      <c r="W343" s="14">
        <v>9.19</v>
      </c>
      <c r="X343" s="14">
        <v>14.3</v>
      </c>
      <c r="Y343" s="14">
        <v>14.6</v>
      </c>
      <c r="Z343" s="14">
        <v>14.9</v>
      </c>
      <c r="AA343" s="14">
        <v>15.5</v>
      </c>
      <c r="AB343" s="14">
        <v>15.1</v>
      </c>
      <c r="AC343" s="14">
        <v>14.9</v>
      </c>
      <c r="AD343" s="14">
        <v>303.0</v>
      </c>
      <c r="AE343" s="14">
        <v>307.0</v>
      </c>
      <c r="AF343" s="14">
        <v>312.0</v>
      </c>
      <c r="AG343" s="14">
        <v>305.0</v>
      </c>
      <c r="AH343" s="14">
        <v>305.0</v>
      </c>
      <c r="AI343" s="14">
        <v>306.4</v>
      </c>
      <c r="AJ343" s="14">
        <v>8.45</v>
      </c>
      <c r="AK343" s="14">
        <v>7.3</v>
      </c>
      <c r="AL343" s="14">
        <v>7.59</v>
      </c>
      <c r="AM343" s="14">
        <v>6.89</v>
      </c>
      <c r="AN343" s="14">
        <v>6.48</v>
      </c>
      <c r="AO343" s="14">
        <v>7.46</v>
      </c>
      <c r="AP343" s="14">
        <v>29.0</v>
      </c>
      <c r="AQ343" s="14">
        <v>62.8</v>
      </c>
      <c r="AR343" s="14">
        <v>65.0</v>
      </c>
      <c r="AS343" s="14">
        <v>10.0</v>
      </c>
      <c r="AT343" s="14">
        <v>0.43</v>
      </c>
      <c r="AU343" s="14">
        <v>1.223E8</v>
      </c>
      <c r="AV343" s="14">
        <v>1.315</v>
      </c>
      <c r="AW343" s="14">
        <v>36.5</v>
      </c>
      <c r="AX343" s="14">
        <v>23500.0</v>
      </c>
      <c r="AY343" s="14">
        <v>0.5</v>
      </c>
      <c r="AZ343" s="14">
        <v>0.01</v>
      </c>
      <c r="BA343" s="14">
        <v>37.01</v>
      </c>
    </row>
    <row r="344" ht="14.25" customHeight="1">
      <c r="A344" s="10" t="s">
        <v>489</v>
      </c>
      <c r="B344" s="12" t="s">
        <v>100</v>
      </c>
      <c r="C344" s="12"/>
      <c r="D344" s="12"/>
      <c r="E344" s="44">
        <v>43857.0</v>
      </c>
      <c r="F344" s="29">
        <v>1.0</v>
      </c>
      <c r="G344" s="12" t="s">
        <v>490</v>
      </c>
      <c r="H344" s="45">
        <v>0.4583333333333333</v>
      </c>
      <c r="I344" s="45">
        <v>0.5416666666666666</v>
      </c>
      <c r="J344" s="12">
        <v>2.0</v>
      </c>
      <c r="K344" s="12">
        <v>0.108</v>
      </c>
      <c r="L344" s="14">
        <v>81.3</v>
      </c>
      <c r="M344" s="14">
        <v>84.0</v>
      </c>
      <c r="N344" s="14">
        <v>89.5</v>
      </c>
      <c r="O344" s="14">
        <v>76.9</v>
      </c>
      <c r="P344" s="14">
        <v>93.5</v>
      </c>
      <c r="Q344" s="14">
        <v>85.0</v>
      </c>
      <c r="R344" s="14">
        <v>8.08</v>
      </c>
      <c r="S344" s="14">
        <v>8.47</v>
      </c>
      <c r="T344" s="14">
        <v>7.95</v>
      </c>
      <c r="U344" s="14">
        <v>8.06</v>
      </c>
      <c r="V344" s="14">
        <v>7.84</v>
      </c>
      <c r="W344" s="14">
        <v>8.08</v>
      </c>
      <c r="X344" s="14">
        <v>16.8</v>
      </c>
      <c r="Y344" s="14">
        <v>17.3</v>
      </c>
      <c r="Z344" s="14">
        <v>17.0</v>
      </c>
      <c r="AA344" s="14">
        <v>17.2</v>
      </c>
      <c r="AB344" s="14">
        <v>17.3</v>
      </c>
      <c r="AC344" s="14">
        <v>17.1</v>
      </c>
      <c r="AD344" s="14">
        <v>404.0</v>
      </c>
      <c r="AE344" s="14">
        <v>410.0</v>
      </c>
      <c r="AF344" s="14">
        <v>406.0</v>
      </c>
      <c r="AG344" s="14">
        <v>410.0</v>
      </c>
      <c r="AH344" s="14">
        <v>408.0</v>
      </c>
      <c r="AI344" s="14">
        <v>407.0</v>
      </c>
      <c r="AJ344" s="14">
        <v>3.61</v>
      </c>
      <c r="AK344" s="14">
        <v>3.32</v>
      </c>
      <c r="AL344" s="14">
        <v>3.14</v>
      </c>
      <c r="AM344" s="14">
        <v>2.94</v>
      </c>
      <c r="AN344" s="14">
        <v>3.01</v>
      </c>
      <c r="AO344" s="14">
        <v>3.2</v>
      </c>
      <c r="AP344" s="14">
        <v>81.14</v>
      </c>
      <c r="AQ344" s="14">
        <v>180.0</v>
      </c>
      <c r="AR344" s="14">
        <v>180.0</v>
      </c>
      <c r="AS344" s="14">
        <v>10.0</v>
      </c>
      <c r="AT344" s="14">
        <v>1.36</v>
      </c>
      <c r="AU344" s="14">
        <v>1.658E8</v>
      </c>
      <c r="AV344" s="14">
        <v>2.057</v>
      </c>
      <c r="AW344" s="14">
        <v>42.7</v>
      </c>
      <c r="AX344" s="14">
        <v>78400.0</v>
      </c>
      <c r="AY344" s="14">
        <v>0.5</v>
      </c>
      <c r="AZ344" s="14">
        <v>0.01</v>
      </c>
      <c r="BA344" s="14">
        <v>43.21</v>
      </c>
    </row>
    <row r="345" ht="14.25" customHeight="1">
      <c r="A345" s="10" t="s">
        <v>491</v>
      </c>
      <c r="B345" s="12" t="s">
        <v>133</v>
      </c>
      <c r="C345" s="12"/>
      <c r="D345" s="12"/>
      <c r="E345" s="44">
        <v>43857.0</v>
      </c>
      <c r="F345" s="29">
        <v>1.0</v>
      </c>
      <c r="G345" s="12" t="s">
        <v>492</v>
      </c>
      <c r="H345" s="45">
        <v>0.2638888888888889</v>
      </c>
      <c r="I345" s="45">
        <v>0.34722222222222227</v>
      </c>
      <c r="J345" s="12">
        <v>3.0</v>
      </c>
      <c r="K345" s="12">
        <v>0.253</v>
      </c>
      <c r="L345" s="14">
        <v>96.3</v>
      </c>
      <c r="M345" s="14">
        <v>119.2</v>
      </c>
      <c r="N345" s="14">
        <v>106.4</v>
      </c>
      <c r="O345" s="14">
        <v>115.6</v>
      </c>
      <c r="P345" s="14">
        <v>121.8</v>
      </c>
      <c r="Q345" s="14">
        <v>111.9</v>
      </c>
      <c r="R345" s="14">
        <v>7.1</v>
      </c>
      <c r="S345" s="14">
        <v>7.34</v>
      </c>
      <c r="T345" s="14">
        <v>7.09</v>
      </c>
      <c r="U345" s="14">
        <v>7.59</v>
      </c>
      <c r="V345" s="14">
        <v>7.35</v>
      </c>
      <c r="W345" s="14">
        <v>7.29</v>
      </c>
      <c r="X345" s="14">
        <v>11.2</v>
      </c>
      <c r="Y345" s="14">
        <v>11.1</v>
      </c>
      <c r="Z345" s="14">
        <v>11.2</v>
      </c>
      <c r="AA345" s="14">
        <v>11.3</v>
      </c>
      <c r="AB345" s="14">
        <v>11.5</v>
      </c>
      <c r="AC345" s="14">
        <v>11.3</v>
      </c>
      <c r="AD345" s="14">
        <v>57.7</v>
      </c>
      <c r="AE345" s="14">
        <v>63.0</v>
      </c>
      <c r="AF345" s="14">
        <v>66.9</v>
      </c>
      <c r="AG345" s="14">
        <v>69.1</v>
      </c>
      <c r="AH345" s="14">
        <v>64.5</v>
      </c>
      <c r="AI345" s="14">
        <v>64.2</v>
      </c>
      <c r="AJ345" s="14">
        <v>5.48</v>
      </c>
      <c r="AK345" s="14">
        <v>5.51</v>
      </c>
      <c r="AL345" s="14">
        <v>5.17</v>
      </c>
      <c r="AM345" s="14">
        <v>6.11</v>
      </c>
      <c r="AN345" s="14">
        <v>6.73</v>
      </c>
      <c r="AO345" s="14">
        <v>5.8</v>
      </c>
      <c r="AP345" s="14">
        <v>2.6</v>
      </c>
      <c r="AQ345" s="14">
        <v>21.9</v>
      </c>
      <c r="AR345" s="14">
        <v>15.0</v>
      </c>
      <c r="AS345" s="14">
        <v>0.1</v>
      </c>
      <c r="AT345" s="14">
        <v>0.4</v>
      </c>
      <c r="AU345" s="14">
        <v>129970.0</v>
      </c>
      <c r="AV345" s="14">
        <v>0.127</v>
      </c>
      <c r="AW345" s="14">
        <v>7.44</v>
      </c>
      <c r="AX345" s="14">
        <v>8.0</v>
      </c>
      <c r="AY345" s="14">
        <v>0.5</v>
      </c>
      <c r="AZ345" s="14">
        <v>0.01</v>
      </c>
      <c r="BA345" s="14">
        <v>7.95</v>
      </c>
    </row>
    <row r="346" ht="14.25" customHeight="1">
      <c r="A346" s="10" t="s">
        <v>493</v>
      </c>
      <c r="B346" s="12" t="s">
        <v>131</v>
      </c>
      <c r="C346" s="12"/>
      <c r="D346" s="12"/>
      <c r="E346" s="44">
        <v>43857.0</v>
      </c>
      <c r="F346" s="29">
        <v>1.0</v>
      </c>
      <c r="G346" s="12" t="s">
        <v>494</v>
      </c>
      <c r="H346" s="45">
        <v>0.375</v>
      </c>
      <c r="I346" s="45">
        <v>0.4583333333333333</v>
      </c>
      <c r="J346" s="12">
        <v>2.0</v>
      </c>
      <c r="K346" s="12">
        <v>0.364</v>
      </c>
      <c r="L346" s="14">
        <v>67.4</v>
      </c>
      <c r="M346" s="14">
        <v>77.2</v>
      </c>
      <c r="N346" s="14">
        <v>100.6</v>
      </c>
      <c r="O346" s="14">
        <v>68.0</v>
      </c>
      <c r="P346" s="14">
        <v>72.1</v>
      </c>
      <c r="Q346" s="14">
        <v>77.1</v>
      </c>
      <c r="R346" s="14">
        <v>7.5</v>
      </c>
      <c r="S346" s="14">
        <v>7.58</v>
      </c>
      <c r="T346" s="14">
        <v>7.61</v>
      </c>
      <c r="U346" s="14">
        <v>7.73</v>
      </c>
      <c r="V346" s="14">
        <v>7.71</v>
      </c>
      <c r="W346" s="14">
        <v>7.63</v>
      </c>
      <c r="X346" s="14">
        <v>12.4</v>
      </c>
      <c r="Y346" s="14">
        <v>13.2</v>
      </c>
      <c r="Z346" s="14">
        <v>12.6</v>
      </c>
      <c r="AA346" s="14">
        <v>14.2</v>
      </c>
      <c r="AB346" s="14">
        <v>14.4</v>
      </c>
      <c r="AC346" s="14">
        <v>13.4</v>
      </c>
      <c r="AD346" s="14">
        <v>113.9</v>
      </c>
      <c r="AE346" s="14">
        <v>115.8</v>
      </c>
      <c r="AF346" s="14">
        <v>118.6</v>
      </c>
      <c r="AG346" s="14">
        <v>121.2</v>
      </c>
      <c r="AH346" s="14">
        <v>120.8</v>
      </c>
      <c r="AI346" s="14">
        <v>118.1</v>
      </c>
      <c r="AJ346" s="14">
        <v>5.78</v>
      </c>
      <c r="AK346" s="14">
        <v>5.51</v>
      </c>
      <c r="AL346" s="14">
        <v>6.9</v>
      </c>
      <c r="AM346" s="14">
        <v>7.25</v>
      </c>
      <c r="AN346" s="14">
        <v>6.15</v>
      </c>
      <c r="AO346" s="14">
        <v>6.32</v>
      </c>
      <c r="AP346" s="14">
        <v>12.3</v>
      </c>
      <c r="AQ346" s="14">
        <v>40.1</v>
      </c>
      <c r="AR346" s="14">
        <v>37.8</v>
      </c>
      <c r="AS346" s="14">
        <v>10.0</v>
      </c>
      <c r="AT346" s="14">
        <v>0.4</v>
      </c>
      <c r="AU346" s="14">
        <v>7.71E7</v>
      </c>
      <c r="AV346" s="14">
        <v>0.487</v>
      </c>
      <c r="AW346" s="14">
        <v>21.4</v>
      </c>
      <c r="AX346" s="14">
        <v>93.0</v>
      </c>
      <c r="AY346" s="14">
        <v>0.606</v>
      </c>
      <c r="AZ346" s="14">
        <v>0.1</v>
      </c>
      <c r="BA346" s="14">
        <v>22.106</v>
      </c>
    </row>
    <row r="347" ht="14.25" customHeight="1">
      <c r="A347" s="10" t="s">
        <v>495</v>
      </c>
      <c r="B347" s="12" t="s">
        <v>135</v>
      </c>
      <c r="C347" s="12"/>
      <c r="D347" s="12"/>
      <c r="E347" s="44">
        <v>43857.0</v>
      </c>
      <c r="F347" s="29">
        <v>1.0</v>
      </c>
      <c r="G347" s="12" t="s">
        <v>496</v>
      </c>
      <c r="H347" s="45">
        <v>0.47222222222222227</v>
      </c>
      <c r="I347" s="45">
        <v>0.5555555555555556</v>
      </c>
      <c r="J347" s="12">
        <v>2.5</v>
      </c>
      <c r="K347" s="12">
        <v>0.241</v>
      </c>
      <c r="L347" s="14">
        <v>226.3</v>
      </c>
      <c r="M347" s="14">
        <v>168.1</v>
      </c>
      <c r="N347" s="14">
        <v>178.8</v>
      </c>
      <c r="O347" s="14">
        <v>142.2</v>
      </c>
      <c r="P347" s="14">
        <v>151.2</v>
      </c>
      <c r="Q347" s="14">
        <v>173.3</v>
      </c>
      <c r="R347" s="14">
        <v>7.81</v>
      </c>
      <c r="S347" s="14">
        <v>7.79</v>
      </c>
      <c r="T347" s="14">
        <v>7.85</v>
      </c>
      <c r="U347" s="14">
        <v>7.77</v>
      </c>
      <c r="V347" s="14">
        <v>7.63</v>
      </c>
      <c r="W347" s="14">
        <v>7.77</v>
      </c>
      <c r="X347" s="14">
        <v>15.3</v>
      </c>
      <c r="Y347" s="14">
        <v>15.9</v>
      </c>
      <c r="Z347" s="14">
        <v>15.7</v>
      </c>
      <c r="AA347" s="14">
        <v>15.7</v>
      </c>
      <c r="AB347" s="14">
        <v>15.4</v>
      </c>
      <c r="AC347" s="14">
        <v>15.6</v>
      </c>
      <c r="AD347" s="14">
        <v>216.0</v>
      </c>
      <c r="AE347" s="14">
        <v>231.0</v>
      </c>
      <c r="AF347" s="14">
        <v>232.0</v>
      </c>
      <c r="AG347" s="14">
        <v>233.0</v>
      </c>
      <c r="AH347" s="14">
        <v>232.0</v>
      </c>
      <c r="AI347" s="14">
        <v>228.8</v>
      </c>
      <c r="AJ347" s="14">
        <v>6.73</v>
      </c>
      <c r="AK347" s="14">
        <v>5.99</v>
      </c>
      <c r="AL347" s="14">
        <v>5.43</v>
      </c>
      <c r="AM347" s="14">
        <v>4.91</v>
      </c>
      <c r="AN347" s="14">
        <v>5.32</v>
      </c>
      <c r="AO347" s="14">
        <v>5.68</v>
      </c>
      <c r="AP347" s="14">
        <v>49.5</v>
      </c>
      <c r="AQ347" s="14">
        <v>115.0</v>
      </c>
      <c r="AR347" s="14">
        <v>68.3</v>
      </c>
      <c r="AS347" s="14">
        <v>10.0</v>
      </c>
      <c r="AT347" s="14">
        <v>0.9</v>
      </c>
      <c r="AU347" s="14">
        <v>6.31E7</v>
      </c>
      <c r="AV347" s="14">
        <v>1.274</v>
      </c>
      <c r="AW347" s="14">
        <v>18.6</v>
      </c>
      <c r="AX347" s="14">
        <v>6970.0</v>
      </c>
      <c r="AY347" s="14">
        <v>0.5</v>
      </c>
      <c r="AZ347" s="14">
        <v>0.01</v>
      </c>
      <c r="BA347" s="14">
        <v>19.110000000000003</v>
      </c>
    </row>
    <row r="348" ht="14.25" customHeight="1">
      <c r="A348" s="10" t="s">
        <v>497</v>
      </c>
      <c r="B348" s="12" t="s">
        <v>145</v>
      </c>
      <c r="C348" s="12"/>
      <c r="D348" s="12"/>
      <c r="E348" s="44">
        <v>43857.0</v>
      </c>
      <c r="F348" s="29">
        <v>1.0</v>
      </c>
      <c r="G348" s="12" t="s">
        <v>498</v>
      </c>
      <c r="H348" s="45">
        <v>0.3020833333333333</v>
      </c>
      <c r="I348" s="45">
        <v>0.3854166666666667</v>
      </c>
      <c r="J348" s="12" t="s">
        <v>499</v>
      </c>
      <c r="K348" s="12" t="s">
        <v>499</v>
      </c>
      <c r="L348" s="14">
        <v>1.04</v>
      </c>
      <c r="M348" s="14">
        <v>0.93</v>
      </c>
      <c r="N348" s="14">
        <v>0.95</v>
      </c>
      <c r="O348" s="14">
        <v>1.23</v>
      </c>
      <c r="P348" s="14">
        <v>1.06</v>
      </c>
      <c r="Q348" s="14">
        <v>1.04</v>
      </c>
      <c r="R348" s="14">
        <v>8.29</v>
      </c>
      <c r="S348" s="14">
        <v>8.49</v>
      </c>
      <c r="T348" s="14">
        <v>8.01</v>
      </c>
      <c r="U348" s="14">
        <v>8.21</v>
      </c>
      <c r="V348" s="14">
        <v>8.14</v>
      </c>
      <c r="W348" s="14">
        <v>8.23</v>
      </c>
      <c r="X348" s="14">
        <v>15.3</v>
      </c>
      <c r="Y348" s="14">
        <v>15.1</v>
      </c>
      <c r="Z348" s="14">
        <v>15.0</v>
      </c>
      <c r="AA348" s="14">
        <v>16.2</v>
      </c>
      <c r="AB348" s="14">
        <v>15.8</v>
      </c>
      <c r="AC348" s="14">
        <v>15.5</v>
      </c>
      <c r="AD348" s="14">
        <v>787.0</v>
      </c>
      <c r="AE348" s="14">
        <v>778.0</v>
      </c>
      <c r="AF348" s="14">
        <v>801.0</v>
      </c>
      <c r="AG348" s="14">
        <v>794.0</v>
      </c>
      <c r="AH348" s="14">
        <v>804.0</v>
      </c>
      <c r="AI348" s="14">
        <v>792.8</v>
      </c>
      <c r="AJ348" s="14">
        <v>4.56</v>
      </c>
      <c r="AK348" s="14">
        <v>4.2</v>
      </c>
      <c r="AL348" s="14">
        <v>5.35</v>
      </c>
      <c r="AM348" s="14">
        <v>4.24</v>
      </c>
      <c r="AN348" s="14">
        <v>4.21</v>
      </c>
      <c r="AO348" s="14">
        <v>4.51</v>
      </c>
      <c r="AP348" s="14">
        <v>33.9</v>
      </c>
      <c r="AQ348" s="14">
        <v>147.0</v>
      </c>
      <c r="AR348" s="14">
        <v>185.0</v>
      </c>
      <c r="AS348" s="14">
        <v>10.0</v>
      </c>
      <c r="AT348" s="14">
        <v>0.72</v>
      </c>
      <c r="AU348" s="14">
        <v>4.106E8</v>
      </c>
      <c r="AV348" s="14">
        <v>0.709</v>
      </c>
      <c r="AW348" s="14">
        <v>34.3</v>
      </c>
      <c r="AX348" s="14">
        <v>55040.0</v>
      </c>
      <c r="AY348" s="14">
        <v>0.5</v>
      </c>
      <c r="AZ348" s="14">
        <v>0.348</v>
      </c>
      <c r="BA348" s="14">
        <v>35.147999999999996</v>
      </c>
    </row>
    <row r="349" ht="14.25" customHeight="1">
      <c r="A349" s="10" t="s">
        <v>500</v>
      </c>
      <c r="B349" s="12" t="s">
        <v>138</v>
      </c>
      <c r="C349" s="12"/>
      <c r="D349" s="12"/>
      <c r="E349" s="44">
        <v>43857.0</v>
      </c>
      <c r="F349" s="29">
        <v>1.0</v>
      </c>
      <c r="G349" s="12" t="s">
        <v>501</v>
      </c>
      <c r="H349" s="45">
        <v>0.4375</v>
      </c>
      <c r="I349" s="45">
        <v>0.5208333333333334</v>
      </c>
      <c r="J349" s="12">
        <v>1.7</v>
      </c>
      <c r="K349" s="12">
        <v>0.17</v>
      </c>
      <c r="L349" s="14">
        <v>34.8</v>
      </c>
      <c r="M349" s="14">
        <v>33.3</v>
      </c>
      <c r="N349" s="14">
        <v>29.3</v>
      </c>
      <c r="O349" s="14">
        <v>32.7</v>
      </c>
      <c r="P349" s="14">
        <v>31.0</v>
      </c>
      <c r="Q349" s="14">
        <v>32.2</v>
      </c>
      <c r="R349" s="14">
        <v>8.17</v>
      </c>
      <c r="S349" s="14">
        <v>8.15</v>
      </c>
      <c r="T349" s="14">
        <v>8.11</v>
      </c>
      <c r="U349" s="14">
        <v>8.1</v>
      </c>
      <c r="V349" s="14">
        <v>8.09</v>
      </c>
      <c r="W349" s="14">
        <v>8.12</v>
      </c>
      <c r="X349" s="14">
        <v>16.3</v>
      </c>
      <c r="Y349" s="14">
        <v>16.2</v>
      </c>
      <c r="Z349" s="14">
        <v>16.8</v>
      </c>
      <c r="AA349" s="14">
        <v>17.2</v>
      </c>
      <c r="AB349" s="14">
        <v>16.8</v>
      </c>
      <c r="AC349" s="14">
        <v>16.7</v>
      </c>
      <c r="AD349" s="14">
        <v>871.0</v>
      </c>
      <c r="AE349" s="14">
        <v>827.0</v>
      </c>
      <c r="AF349" s="14">
        <v>813.0</v>
      </c>
      <c r="AG349" s="14">
        <v>840.0</v>
      </c>
      <c r="AH349" s="14">
        <v>829.0</v>
      </c>
      <c r="AI349" s="14">
        <v>836.0</v>
      </c>
      <c r="AJ349" s="14">
        <v>4.41</v>
      </c>
      <c r="AK349" s="14">
        <v>4.64</v>
      </c>
      <c r="AL349" s="14">
        <v>4.82</v>
      </c>
      <c r="AM349" s="14">
        <v>4.52</v>
      </c>
      <c r="AN349" s="14">
        <v>4.71</v>
      </c>
      <c r="AO349" s="14">
        <v>4.62</v>
      </c>
      <c r="AP349" s="14">
        <v>223.0</v>
      </c>
      <c r="AQ349" s="14">
        <v>489.0</v>
      </c>
      <c r="AR349" s="14">
        <v>85.0</v>
      </c>
      <c r="AS349" s="14">
        <v>47.5</v>
      </c>
      <c r="AT349" s="14">
        <v>4.04</v>
      </c>
      <c r="AU349" s="14">
        <v>1.2997E9</v>
      </c>
      <c r="AV349" s="14">
        <v>7.155</v>
      </c>
      <c r="AW349" s="14">
        <v>18.3</v>
      </c>
      <c r="AX349" s="14">
        <v>49100.0</v>
      </c>
      <c r="AY349" s="14">
        <v>0.5</v>
      </c>
      <c r="AZ349" s="14">
        <v>0.01</v>
      </c>
      <c r="BA349" s="14">
        <v>18.810000000000002</v>
      </c>
    </row>
    <row r="350" ht="14.25" customHeight="1">
      <c r="A350" s="10" t="s">
        <v>502</v>
      </c>
      <c r="B350" s="12" t="s">
        <v>85</v>
      </c>
      <c r="C350" s="12"/>
      <c r="D350" s="12"/>
      <c r="E350" s="44">
        <v>43892.0</v>
      </c>
      <c r="F350" s="29">
        <v>1.0</v>
      </c>
      <c r="G350" s="12" t="s">
        <v>503</v>
      </c>
      <c r="H350" s="45">
        <v>0.416666666666667</v>
      </c>
      <c r="I350" s="45">
        <v>0.5</v>
      </c>
      <c r="J350" s="12">
        <v>5.7</v>
      </c>
      <c r="K350" s="12">
        <v>0.227</v>
      </c>
      <c r="L350" s="14">
        <v>421.2</v>
      </c>
      <c r="M350" s="14">
        <v>434.1</v>
      </c>
      <c r="N350" s="14">
        <v>378.3</v>
      </c>
      <c r="O350" s="14">
        <v>427.5</v>
      </c>
      <c r="P350" s="14">
        <v>400.6</v>
      </c>
      <c r="Q350" s="14">
        <v>412.3</v>
      </c>
      <c r="R350" s="14">
        <v>8.48</v>
      </c>
      <c r="S350" s="14">
        <v>8.51</v>
      </c>
      <c r="T350" s="14">
        <v>8.58</v>
      </c>
      <c r="U350" s="14">
        <v>8.54</v>
      </c>
      <c r="V350" s="14">
        <v>8.54</v>
      </c>
      <c r="W350" s="14">
        <v>8.53</v>
      </c>
      <c r="X350" s="14">
        <v>20.1</v>
      </c>
      <c r="Y350" s="14">
        <v>20.0</v>
      </c>
      <c r="Z350" s="14">
        <v>20.1</v>
      </c>
      <c r="AA350" s="14">
        <v>20.3</v>
      </c>
      <c r="AB350" s="14">
        <v>20.2</v>
      </c>
      <c r="AC350" s="14">
        <v>20.1</v>
      </c>
      <c r="AD350" s="14">
        <v>518.0</v>
      </c>
      <c r="AE350" s="14">
        <v>537.0</v>
      </c>
      <c r="AF350" s="14">
        <v>564.0</v>
      </c>
      <c r="AG350" s="14">
        <v>597.0</v>
      </c>
      <c r="AH350" s="14">
        <v>583.0</v>
      </c>
      <c r="AI350" s="14">
        <v>559.8</v>
      </c>
      <c r="AJ350" s="14">
        <v>0.66</v>
      </c>
      <c r="AK350" s="14">
        <v>0.7</v>
      </c>
      <c r="AL350" s="14">
        <v>1.03</v>
      </c>
      <c r="AM350" s="14">
        <v>0.87</v>
      </c>
      <c r="AN350" s="14">
        <v>1.14</v>
      </c>
      <c r="AO350" s="14">
        <v>0.88</v>
      </c>
      <c r="AP350" s="14">
        <v>178.0</v>
      </c>
      <c r="AQ350" s="14">
        <v>580.0</v>
      </c>
      <c r="AR350" s="14">
        <v>196.0</v>
      </c>
      <c r="AS350" s="14">
        <v>57.9</v>
      </c>
      <c r="AT350" s="14">
        <v>5.5</v>
      </c>
      <c r="AU350" s="14">
        <v>1.2997E9</v>
      </c>
      <c r="AV350" s="14">
        <v>4.62</v>
      </c>
      <c r="AW350" s="14">
        <v>23.8</v>
      </c>
      <c r="AX350" s="14">
        <v>155310.0</v>
      </c>
      <c r="AY350" s="14">
        <v>0.5</v>
      </c>
      <c r="AZ350" s="14">
        <v>0.01</v>
      </c>
      <c r="BA350" s="14">
        <v>24.310000000000002</v>
      </c>
    </row>
    <row r="351" ht="14.25" customHeight="1">
      <c r="A351" s="10" t="s">
        <v>504</v>
      </c>
      <c r="B351" s="12" t="s">
        <v>63</v>
      </c>
      <c r="C351" s="12"/>
      <c r="D351" s="12"/>
      <c r="E351" s="44">
        <v>43892.0</v>
      </c>
      <c r="F351" s="29">
        <v>1.0</v>
      </c>
      <c r="G351" s="12" t="s">
        <v>505</v>
      </c>
      <c r="H351" s="45">
        <v>0.527777777777778</v>
      </c>
      <c r="I351" s="45">
        <v>0.611111111111111</v>
      </c>
      <c r="J351" s="12">
        <v>8.6</v>
      </c>
      <c r="K351" s="12">
        <v>0.214</v>
      </c>
      <c r="L351" s="14">
        <v>464.0</v>
      </c>
      <c r="M351" s="14">
        <v>426.2</v>
      </c>
      <c r="N351" s="14">
        <v>444.9</v>
      </c>
      <c r="O351" s="14">
        <v>402.9</v>
      </c>
      <c r="P351" s="14">
        <v>432.6</v>
      </c>
      <c r="Q351" s="14">
        <v>434.1</v>
      </c>
      <c r="R351" s="14">
        <v>8.5</v>
      </c>
      <c r="S351" s="14">
        <v>8.52</v>
      </c>
      <c r="T351" s="14">
        <v>8.52</v>
      </c>
      <c r="U351" s="14">
        <v>8.55</v>
      </c>
      <c r="V351" s="14">
        <v>8.61</v>
      </c>
      <c r="W351" s="14">
        <v>8.54</v>
      </c>
      <c r="X351" s="14">
        <v>22.2</v>
      </c>
      <c r="Y351" s="14">
        <v>22.1</v>
      </c>
      <c r="Z351" s="14">
        <v>21.9</v>
      </c>
      <c r="AA351" s="14">
        <v>21.4</v>
      </c>
      <c r="AB351" s="14">
        <v>21.1</v>
      </c>
      <c r="AC351" s="14">
        <v>21.7</v>
      </c>
      <c r="AD351" s="14">
        <v>595.0</v>
      </c>
      <c r="AE351" s="14">
        <v>617.0</v>
      </c>
      <c r="AF351" s="14">
        <v>629.0</v>
      </c>
      <c r="AG351" s="14">
        <v>627.0</v>
      </c>
      <c r="AH351" s="14">
        <v>630.0</v>
      </c>
      <c r="AI351" s="14">
        <v>619.6</v>
      </c>
      <c r="AJ351" s="14">
        <v>0.66</v>
      </c>
      <c r="AK351" s="14">
        <v>0.73</v>
      </c>
      <c r="AL351" s="14">
        <v>0.41</v>
      </c>
      <c r="AM351" s="14">
        <v>0.48</v>
      </c>
      <c r="AN351" s="14">
        <v>1.14</v>
      </c>
      <c r="AO351" s="14">
        <v>0.68</v>
      </c>
      <c r="AP351" s="14">
        <v>191.0</v>
      </c>
      <c r="AQ351" s="14">
        <v>493.0</v>
      </c>
      <c r="AR351" s="14">
        <v>148.0</v>
      </c>
      <c r="AS351" s="14">
        <v>46.2</v>
      </c>
      <c r="AT351" s="14">
        <v>6.9</v>
      </c>
      <c r="AU351" s="14">
        <v>6.867E8</v>
      </c>
      <c r="AV351" s="14">
        <v>4.497</v>
      </c>
      <c r="AW351" s="14">
        <v>25.1</v>
      </c>
      <c r="AX351" s="14">
        <v>341000.0</v>
      </c>
      <c r="AY351" s="14">
        <v>0.5</v>
      </c>
      <c r="AZ351" s="14">
        <v>0.01</v>
      </c>
      <c r="BA351" s="14">
        <v>25.610000000000003</v>
      </c>
    </row>
    <row r="352" ht="14.25" customHeight="1">
      <c r="A352" s="10" t="s">
        <v>506</v>
      </c>
      <c r="B352" s="12" t="s">
        <v>95</v>
      </c>
      <c r="C352" s="12"/>
      <c r="D352" s="12"/>
      <c r="E352" s="44">
        <v>43892.0</v>
      </c>
      <c r="F352" s="29">
        <v>1.0</v>
      </c>
      <c r="G352" s="12" t="s">
        <v>507</v>
      </c>
      <c r="H352" s="45">
        <v>0.291666666666667</v>
      </c>
      <c r="I352" s="45">
        <v>0.375</v>
      </c>
      <c r="J352" s="12" t="s">
        <v>508</v>
      </c>
      <c r="K352" s="12" t="s">
        <v>508</v>
      </c>
      <c r="L352" s="14">
        <v>4.61</v>
      </c>
      <c r="M352" s="14">
        <v>3.17</v>
      </c>
      <c r="N352" s="14">
        <v>4.52</v>
      </c>
      <c r="O352" s="14">
        <v>4.13</v>
      </c>
      <c r="P352" s="14">
        <v>3.89</v>
      </c>
      <c r="Q352" s="14">
        <v>4.06</v>
      </c>
      <c r="R352" s="14">
        <v>7.95</v>
      </c>
      <c r="S352" s="14">
        <v>7.97</v>
      </c>
      <c r="T352" s="14">
        <v>7.82</v>
      </c>
      <c r="U352" s="14">
        <v>7.94</v>
      </c>
      <c r="V352" s="14">
        <v>7.82</v>
      </c>
      <c r="W352" s="14">
        <v>7.9</v>
      </c>
      <c r="X352" s="14">
        <v>15.9</v>
      </c>
      <c r="Y352" s="14">
        <v>15.8</v>
      </c>
      <c r="Z352" s="14">
        <v>16.4</v>
      </c>
      <c r="AA352" s="14">
        <v>16.1</v>
      </c>
      <c r="AB352" s="14">
        <v>16.5</v>
      </c>
      <c r="AC352" s="14">
        <v>16.1</v>
      </c>
      <c r="AD352" s="14">
        <v>353.0</v>
      </c>
      <c r="AE352" s="14">
        <v>359.0</v>
      </c>
      <c r="AF352" s="14">
        <v>360.0</v>
      </c>
      <c r="AG352" s="14">
        <v>373.0</v>
      </c>
      <c r="AH352" s="14">
        <v>338.0</v>
      </c>
      <c r="AI352" s="14">
        <v>356.6</v>
      </c>
      <c r="AJ352" s="14">
        <v>3.99</v>
      </c>
      <c r="AK352" s="14">
        <v>3.7</v>
      </c>
      <c r="AL352" s="14">
        <v>3.63</v>
      </c>
      <c r="AM352" s="14">
        <v>3.73</v>
      </c>
      <c r="AN352" s="14">
        <v>3.57</v>
      </c>
      <c r="AO352" s="14">
        <v>3.72</v>
      </c>
      <c r="AP352" s="14">
        <v>95.4</v>
      </c>
      <c r="AQ352" s="14">
        <v>209.0</v>
      </c>
      <c r="AR352" s="14">
        <v>38.0</v>
      </c>
      <c r="AS352" s="14">
        <v>27.2</v>
      </c>
      <c r="AT352" s="14">
        <v>2.6</v>
      </c>
      <c r="AU352" s="14">
        <v>1.658E8</v>
      </c>
      <c r="AV352" s="14">
        <v>3.074</v>
      </c>
      <c r="AW352" s="14">
        <v>24.3</v>
      </c>
      <c r="AX352" s="14">
        <v>17270.0</v>
      </c>
      <c r="AY352" s="14">
        <v>0.5</v>
      </c>
      <c r="AZ352" s="14">
        <v>0.01</v>
      </c>
      <c r="BA352" s="14">
        <v>24.810000000000002</v>
      </c>
    </row>
    <row r="353" ht="14.25" customHeight="1">
      <c r="A353" s="10" t="s">
        <v>509</v>
      </c>
      <c r="B353" s="12" t="s">
        <v>57</v>
      </c>
      <c r="C353" s="12"/>
      <c r="D353" s="12"/>
      <c r="E353" s="44">
        <v>43923.0</v>
      </c>
      <c r="F353" s="29">
        <v>1.0</v>
      </c>
      <c r="G353" s="12" t="s">
        <v>510</v>
      </c>
      <c r="H353" s="45">
        <v>0.364583333333333</v>
      </c>
      <c r="I353" s="45">
        <v>0.447916666666667</v>
      </c>
      <c r="J353" s="12">
        <v>0.57</v>
      </c>
      <c r="K353" s="12">
        <v>0.542</v>
      </c>
      <c r="L353" s="14">
        <v>6.9</v>
      </c>
      <c r="M353" s="14">
        <v>4.9</v>
      </c>
      <c r="N353" s="14">
        <v>5.9</v>
      </c>
      <c r="O353" s="14">
        <v>6.0</v>
      </c>
      <c r="P353" s="14">
        <v>6.2</v>
      </c>
      <c r="Q353" s="14">
        <v>5.98</v>
      </c>
      <c r="R353" s="14">
        <v>7.75</v>
      </c>
      <c r="S353" s="14">
        <v>7.51</v>
      </c>
      <c r="T353" s="14">
        <v>8.54</v>
      </c>
      <c r="U353" s="14">
        <v>8.45</v>
      </c>
      <c r="V353" s="14">
        <v>8.44</v>
      </c>
      <c r="W353" s="14">
        <v>8.14</v>
      </c>
      <c r="X353" s="14">
        <v>11.2</v>
      </c>
      <c r="Y353" s="14">
        <v>11.5</v>
      </c>
      <c r="Z353" s="14">
        <v>12.2</v>
      </c>
      <c r="AA353" s="14">
        <v>12.6</v>
      </c>
      <c r="AB353" s="14">
        <v>13.0</v>
      </c>
      <c r="AC353" s="14">
        <v>12.1</v>
      </c>
      <c r="AD353" s="14">
        <v>362.0</v>
      </c>
      <c r="AE353" s="14">
        <v>377.0</v>
      </c>
      <c r="AF353" s="14">
        <v>397.0</v>
      </c>
      <c r="AG353" s="14">
        <v>406.0</v>
      </c>
      <c r="AH353" s="14">
        <v>421.0</v>
      </c>
      <c r="AI353" s="14">
        <v>392.6</v>
      </c>
      <c r="AJ353" s="14">
        <v>4.55</v>
      </c>
      <c r="AK353" s="14">
        <v>4.47</v>
      </c>
      <c r="AL353" s="14">
        <v>3.98</v>
      </c>
      <c r="AM353" s="14">
        <v>3.15</v>
      </c>
      <c r="AN353" s="14">
        <v>3.51</v>
      </c>
      <c r="AO353" s="14">
        <v>3.93</v>
      </c>
      <c r="AP353" s="14">
        <v>38.6</v>
      </c>
      <c r="AQ353" s="14">
        <v>192.0</v>
      </c>
      <c r="AR353" s="14">
        <v>42.0</v>
      </c>
      <c r="AS353" s="14">
        <v>10.0</v>
      </c>
      <c r="AT353" s="14">
        <v>0.66</v>
      </c>
      <c r="AU353" s="14">
        <v>2.0E8</v>
      </c>
      <c r="AV353" s="14">
        <v>1.6</v>
      </c>
      <c r="AW353" s="14">
        <v>7.51</v>
      </c>
      <c r="AX353" s="14">
        <v>3578.0</v>
      </c>
      <c r="AY353" s="14">
        <v>0.5</v>
      </c>
      <c r="AZ353" s="14">
        <v>0.01</v>
      </c>
      <c r="BA353" s="14">
        <v>8.02</v>
      </c>
    </row>
    <row r="354" ht="14.25" customHeight="1">
      <c r="A354" s="10" t="s">
        <v>511</v>
      </c>
      <c r="B354" s="12" t="s">
        <v>53</v>
      </c>
      <c r="C354" s="12"/>
      <c r="D354" s="12"/>
      <c r="E354" s="44">
        <v>43923.0</v>
      </c>
      <c r="F354" s="29">
        <v>1.0</v>
      </c>
      <c r="G354" s="12" t="s">
        <v>512</v>
      </c>
      <c r="H354" s="45">
        <v>0.479166666666667</v>
      </c>
      <c r="I354" s="45">
        <v>0.5625</v>
      </c>
      <c r="J354" s="12">
        <v>0.6</v>
      </c>
      <c r="K354" s="12">
        <v>0.137</v>
      </c>
      <c r="L354" s="14">
        <v>22.0</v>
      </c>
      <c r="M354" s="14">
        <v>23.0</v>
      </c>
      <c r="N354" s="14">
        <v>22.1</v>
      </c>
      <c r="O354" s="14">
        <v>24.0</v>
      </c>
      <c r="P354" s="14">
        <v>25.6</v>
      </c>
      <c r="Q354" s="14">
        <v>23.34</v>
      </c>
      <c r="R354" s="14">
        <v>6.4</v>
      </c>
      <c r="S354" s="14">
        <v>6.69</v>
      </c>
      <c r="T354" s="14">
        <v>6.7</v>
      </c>
      <c r="U354" s="14">
        <v>6.42</v>
      </c>
      <c r="V354" s="14">
        <v>6.36</v>
      </c>
      <c r="W354" s="14">
        <v>6.51</v>
      </c>
      <c r="X354" s="14">
        <v>15.4</v>
      </c>
      <c r="Y354" s="14">
        <v>15.9</v>
      </c>
      <c r="Z354" s="14">
        <v>15.9</v>
      </c>
      <c r="AA354" s="14">
        <v>16.6</v>
      </c>
      <c r="AB354" s="14">
        <v>16.3</v>
      </c>
      <c r="AC354" s="14">
        <v>16.0</v>
      </c>
      <c r="AD354" s="14">
        <v>696.0</v>
      </c>
      <c r="AE354" s="14">
        <v>700.0</v>
      </c>
      <c r="AF354" s="14">
        <v>702.0</v>
      </c>
      <c r="AG354" s="14">
        <v>691.0</v>
      </c>
      <c r="AH354" s="14">
        <v>697.0</v>
      </c>
      <c r="AI354" s="14">
        <v>697.2</v>
      </c>
      <c r="AJ354" s="14">
        <v>6.79</v>
      </c>
      <c r="AK354" s="14">
        <v>5.48</v>
      </c>
      <c r="AL354" s="14">
        <v>5.73</v>
      </c>
      <c r="AM354" s="14">
        <v>5.42</v>
      </c>
      <c r="AN354" s="14">
        <v>6.43</v>
      </c>
      <c r="AO354" s="14">
        <v>5.97</v>
      </c>
      <c r="AP354" s="14">
        <v>52.4</v>
      </c>
      <c r="AQ354" s="14">
        <v>74.4</v>
      </c>
      <c r="AR354" s="14">
        <v>129.0</v>
      </c>
      <c r="AS354" s="14">
        <v>10.0</v>
      </c>
      <c r="AT354" s="14">
        <v>1.7</v>
      </c>
      <c r="AU354" s="14">
        <v>1.081E8</v>
      </c>
      <c r="AV354" s="14">
        <v>4.593</v>
      </c>
      <c r="AW354" s="14">
        <v>10.3</v>
      </c>
      <c r="AX354" s="14">
        <v>98000.0</v>
      </c>
      <c r="AY354" s="14">
        <v>0.5</v>
      </c>
      <c r="AZ354" s="14">
        <v>0.01</v>
      </c>
      <c r="BA354" s="14">
        <v>10.81</v>
      </c>
    </row>
    <row r="355" ht="14.25" customHeight="1">
      <c r="A355" s="10" t="s">
        <v>513</v>
      </c>
      <c r="B355" s="12" t="s">
        <v>59</v>
      </c>
      <c r="C355" s="12"/>
      <c r="D355" s="12"/>
      <c r="E355" s="44">
        <v>43923.0</v>
      </c>
      <c r="F355" s="29">
        <v>1.0</v>
      </c>
      <c r="G355" s="12" t="s">
        <v>514</v>
      </c>
      <c r="H355" s="45">
        <v>0.354166666666667</v>
      </c>
      <c r="I355" s="45">
        <v>0.4375</v>
      </c>
      <c r="J355" s="12">
        <v>43922.0</v>
      </c>
      <c r="K355" s="12">
        <v>0.218</v>
      </c>
      <c r="L355" s="14">
        <v>42.7</v>
      </c>
      <c r="M355" s="14">
        <v>43.6</v>
      </c>
      <c r="N355" s="14">
        <v>42.3</v>
      </c>
      <c r="O355" s="14">
        <v>89.5</v>
      </c>
      <c r="P355" s="14">
        <v>58.6</v>
      </c>
      <c r="Q355" s="14">
        <v>55.34</v>
      </c>
      <c r="R355" s="14">
        <v>8.29</v>
      </c>
      <c r="S355" s="14">
        <v>8.26</v>
      </c>
      <c r="T355" s="14">
        <v>8.29</v>
      </c>
      <c r="U355" s="14">
        <v>8.24</v>
      </c>
      <c r="V355" s="14">
        <v>8.31</v>
      </c>
      <c r="W355" s="14">
        <v>8.28</v>
      </c>
      <c r="X355" s="14">
        <v>12.8</v>
      </c>
      <c r="Y355" s="14">
        <v>13.4</v>
      </c>
      <c r="Z355" s="14">
        <v>13.4</v>
      </c>
      <c r="AA355" s="14">
        <v>14.5</v>
      </c>
      <c r="AB355" s="14">
        <v>15.4</v>
      </c>
      <c r="AC355" s="14">
        <v>13.9</v>
      </c>
      <c r="AD355" s="14">
        <v>487.0</v>
      </c>
      <c r="AE355" s="14">
        <v>494.0</v>
      </c>
      <c r="AF355" s="14">
        <v>517.0</v>
      </c>
      <c r="AG355" s="14">
        <v>527.0</v>
      </c>
      <c r="AH355" s="14">
        <v>616.0</v>
      </c>
      <c r="AI355" s="14">
        <v>528.2</v>
      </c>
      <c r="AJ355" s="14">
        <v>5.11</v>
      </c>
      <c r="AK355" s="14">
        <v>5.22</v>
      </c>
      <c r="AL355" s="14">
        <v>5.07</v>
      </c>
      <c r="AM355" s="14">
        <v>4.94</v>
      </c>
      <c r="AN355" s="14">
        <v>4.66</v>
      </c>
      <c r="AO355" s="14">
        <v>5.0</v>
      </c>
      <c r="AP355" s="14">
        <v>34.6</v>
      </c>
      <c r="AQ355" s="14">
        <v>186.0</v>
      </c>
      <c r="AR355" s="14">
        <v>76.7</v>
      </c>
      <c r="AS355" s="14">
        <v>14.1</v>
      </c>
      <c r="AT355" s="14">
        <v>1.0</v>
      </c>
      <c r="AU355" s="14">
        <v>1.187E8</v>
      </c>
      <c r="AV355" s="14">
        <v>2.51</v>
      </c>
      <c r="AW355" s="14">
        <v>18.7</v>
      </c>
      <c r="AX355" s="14">
        <v>920800.0</v>
      </c>
      <c r="AY355" s="14">
        <v>0.5</v>
      </c>
      <c r="AZ355" s="14">
        <v>0.01</v>
      </c>
      <c r="BA355" s="14">
        <v>19.21</v>
      </c>
    </row>
    <row r="356" ht="14.25" customHeight="1">
      <c r="A356" s="10" t="s">
        <v>515</v>
      </c>
      <c r="B356" s="12" t="s">
        <v>55</v>
      </c>
      <c r="C356" s="12"/>
      <c r="D356" s="12"/>
      <c r="E356" s="44">
        <v>43923.0</v>
      </c>
      <c r="F356" s="29">
        <v>1.0</v>
      </c>
      <c r="G356" s="12" t="s">
        <v>516</v>
      </c>
      <c r="H356" s="45">
        <v>0.479166666666667</v>
      </c>
      <c r="I356" s="45">
        <v>0.0625</v>
      </c>
      <c r="J356" s="12">
        <v>2.7</v>
      </c>
      <c r="K356" s="12">
        <v>0.196</v>
      </c>
      <c r="L356" s="14">
        <v>102.5</v>
      </c>
      <c r="M356" s="14">
        <v>116.6</v>
      </c>
      <c r="N356" s="14">
        <v>122.9</v>
      </c>
      <c r="O356" s="14">
        <v>117.7</v>
      </c>
      <c r="P356" s="14">
        <v>120.4</v>
      </c>
      <c r="Q356" s="14">
        <v>116.02</v>
      </c>
      <c r="R356" s="14">
        <v>8.14</v>
      </c>
      <c r="S356" s="14">
        <v>8.07</v>
      </c>
      <c r="T356" s="14">
        <v>7.67</v>
      </c>
      <c r="U356" s="14">
        <v>8.08</v>
      </c>
      <c r="V356" s="14">
        <v>7.71</v>
      </c>
      <c r="W356" s="14">
        <v>7.93</v>
      </c>
      <c r="X356" s="14">
        <v>18.6</v>
      </c>
      <c r="Y356" s="14">
        <v>20.4</v>
      </c>
      <c r="Z356" s="14">
        <v>20.8</v>
      </c>
      <c r="AA356" s="14">
        <v>21.0</v>
      </c>
      <c r="AB356" s="14">
        <v>22.3</v>
      </c>
      <c r="AC356" s="14">
        <v>20.6</v>
      </c>
      <c r="AD356" s="14">
        <v>725.0</v>
      </c>
      <c r="AE356" s="14">
        <v>692.0</v>
      </c>
      <c r="AF356" s="14">
        <v>667.0</v>
      </c>
      <c r="AG356" s="14">
        <v>693.0</v>
      </c>
      <c r="AH356" s="14">
        <v>731.0</v>
      </c>
      <c r="AI356" s="14">
        <v>701.6</v>
      </c>
      <c r="AJ356" s="14">
        <v>2.7</v>
      </c>
      <c r="AK356" s="14">
        <v>2.83</v>
      </c>
      <c r="AL356" s="14">
        <v>3.08</v>
      </c>
      <c r="AM356" s="14">
        <v>2.54</v>
      </c>
      <c r="AN356" s="14">
        <v>2.27</v>
      </c>
      <c r="AO356" s="14">
        <v>2.68</v>
      </c>
      <c r="AP356" s="14">
        <v>58.4</v>
      </c>
      <c r="AQ356" s="14">
        <v>198.0</v>
      </c>
      <c r="AR356" s="14">
        <v>296.0</v>
      </c>
      <c r="AS356" s="14">
        <v>10.3</v>
      </c>
      <c r="AT356" s="14">
        <v>2.2</v>
      </c>
      <c r="AU356" s="14">
        <v>1.043E8</v>
      </c>
      <c r="AV356" s="14">
        <v>4.156</v>
      </c>
      <c r="AW356" s="14">
        <v>25.4</v>
      </c>
      <c r="AX356" s="14">
        <v>913900.0</v>
      </c>
      <c r="AY356" s="14">
        <v>0.5</v>
      </c>
      <c r="AZ356" s="14">
        <v>0.01</v>
      </c>
      <c r="BA356" s="14">
        <v>25.91</v>
      </c>
    </row>
    <row r="357" ht="14.25" customHeight="1">
      <c r="A357" s="10" t="s">
        <v>517</v>
      </c>
      <c r="B357" s="16" t="s">
        <v>79</v>
      </c>
      <c r="C357" s="12"/>
      <c r="D357" s="12"/>
      <c r="E357" s="46">
        <v>43923.0</v>
      </c>
      <c r="F357" s="47">
        <v>1.0</v>
      </c>
      <c r="G357" s="18" t="s">
        <v>518</v>
      </c>
      <c r="H357" s="13">
        <v>0.388888888888889</v>
      </c>
      <c r="I357" s="13">
        <v>0.472222222222222</v>
      </c>
      <c r="J357" s="18">
        <v>0.6</v>
      </c>
      <c r="K357" s="18">
        <v>0.257</v>
      </c>
      <c r="L357" s="15">
        <v>5.9</v>
      </c>
      <c r="M357" s="15">
        <v>5.5</v>
      </c>
      <c r="N357" s="15">
        <v>4.4</v>
      </c>
      <c r="O357" s="15">
        <v>6.0</v>
      </c>
      <c r="P357" s="15">
        <v>5.8</v>
      </c>
      <c r="Q357" s="15">
        <v>5.52</v>
      </c>
      <c r="R357" s="15">
        <v>7.2</v>
      </c>
      <c r="S357" s="15">
        <v>7.29</v>
      </c>
      <c r="T357" s="15">
        <v>7.21</v>
      </c>
      <c r="U357" s="15">
        <v>7.24</v>
      </c>
      <c r="V357" s="15">
        <v>7.31</v>
      </c>
      <c r="W357" s="15">
        <v>7.25</v>
      </c>
      <c r="X357" s="15">
        <v>11.0</v>
      </c>
      <c r="Y357" s="15">
        <v>11.0</v>
      </c>
      <c r="Z357" s="15">
        <v>11.3</v>
      </c>
      <c r="AA357" s="15">
        <v>11.6</v>
      </c>
      <c r="AB357" s="15">
        <v>11.9</v>
      </c>
      <c r="AC357" s="15">
        <v>11.4</v>
      </c>
      <c r="AD357" s="15">
        <v>130.7</v>
      </c>
      <c r="AE357" s="15">
        <v>148.0</v>
      </c>
      <c r="AF357" s="15">
        <v>136.5</v>
      </c>
      <c r="AG357" s="15">
        <v>142.4</v>
      </c>
      <c r="AH357" s="15">
        <v>164.1</v>
      </c>
      <c r="AI357" s="15">
        <v>144.3</v>
      </c>
      <c r="AJ357" s="15">
        <v>4.99</v>
      </c>
      <c r="AK357" s="15">
        <v>5.08</v>
      </c>
      <c r="AL357" s="15">
        <v>5.7</v>
      </c>
      <c r="AM357" s="15">
        <v>5.19</v>
      </c>
      <c r="AN357" s="15">
        <v>5.73</v>
      </c>
      <c r="AO357" s="15">
        <v>5.34</v>
      </c>
      <c r="AP357" s="15">
        <v>24.1</v>
      </c>
      <c r="AQ357" s="15">
        <v>58.0</v>
      </c>
      <c r="AR357" s="15">
        <v>14.4</v>
      </c>
      <c r="AS357" s="15">
        <v>10.0</v>
      </c>
      <c r="AT357" s="15">
        <v>1.3</v>
      </c>
      <c r="AU357" s="15">
        <v>1.497E8</v>
      </c>
      <c r="AV357" s="15">
        <v>0.629</v>
      </c>
      <c r="AW357" s="15">
        <v>7.54</v>
      </c>
      <c r="AX357" s="15">
        <v>92080.0</v>
      </c>
      <c r="AY357" s="15">
        <v>0.5</v>
      </c>
      <c r="AZ357" s="15">
        <v>0.01</v>
      </c>
      <c r="BA357" s="15">
        <v>8.049999999999999</v>
      </c>
    </row>
    <row r="358" ht="14.25" customHeight="1">
      <c r="A358" s="10" t="s">
        <v>519</v>
      </c>
      <c r="B358" s="16" t="s">
        <v>93</v>
      </c>
      <c r="C358" s="12"/>
      <c r="D358" s="12"/>
      <c r="E358" s="44">
        <v>43923.0</v>
      </c>
      <c r="F358" s="29">
        <v>1.0</v>
      </c>
      <c r="G358" s="12" t="s">
        <v>520</v>
      </c>
      <c r="H358" s="45">
        <v>0.489583333333333</v>
      </c>
      <c r="I358" s="45">
        <v>0.572916666666667</v>
      </c>
      <c r="J358" s="12">
        <v>3.8</v>
      </c>
      <c r="K358" s="12">
        <v>0.102</v>
      </c>
      <c r="L358" s="14">
        <v>114.9</v>
      </c>
      <c r="M358" s="14">
        <v>114.0</v>
      </c>
      <c r="N358" s="14">
        <v>120.7</v>
      </c>
      <c r="O358" s="14">
        <v>125.6</v>
      </c>
      <c r="P358" s="14">
        <v>121.6</v>
      </c>
      <c r="Q358" s="14">
        <v>119.36</v>
      </c>
      <c r="R358" s="14">
        <v>7.95</v>
      </c>
      <c r="S358" s="14">
        <v>7.88</v>
      </c>
      <c r="T358" s="14">
        <v>7.79</v>
      </c>
      <c r="U358" s="14">
        <v>7.75</v>
      </c>
      <c r="V358" s="14">
        <v>7.74</v>
      </c>
      <c r="W358" s="14">
        <v>7.82</v>
      </c>
      <c r="X358" s="14">
        <v>17.3</v>
      </c>
      <c r="Y358" s="14">
        <v>17.4</v>
      </c>
      <c r="Z358" s="14">
        <v>17.7</v>
      </c>
      <c r="AA358" s="14">
        <v>17.9</v>
      </c>
      <c r="AB358" s="14">
        <v>17.9</v>
      </c>
      <c r="AC358" s="14">
        <v>17.6</v>
      </c>
      <c r="AD358" s="14">
        <v>841.0</v>
      </c>
      <c r="AE358" s="14">
        <v>822.0</v>
      </c>
      <c r="AF358" s="14">
        <v>791.0</v>
      </c>
      <c r="AG358" s="14">
        <v>789.0</v>
      </c>
      <c r="AH358" s="14">
        <v>765.0</v>
      </c>
      <c r="AI358" s="14">
        <v>801.6</v>
      </c>
      <c r="AJ358" s="14">
        <v>4.04</v>
      </c>
      <c r="AK358" s="14">
        <v>3.97</v>
      </c>
      <c r="AL358" s="14">
        <v>3.78</v>
      </c>
      <c r="AM358" s="14">
        <v>3.75</v>
      </c>
      <c r="AN358" s="14">
        <v>3.72</v>
      </c>
      <c r="AO358" s="14">
        <v>3.85</v>
      </c>
      <c r="AP358" s="14">
        <v>272.0</v>
      </c>
      <c r="AQ358" s="14">
        <v>637.0</v>
      </c>
      <c r="AR358" s="14">
        <v>324.0</v>
      </c>
      <c r="AS358" s="14">
        <v>28.8</v>
      </c>
      <c r="AT358" s="14">
        <v>5.8</v>
      </c>
      <c r="AU358" s="14">
        <v>5.56E9</v>
      </c>
      <c r="AV358" s="14">
        <v>7.153</v>
      </c>
      <c r="AW358" s="14">
        <v>14.9</v>
      </c>
      <c r="AX358" s="14">
        <v>547500.0</v>
      </c>
      <c r="AY358" s="14">
        <v>0.5</v>
      </c>
      <c r="AZ358" s="14">
        <v>0.01</v>
      </c>
      <c r="BA358" s="14">
        <v>15.41</v>
      </c>
    </row>
    <row r="359" ht="14.25" customHeight="1">
      <c r="A359" s="10" t="s">
        <v>521</v>
      </c>
      <c r="B359" s="12" t="s">
        <v>83</v>
      </c>
      <c r="C359" s="12"/>
      <c r="D359" s="12"/>
      <c r="E359" s="44">
        <v>43923.0</v>
      </c>
      <c r="F359" s="29">
        <v>1.0</v>
      </c>
      <c r="G359" s="12" t="s">
        <v>522</v>
      </c>
      <c r="H359" s="45">
        <v>0.354166666666667</v>
      </c>
      <c r="I359" s="45">
        <v>0.4375</v>
      </c>
      <c r="J359" s="12">
        <v>4.0</v>
      </c>
      <c r="K359" s="12">
        <v>0.29</v>
      </c>
      <c r="L359" s="14">
        <v>226.9</v>
      </c>
      <c r="M359" s="14">
        <v>245.8</v>
      </c>
      <c r="N359" s="14">
        <v>117.6</v>
      </c>
      <c r="O359" s="14">
        <v>98.5</v>
      </c>
      <c r="P359" s="14">
        <v>82.2</v>
      </c>
      <c r="Q359" s="14">
        <v>154.2</v>
      </c>
      <c r="R359" s="14">
        <v>8.0</v>
      </c>
      <c r="S359" s="14">
        <v>8.1</v>
      </c>
      <c r="T359" s="14">
        <v>8.0</v>
      </c>
      <c r="U359" s="14">
        <v>7.9</v>
      </c>
      <c r="V359" s="14">
        <v>7.9</v>
      </c>
      <c r="W359" s="14">
        <v>7.98</v>
      </c>
      <c r="X359" s="14">
        <v>13.4</v>
      </c>
      <c r="Y359" s="14">
        <v>13.5</v>
      </c>
      <c r="Z359" s="14">
        <v>14.7</v>
      </c>
      <c r="AA359" s="14">
        <v>15.5</v>
      </c>
      <c r="AB359" s="14">
        <v>16.8</v>
      </c>
      <c r="AC359" s="14">
        <v>14.8</v>
      </c>
      <c r="AD359" s="14">
        <v>803.0</v>
      </c>
      <c r="AE359" s="14">
        <v>884.0</v>
      </c>
      <c r="AF359" s="14">
        <v>938.0</v>
      </c>
      <c r="AG359" s="14">
        <v>960.0</v>
      </c>
      <c r="AH359" s="14">
        <v>945.0</v>
      </c>
      <c r="AI359" s="14">
        <v>906.0</v>
      </c>
      <c r="AJ359" s="14">
        <v>0.96</v>
      </c>
      <c r="AK359" s="14">
        <v>1.12</v>
      </c>
      <c r="AL359" s="14">
        <v>0.72</v>
      </c>
      <c r="AM359" s="14">
        <v>0.74</v>
      </c>
      <c r="AN359" s="14">
        <v>0.61</v>
      </c>
      <c r="AO359" s="14">
        <v>0.83</v>
      </c>
      <c r="AP359" s="14">
        <v>127.0</v>
      </c>
      <c r="AQ359" s="14">
        <v>442.0</v>
      </c>
      <c r="AR359" s="14">
        <v>197.0</v>
      </c>
      <c r="AS359" s="14">
        <v>17.7</v>
      </c>
      <c r="AT359" s="14">
        <v>2.4</v>
      </c>
      <c r="AU359" s="14">
        <v>6.63E7</v>
      </c>
      <c r="AV359" s="14">
        <v>8.779</v>
      </c>
      <c r="AW359" s="14">
        <v>12.1</v>
      </c>
      <c r="AX359" s="14">
        <v>121200.0</v>
      </c>
      <c r="AY359" s="14">
        <v>0.5</v>
      </c>
      <c r="AZ359" s="14">
        <v>0.01</v>
      </c>
      <c r="BA359" s="14">
        <v>12.61</v>
      </c>
    </row>
    <row r="360" ht="14.25" customHeight="1">
      <c r="A360" s="10" t="s">
        <v>523</v>
      </c>
      <c r="B360" s="12" t="s">
        <v>61</v>
      </c>
      <c r="C360" s="12"/>
      <c r="D360" s="12"/>
      <c r="E360" s="44">
        <v>43923.0</v>
      </c>
      <c r="F360" s="29">
        <v>1.0</v>
      </c>
      <c r="G360" s="12" t="s">
        <v>524</v>
      </c>
      <c r="H360" s="45">
        <v>0.541666666666667</v>
      </c>
      <c r="I360" s="45">
        <v>0.625</v>
      </c>
      <c r="J360" s="12">
        <v>11.9</v>
      </c>
      <c r="K360" s="12">
        <v>0.127</v>
      </c>
      <c r="L360" s="14">
        <v>266.4</v>
      </c>
      <c r="M360" s="14">
        <v>294.1</v>
      </c>
      <c r="N360" s="14">
        <v>272.7</v>
      </c>
      <c r="O360" s="14">
        <v>441.3</v>
      </c>
      <c r="P360" s="14">
        <v>439.3</v>
      </c>
      <c r="Q360" s="14">
        <v>342.76</v>
      </c>
      <c r="R360" s="14">
        <v>7.7</v>
      </c>
      <c r="S360" s="14">
        <v>7.7</v>
      </c>
      <c r="T360" s="14">
        <v>7.8</v>
      </c>
      <c r="U360" s="14">
        <v>7.8</v>
      </c>
      <c r="V360" s="14">
        <v>7.8</v>
      </c>
      <c r="W360" s="14">
        <v>7.76</v>
      </c>
      <c r="X360" s="14">
        <v>23.3</v>
      </c>
      <c r="Y360" s="14">
        <v>23.2</v>
      </c>
      <c r="Z360" s="14">
        <v>23.8</v>
      </c>
      <c r="AA360" s="14">
        <v>23.7</v>
      </c>
      <c r="AB360" s="14">
        <v>23.9</v>
      </c>
      <c r="AC360" s="14">
        <v>23.6</v>
      </c>
      <c r="AD360" s="14">
        <v>863.0</v>
      </c>
      <c r="AE360" s="14">
        <v>846.0</v>
      </c>
      <c r="AF360" s="14">
        <v>822.0</v>
      </c>
      <c r="AG360" s="14">
        <v>841.0</v>
      </c>
      <c r="AH360" s="14">
        <v>832.0</v>
      </c>
      <c r="AI360" s="14">
        <v>840.8</v>
      </c>
      <c r="AJ360" s="14">
        <v>0.35</v>
      </c>
      <c r="AK360" s="14">
        <v>0.15</v>
      </c>
      <c r="AL360" s="14">
        <v>0.13</v>
      </c>
      <c r="AM360" s="14">
        <v>0.13</v>
      </c>
      <c r="AN360" s="14">
        <v>0.16</v>
      </c>
      <c r="AO360" s="14">
        <v>0.18</v>
      </c>
      <c r="AP360" s="14">
        <v>231.0</v>
      </c>
      <c r="AQ360" s="14">
        <v>568.0</v>
      </c>
      <c r="AR360" s="14">
        <v>260.0</v>
      </c>
      <c r="AS360" s="14">
        <v>31.6</v>
      </c>
      <c r="AT360" s="14">
        <v>4.9</v>
      </c>
      <c r="AU360" s="14">
        <v>3.01E7</v>
      </c>
      <c r="AV360" s="14">
        <v>8.073</v>
      </c>
      <c r="AW360" s="14">
        <v>23.1</v>
      </c>
      <c r="AX360" s="14">
        <v>73800.0</v>
      </c>
      <c r="AY360" s="14">
        <v>0.5</v>
      </c>
      <c r="AZ360" s="14">
        <v>0.01</v>
      </c>
      <c r="BA360" s="14">
        <v>23.610000000000003</v>
      </c>
    </row>
    <row r="361" ht="14.25" customHeight="1">
      <c r="A361" s="10" t="s">
        <v>525</v>
      </c>
      <c r="B361" s="12" t="s">
        <v>97</v>
      </c>
      <c r="C361" s="12"/>
      <c r="D361" s="12"/>
      <c r="E361" s="44">
        <v>44137.0</v>
      </c>
      <c r="F361" s="29">
        <v>1.0</v>
      </c>
      <c r="G361" s="12" t="s">
        <v>526</v>
      </c>
      <c r="H361" s="45">
        <v>0.25</v>
      </c>
      <c r="I361" s="45">
        <v>0.333333333333333</v>
      </c>
      <c r="J361" s="12">
        <v>1.5</v>
      </c>
      <c r="K361" s="12">
        <v>0.163</v>
      </c>
      <c r="L361" s="14">
        <v>110.2</v>
      </c>
      <c r="M361" s="14">
        <v>102.2</v>
      </c>
      <c r="N361" s="14">
        <v>103.7</v>
      </c>
      <c r="O361" s="14">
        <v>103.1</v>
      </c>
      <c r="P361" s="14">
        <v>120.0</v>
      </c>
      <c r="Q361" s="14">
        <v>107.8</v>
      </c>
      <c r="R361" s="14">
        <v>7.79</v>
      </c>
      <c r="S361" s="14">
        <v>7.81</v>
      </c>
      <c r="T361" s="14">
        <v>7.78</v>
      </c>
      <c r="U361" s="14">
        <v>7.8</v>
      </c>
      <c r="V361" s="14">
        <v>7.8</v>
      </c>
      <c r="W361" s="14">
        <v>7.8</v>
      </c>
      <c r="X361" s="14">
        <v>12.0</v>
      </c>
      <c r="Y361" s="14">
        <v>13.1</v>
      </c>
      <c r="Z361" s="14">
        <v>13.6</v>
      </c>
      <c r="AA361" s="14">
        <v>14.5</v>
      </c>
      <c r="AB361" s="14">
        <v>14.6</v>
      </c>
      <c r="AC361" s="14">
        <v>13.6</v>
      </c>
      <c r="AD361" s="14">
        <v>188.2</v>
      </c>
      <c r="AE361" s="14">
        <v>246.0</v>
      </c>
      <c r="AF361" s="14">
        <v>265.0</v>
      </c>
      <c r="AG361" s="14">
        <v>276.0</v>
      </c>
      <c r="AH361" s="14">
        <v>263.0</v>
      </c>
      <c r="AI361" s="14">
        <v>247.6</v>
      </c>
      <c r="AJ361" s="14">
        <v>4.16</v>
      </c>
      <c r="AK361" s="14">
        <v>4.01</v>
      </c>
      <c r="AL361" s="14">
        <v>4.23</v>
      </c>
      <c r="AM361" s="14">
        <v>3.56</v>
      </c>
      <c r="AN361" s="14">
        <v>4.17</v>
      </c>
      <c r="AO361" s="14">
        <v>4.03</v>
      </c>
      <c r="AP361" s="14">
        <v>47.0</v>
      </c>
      <c r="AQ361" s="14">
        <v>175.0</v>
      </c>
      <c r="AR361" s="14">
        <v>66.0</v>
      </c>
      <c r="AS361" s="14">
        <v>17.2</v>
      </c>
      <c r="AT361" s="14">
        <v>0.56</v>
      </c>
      <c r="AU361" s="14">
        <v>2.613E8</v>
      </c>
      <c r="AV361" s="14">
        <v>3.08</v>
      </c>
      <c r="AW361" s="14">
        <v>5.55</v>
      </c>
      <c r="AX361" s="14">
        <v>15531.0</v>
      </c>
      <c r="AY361" s="14">
        <v>0.5</v>
      </c>
      <c r="AZ361" s="14">
        <v>0.01</v>
      </c>
      <c r="BA361" s="14">
        <v>6.06</v>
      </c>
    </row>
    <row r="362" ht="14.25" customHeight="1">
      <c r="A362" s="10" t="s">
        <v>527</v>
      </c>
      <c r="B362" s="12" t="s">
        <v>138</v>
      </c>
      <c r="C362" s="12"/>
      <c r="D362" s="12"/>
      <c r="E362" s="44">
        <v>44391.0</v>
      </c>
      <c r="F362" s="29">
        <v>1.0</v>
      </c>
      <c r="G362" s="12" t="s">
        <v>528</v>
      </c>
      <c r="H362" s="45">
        <v>0.416666666667879</v>
      </c>
      <c r="I362" s="45">
        <v>0.5</v>
      </c>
      <c r="J362" s="12">
        <v>0.7</v>
      </c>
      <c r="K362" s="12">
        <v>0.18</v>
      </c>
      <c r="L362" s="14">
        <v>56.537</v>
      </c>
      <c r="M362" s="14">
        <v>60.906</v>
      </c>
      <c r="N362" s="14">
        <v>80.702</v>
      </c>
      <c r="O362" s="14">
        <v>67.657</v>
      </c>
      <c r="P362" s="14">
        <v>68.754</v>
      </c>
      <c r="Q362" s="14">
        <v>66.9112</v>
      </c>
      <c r="R362" s="20">
        <v>7.81</v>
      </c>
      <c r="S362" s="20">
        <v>7.75</v>
      </c>
      <c r="T362" s="20">
        <v>7.78</v>
      </c>
      <c r="U362" s="20">
        <v>7.74</v>
      </c>
      <c r="V362" s="20">
        <v>8.03</v>
      </c>
      <c r="W362" s="14">
        <v>7.822</v>
      </c>
      <c r="X362" s="14">
        <v>14.3</v>
      </c>
      <c r="Y362" s="14">
        <v>14.6</v>
      </c>
      <c r="Z362" s="14">
        <v>14.6</v>
      </c>
      <c r="AA362" s="14">
        <v>14.6</v>
      </c>
      <c r="AB362" s="14">
        <v>14.8</v>
      </c>
      <c r="AC362" s="14">
        <v>14.580000000000002</v>
      </c>
      <c r="AD362" s="20">
        <v>735.0</v>
      </c>
      <c r="AE362" s="20">
        <v>835.0</v>
      </c>
      <c r="AF362" s="20">
        <v>762.0</v>
      </c>
      <c r="AG362" s="20">
        <v>724.0</v>
      </c>
      <c r="AH362" s="20">
        <v>680.0</v>
      </c>
      <c r="AI362" s="14">
        <v>747.2</v>
      </c>
      <c r="AJ362" s="14">
        <v>4.63</v>
      </c>
      <c r="AK362" s="14">
        <v>4.4</v>
      </c>
      <c r="AL362" s="14">
        <v>5.08</v>
      </c>
      <c r="AM362" s="14">
        <v>6.13</v>
      </c>
      <c r="AN362" s="14">
        <v>6.26</v>
      </c>
      <c r="AO362" s="14">
        <v>5.3</v>
      </c>
      <c r="AP362" s="14">
        <v>325.0</v>
      </c>
      <c r="AQ362" s="14">
        <v>500.0</v>
      </c>
      <c r="AR362" s="14">
        <v>252.0</v>
      </c>
      <c r="AS362" s="14">
        <v>90.0</v>
      </c>
      <c r="AT362" s="14">
        <v>10.0</v>
      </c>
      <c r="AU362" s="14">
        <v>9.05E8</v>
      </c>
      <c r="AV362" s="14">
        <v>6.76</v>
      </c>
      <c r="AW362" s="14">
        <v>43.1</v>
      </c>
      <c r="AX362" s="14">
        <v>780000.0</v>
      </c>
      <c r="AY362" s="14">
        <v>1.4</v>
      </c>
      <c r="AZ362" s="14">
        <v>0.007</v>
      </c>
      <c r="BA362" s="14">
        <f t="shared" ref="BA362:BA1236" si="1">AW362+AY362+AZ362</f>
        <v>44.507</v>
      </c>
    </row>
    <row r="363" ht="14.25" customHeight="1">
      <c r="A363" s="10" t="s">
        <v>529</v>
      </c>
      <c r="B363" s="12" t="s">
        <v>145</v>
      </c>
      <c r="C363" s="12"/>
      <c r="D363" s="12"/>
      <c r="E363" s="44">
        <v>44391.0</v>
      </c>
      <c r="F363" s="29">
        <v>1.0</v>
      </c>
      <c r="G363" s="12" t="s">
        <v>530</v>
      </c>
      <c r="H363" s="45">
        <v>0.25</v>
      </c>
      <c r="I363" s="45">
        <v>0.33333333333212</v>
      </c>
      <c r="J363" s="12">
        <v>0.5</v>
      </c>
      <c r="K363" s="12">
        <v>0.2</v>
      </c>
      <c r="L363" s="14">
        <v>0.572</v>
      </c>
      <c r="M363" s="14">
        <v>0.626</v>
      </c>
      <c r="N363" s="14">
        <v>0.509</v>
      </c>
      <c r="O363" s="14">
        <v>0.485</v>
      </c>
      <c r="P363" s="14">
        <v>0.557</v>
      </c>
      <c r="Q363" s="14">
        <v>0.5498</v>
      </c>
      <c r="R363" s="20">
        <v>8.18</v>
      </c>
      <c r="S363" s="20">
        <v>8.2</v>
      </c>
      <c r="T363" s="20">
        <v>7.44</v>
      </c>
      <c r="U363" s="20">
        <v>8.23</v>
      </c>
      <c r="V363" s="20">
        <v>8.24</v>
      </c>
      <c r="W363" s="14">
        <v>8.058</v>
      </c>
      <c r="X363" s="14">
        <v>14.8</v>
      </c>
      <c r="Y363" s="14">
        <v>14.9</v>
      </c>
      <c r="Z363" s="14">
        <v>15.2</v>
      </c>
      <c r="AA363" s="14">
        <v>15.2</v>
      </c>
      <c r="AB363" s="14">
        <v>15.5</v>
      </c>
      <c r="AC363" s="14">
        <v>15.120000000000001</v>
      </c>
      <c r="AD363" s="20">
        <v>645.0</v>
      </c>
      <c r="AE363" s="20">
        <v>635.0</v>
      </c>
      <c r="AF363" s="20">
        <v>602.0</v>
      </c>
      <c r="AG363" s="20">
        <v>566.0</v>
      </c>
      <c r="AH363" s="20">
        <v>283.0</v>
      </c>
      <c r="AI363" s="14">
        <v>546.2</v>
      </c>
      <c r="AJ363" s="14">
        <v>7.29</v>
      </c>
      <c r="AK363" s="14">
        <v>6.55</v>
      </c>
      <c r="AL363" s="14">
        <v>6.98</v>
      </c>
      <c r="AM363" s="14">
        <v>7.08</v>
      </c>
      <c r="AN363" s="14">
        <v>5.93</v>
      </c>
      <c r="AO363" s="14">
        <v>6.766</v>
      </c>
      <c r="AP363" s="14">
        <v>8.0</v>
      </c>
      <c r="AQ363" s="14">
        <v>36.0</v>
      </c>
      <c r="AR363" s="14">
        <v>10.0</v>
      </c>
      <c r="AS363" s="14">
        <v>1.2</v>
      </c>
      <c r="AT363" s="14">
        <v>0.11</v>
      </c>
      <c r="AU363" s="14">
        <v>72700.0</v>
      </c>
      <c r="AV363" s="14">
        <v>0.16</v>
      </c>
      <c r="AW363" s="14">
        <v>2.8</v>
      </c>
      <c r="AX363" s="14">
        <v>4320.0</v>
      </c>
      <c r="AY363" s="14">
        <v>4.1</v>
      </c>
      <c r="AZ363" s="14">
        <v>0.132</v>
      </c>
      <c r="BA363" s="14">
        <f t="shared" si="1"/>
        <v>7.032</v>
      </c>
    </row>
    <row r="364" ht="14.25" customHeight="1">
      <c r="A364" s="10" t="s">
        <v>531</v>
      </c>
      <c r="B364" s="12" t="s">
        <v>116</v>
      </c>
      <c r="C364" s="12"/>
      <c r="D364" s="12"/>
      <c r="E364" s="44">
        <v>44399.0</v>
      </c>
      <c r="F364" s="29">
        <v>1.0</v>
      </c>
      <c r="G364" s="12" t="s">
        <v>532</v>
      </c>
      <c r="H364" s="45">
        <v>0.25</v>
      </c>
      <c r="I364" s="45">
        <v>0.33333333333212</v>
      </c>
      <c r="J364" s="12">
        <v>2.4</v>
      </c>
      <c r="K364" s="12">
        <v>0.07</v>
      </c>
      <c r="L364" s="14">
        <v>19.441</v>
      </c>
      <c r="M364" s="14">
        <v>21.71</v>
      </c>
      <c r="N364" s="14">
        <v>19.726</v>
      </c>
      <c r="O364" s="14">
        <v>19.088</v>
      </c>
      <c r="P364" s="14">
        <v>22.021</v>
      </c>
      <c r="Q364" s="14">
        <v>20.3972</v>
      </c>
      <c r="R364" s="20">
        <v>7.19</v>
      </c>
      <c r="S364" s="20">
        <v>7.13</v>
      </c>
      <c r="T364" s="20">
        <v>7.08</v>
      </c>
      <c r="U364" s="20">
        <v>7.17</v>
      </c>
      <c r="V364" s="20">
        <v>7.19</v>
      </c>
      <c r="W364" s="14">
        <v>7.151999999999999</v>
      </c>
      <c r="X364" s="14">
        <v>13.5</v>
      </c>
      <c r="Y364" s="14">
        <v>13.9</v>
      </c>
      <c r="Z364" s="14">
        <v>13.9</v>
      </c>
      <c r="AA364" s="14">
        <v>14.7</v>
      </c>
      <c r="AB364" s="14">
        <v>15.8</v>
      </c>
      <c r="AC364" s="14">
        <v>14.36</v>
      </c>
      <c r="AD364" s="20">
        <v>255.0</v>
      </c>
      <c r="AE364" s="20">
        <v>255.0</v>
      </c>
      <c r="AF364" s="20">
        <v>257.0</v>
      </c>
      <c r="AG364" s="20">
        <v>260.0</v>
      </c>
      <c r="AH364" s="20">
        <v>258.0</v>
      </c>
      <c r="AI364" s="14">
        <v>257.0</v>
      </c>
      <c r="AJ364" s="14">
        <v>1.29</v>
      </c>
      <c r="AK364" s="14">
        <v>0.94</v>
      </c>
      <c r="AL364" s="14">
        <v>1.85</v>
      </c>
      <c r="AM364" s="14">
        <v>1.91</v>
      </c>
      <c r="AN364" s="14">
        <v>2.86</v>
      </c>
      <c r="AO364" s="14">
        <v>1.77</v>
      </c>
      <c r="AP364" s="14">
        <v>51.0</v>
      </c>
      <c r="AQ364" s="14">
        <v>76.0</v>
      </c>
      <c r="AR364" s="14">
        <v>5.0</v>
      </c>
      <c r="AS364" s="14">
        <v>10.0</v>
      </c>
      <c r="AT364" s="14">
        <v>2.08</v>
      </c>
      <c r="AU364" s="14">
        <v>888000.0</v>
      </c>
      <c r="AV364" s="14">
        <v>2.43</v>
      </c>
      <c r="AW364" s="14">
        <v>20.4</v>
      </c>
      <c r="AX364" s="14">
        <v>58600.0</v>
      </c>
      <c r="AY364" s="14">
        <v>0.1</v>
      </c>
      <c r="AZ364" s="14">
        <v>0.007</v>
      </c>
      <c r="BA364" s="14">
        <f t="shared" si="1"/>
        <v>20.507</v>
      </c>
    </row>
    <row r="365" ht="14.25" customHeight="1">
      <c r="A365" s="10" t="s">
        <v>533</v>
      </c>
      <c r="B365" s="12" t="s">
        <v>59</v>
      </c>
      <c r="C365" s="12"/>
      <c r="D365" s="12"/>
      <c r="E365" s="44">
        <v>44399.0</v>
      </c>
      <c r="F365" s="29">
        <v>1.0</v>
      </c>
      <c r="G365" s="12" t="s">
        <v>534</v>
      </c>
      <c r="H365" s="45">
        <v>0.33333333333212</v>
      </c>
      <c r="I365" s="45">
        <v>0.416666666667879</v>
      </c>
      <c r="J365" s="12">
        <v>2.3</v>
      </c>
      <c r="K365" s="12">
        <v>0.2</v>
      </c>
      <c r="L365" s="14">
        <v>157.889</v>
      </c>
      <c r="M365" s="14">
        <v>155.218</v>
      </c>
      <c r="N365" s="14">
        <v>160.078</v>
      </c>
      <c r="O365" s="14">
        <v>159.617</v>
      </c>
      <c r="P365" s="14">
        <v>161.29</v>
      </c>
      <c r="Q365" s="14">
        <v>158.81839999999997</v>
      </c>
      <c r="R365" s="20">
        <v>7.7</v>
      </c>
      <c r="S365" s="20">
        <v>7.89</v>
      </c>
      <c r="T365" s="20">
        <v>7.9</v>
      </c>
      <c r="U365" s="20">
        <v>7.86</v>
      </c>
      <c r="V365" s="20">
        <v>7.89</v>
      </c>
      <c r="W365" s="14">
        <v>7.848000000000001</v>
      </c>
      <c r="X365" s="14">
        <v>13.3</v>
      </c>
      <c r="Y365" s="14">
        <v>13.2</v>
      </c>
      <c r="Z365" s="14">
        <v>13.5</v>
      </c>
      <c r="AA365" s="14">
        <v>13.7</v>
      </c>
      <c r="AB365" s="14">
        <v>13.9</v>
      </c>
      <c r="AC365" s="14">
        <v>13.520000000000001</v>
      </c>
      <c r="AD365" s="20">
        <v>411.0</v>
      </c>
      <c r="AE365" s="20">
        <v>451.0</v>
      </c>
      <c r="AF365" s="20">
        <v>440.0</v>
      </c>
      <c r="AG365" s="20">
        <v>487.0</v>
      </c>
      <c r="AH365" s="20">
        <v>457.0</v>
      </c>
      <c r="AI365" s="14">
        <v>449.2</v>
      </c>
      <c r="AJ365" s="14">
        <v>5.79</v>
      </c>
      <c r="AK365" s="14">
        <v>4.88</v>
      </c>
      <c r="AL365" s="14">
        <v>4.98</v>
      </c>
      <c r="AM365" s="14">
        <v>5.1</v>
      </c>
      <c r="AN365" s="14">
        <v>4.9</v>
      </c>
      <c r="AO365" s="14">
        <v>5.13</v>
      </c>
      <c r="AP365" s="14">
        <v>36.0</v>
      </c>
      <c r="AQ365" s="14">
        <v>80.0</v>
      </c>
      <c r="AR365" s="14">
        <v>63.0</v>
      </c>
      <c r="AS365" s="14">
        <v>20.0</v>
      </c>
      <c r="AT365" s="14">
        <v>0.14</v>
      </c>
      <c r="AU365" s="14">
        <v>185000.0</v>
      </c>
      <c r="AV365" s="14">
        <v>2.89</v>
      </c>
      <c r="AW365" s="14">
        <v>20.7</v>
      </c>
      <c r="AX365" s="14">
        <v>108600.0</v>
      </c>
      <c r="AY365" s="14">
        <v>0.3</v>
      </c>
      <c r="AZ365" s="14">
        <v>0.026</v>
      </c>
      <c r="BA365" s="14">
        <f t="shared" si="1"/>
        <v>21.026</v>
      </c>
    </row>
    <row r="366" ht="14.25" customHeight="1">
      <c r="A366" s="10" t="s">
        <v>535</v>
      </c>
      <c r="B366" s="12" t="s">
        <v>118</v>
      </c>
      <c r="C366" s="12"/>
      <c r="D366" s="12"/>
      <c r="E366" s="44">
        <v>44399.0</v>
      </c>
      <c r="F366" s="29">
        <v>1.0</v>
      </c>
      <c r="G366" s="12" t="s">
        <v>536</v>
      </c>
      <c r="H366" s="45">
        <v>0.25</v>
      </c>
      <c r="I366" s="45">
        <v>0.33333333333212</v>
      </c>
      <c r="J366" s="12">
        <v>1.0</v>
      </c>
      <c r="K366" s="12">
        <v>0.06</v>
      </c>
      <c r="L366" s="14">
        <v>7.276</v>
      </c>
      <c r="M366" s="14">
        <v>6.997</v>
      </c>
      <c r="N366" s="14">
        <v>10.539</v>
      </c>
      <c r="O366" s="14">
        <v>14.25</v>
      </c>
      <c r="P366" s="14">
        <v>14.465</v>
      </c>
      <c r="Q366" s="14">
        <v>10.705400000000001</v>
      </c>
      <c r="R366" s="20">
        <v>7.02</v>
      </c>
      <c r="S366" s="20">
        <v>7.08</v>
      </c>
      <c r="T366" s="20">
        <v>7.03</v>
      </c>
      <c r="U366" s="20">
        <v>7.18</v>
      </c>
      <c r="V366" s="20">
        <v>7.33</v>
      </c>
      <c r="W366" s="14">
        <v>7.128</v>
      </c>
      <c r="X366" s="14">
        <v>16.5</v>
      </c>
      <c r="Y366" s="14">
        <v>16.5</v>
      </c>
      <c r="Z366" s="14">
        <v>16.6</v>
      </c>
      <c r="AA366" s="14">
        <v>16.8</v>
      </c>
      <c r="AB366" s="14">
        <v>17.0</v>
      </c>
      <c r="AC366" s="14">
        <v>16.68</v>
      </c>
      <c r="AD366" s="20">
        <v>154.5</v>
      </c>
      <c r="AE366" s="20">
        <v>151.2</v>
      </c>
      <c r="AF366" s="20">
        <v>161.5</v>
      </c>
      <c r="AG366" s="20">
        <v>165.2</v>
      </c>
      <c r="AH366" s="20">
        <v>176.8</v>
      </c>
      <c r="AI366" s="14">
        <v>161.84</v>
      </c>
      <c r="AJ366" s="14">
        <v>5.27</v>
      </c>
      <c r="AK366" s="14">
        <v>5.95</v>
      </c>
      <c r="AL366" s="14">
        <v>5.83</v>
      </c>
      <c r="AM366" s="14">
        <v>5.78</v>
      </c>
      <c r="AN366" s="14">
        <v>5.29</v>
      </c>
      <c r="AO366" s="14">
        <v>5.624</v>
      </c>
      <c r="AP366" s="14">
        <v>11.0</v>
      </c>
      <c r="AQ366" s="14">
        <v>23.0</v>
      </c>
      <c r="AR366" s="14">
        <v>5.0</v>
      </c>
      <c r="AS366" s="14">
        <v>1.2</v>
      </c>
      <c r="AT366" s="14">
        <v>0.13</v>
      </c>
      <c r="AU366" s="14">
        <v>178000.0</v>
      </c>
      <c r="AV366" s="14">
        <v>0.49</v>
      </c>
      <c r="AW366" s="14">
        <v>8.4</v>
      </c>
      <c r="AX366" s="14">
        <v>125900.0</v>
      </c>
      <c r="AY366" s="14">
        <v>0.8</v>
      </c>
      <c r="AZ366" s="14">
        <v>0.139</v>
      </c>
      <c r="BA366" s="14">
        <f t="shared" si="1"/>
        <v>9.339</v>
      </c>
    </row>
    <row r="367" ht="14.25" customHeight="1">
      <c r="A367" s="10" t="s">
        <v>537</v>
      </c>
      <c r="B367" s="12" t="s">
        <v>120</v>
      </c>
      <c r="C367" s="12"/>
      <c r="D367" s="12"/>
      <c r="E367" s="44">
        <v>44399.0</v>
      </c>
      <c r="F367" s="29">
        <v>1.0</v>
      </c>
      <c r="G367" s="12" t="s">
        <v>538</v>
      </c>
      <c r="H367" s="45">
        <v>0.416666666667879</v>
      </c>
      <c r="I367" s="45">
        <v>0.5</v>
      </c>
      <c r="J367" s="12">
        <v>4.0</v>
      </c>
      <c r="K367" s="12">
        <v>0.08</v>
      </c>
      <c r="L367" s="14">
        <v>43.511</v>
      </c>
      <c r="M367" s="14">
        <v>49.334</v>
      </c>
      <c r="N367" s="14">
        <v>45.591</v>
      </c>
      <c r="O367" s="14">
        <v>38.267</v>
      </c>
      <c r="P367" s="14">
        <v>33.819</v>
      </c>
      <c r="Q367" s="14">
        <v>42.1044</v>
      </c>
      <c r="R367" s="20">
        <v>8.43</v>
      </c>
      <c r="S367" s="20">
        <v>8.54</v>
      </c>
      <c r="T367" s="20">
        <v>8.43</v>
      </c>
      <c r="U367" s="20">
        <v>8.39</v>
      </c>
      <c r="V367" s="20">
        <v>8.31</v>
      </c>
      <c r="W367" s="14">
        <v>8.42</v>
      </c>
      <c r="X367" s="14">
        <v>19.4</v>
      </c>
      <c r="Y367" s="14">
        <v>20.2</v>
      </c>
      <c r="Z367" s="14">
        <v>22.0</v>
      </c>
      <c r="AA367" s="14">
        <v>23.2</v>
      </c>
      <c r="AB367" s="14">
        <v>24.6</v>
      </c>
      <c r="AC367" s="14">
        <v>21.880000000000003</v>
      </c>
      <c r="AD367" s="20">
        <v>546.0</v>
      </c>
      <c r="AE367" s="20">
        <v>296.0</v>
      </c>
      <c r="AF367" s="20">
        <v>288.0</v>
      </c>
      <c r="AG367" s="20">
        <v>281.0</v>
      </c>
      <c r="AH367" s="20">
        <v>275.0</v>
      </c>
      <c r="AI367" s="14">
        <v>337.2</v>
      </c>
      <c r="AJ367" s="14">
        <v>1.67</v>
      </c>
      <c r="AK367" s="14">
        <v>1.1</v>
      </c>
      <c r="AL367" s="14">
        <v>1.93</v>
      </c>
      <c r="AM367" s="14">
        <v>2.01</v>
      </c>
      <c r="AN367" s="14">
        <v>1.99</v>
      </c>
      <c r="AO367" s="14">
        <v>1.7399999999999998</v>
      </c>
      <c r="AP367" s="14">
        <v>128.0</v>
      </c>
      <c r="AQ367" s="14">
        <v>200.0</v>
      </c>
      <c r="AR367" s="14">
        <v>83.0</v>
      </c>
      <c r="AS367" s="14">
        <v>39.0</v>
      </c>
      <c r="AT367" s="14">
        <v>1.28</v>
      </c>
      <c r="AU367" s="14">
        <v>133600.0</v>
      </c>
      <c r="AV367" s="14">
        <v>5.26</v>
      </c>
      <c r="AW367" s="14">
        <v>44.0</v>
      </c>
      <c r="AX367" s="14">
        <v>80500.0</v>
      </c>
      <c r="AY367" s="14">
        <v>0.8</v>
      </c>
      <c r="AZ367" s="14">
        <v>0.007</v>
      </c>
      <c r="BA367" s="14">
        <f t="shared" si="1"/>
        <v>44.807</v>
      </c>
    </row>
    <row r="368" ht="14.25" customHeight="1">
      <c r="A368" s="10" t="s">
        <v>539</v>
      </c>
      <c r="B368" s="12" t="s">
        <v>129</v>
      </c>
      <c r="C368" s="12"/>
      <c r="D368" s="12"/>
      <c r="E368" s="44">
        <v>44399.0</v>
      </c>
      <c r="F368" s="29">
        <v>1.0</v>
      </c>
      <c r="G368" s="12" t="s">
        <v>540</v>
      </c>
      <c r="H368" s="45">
        <v>0.416666666667879</v>
      </c>
      <c r="I368" s="45">
        <v>0.5</v>
      </c>
      <c r="J368" s="12">
        <v>3.0</v>
      </c>
      <c r="K368" s="12">
        <v>0.09</v>
      </c>
      <c r="L368" s="14">
        <v>23.53</v>
      </c>
      <c r="M368" s="14">
        <v>27.693</v>
      </c>
      <c r="N368" s="14">
        <v>32.238</v>
      </c>
      <c r="O368" s="14">
        <v>34.748</v>
      </c>
      <c r="P368" s="14">
        <v>37.986</v>
      </c>
      <c r="Q368" s="14">
        <v>31.238999999999997</v>
      </c>
      <c r="R368" s="20">
        <v>7.43</v>
      </c>
      <c r="S368" s="20">
        <v>7.47</v>
      </c>
      <c r="T368" s="20">
        <v>7.52</v>
      </c>
      <c r="U368" s="20">
        <v>7.77</v>
      </c>
      <c r="V368" s="20">
        <v>7.57</v>
      </c>
      <c r="W368" s="14">
        <v>7.552</v>
      </c>
      <c r="X368" s="14">
        <v>17.9</v>
      </c>
      <c r="Y368" s="14">
        <v>18.9</v>
      </c>
      <c r="Z368" s="14">
        <v>20.2</v>
      </c>
      <c r="AA368" s="14">
        <v>20.6</v>
      </c>
      <c r="AB368" s="14">
        <v>19.6</v>
      </c>
      <c r="AC368" s="14">
        <v>19.439999999999998</v>
      </c>
      <c r="AD368" s="20">
        <v>245.0</v>
      </c>
      <c r="AE368" s="20">
        <v>262.0</v>
      </c>
      <c r="AF368" s="20">
        <v>260.0</v>
      </c>
      <c r="AG368" s="20">
        <v>260.0</v>
      </c>
      <c r="AH368" s="20">
        <v>247.0</v>
      </c>
      <c r="AI368" s="14">
        <v>254.8</v>
      </c>
      <c r="AJ368" s="14">
        <v>3.41</v>
      </c>
      <c r="AK368" s="14">
        <v>4.11</v>
      </c>
      <c r="AL368" s="14">
        <v>4.26</v>
      </c>
      <c r="AM368" s="14">
        <v>4.72</v>
      </c>
      <c r="AN368" s="14">
        <v>6.0</v>
      </c>
      <c r="AO368" s="14">
        <v>4.5</v>
      </c>
      <c r="AP368" s="14">
        <v>26.0</v>
      </c>
      <c r="AQ368" s="14">
        <v>60.0</v>
      </c>
      <c r="AR368" s="14">
        <v>9.0</v>
      </c>
      <c r="AS368" s="14">
        <v>1.2</v>
      </c>
      <c r="AT368" s="14">
        <v>0.35</v>
      </c>
      <c r="AU368" s="14">
        <v>860000.0</v>
      </c>
      <c r="AV368" s="14">
        <v>1.81</v>
      </c>
      <c r="AW368" s="14">
        <v>15.4</v>
      </c>
      <c r="AX368" s="14">
        <v>57600.0</v>
      </c>
      <c r="AY368" s="14">
        <v>0.6</v>
      </c>
      <c r="AZ368" s="14">
        <v>0.053</v>
      </c>
      <c r="BA368" s="14">
        <f t="shared" si="1"/>
        <v>16.053</v>
      </c>
    </row>
    <row r="369" ht="14.25" customHeight="1">
      <c r="A369" s="10" t="s">
        <v>541</v>
      </c>
      <c r="B369" s="12" t="s">
        <v>89</v>
      </c>
      <c r="C369" s="12"/>
      <c r="D369" s="12"/>
      <c r="E369" s="44">
        <v>44400.0</v>
      </c>
      <c r="F369" s="29">
        <v>1.0</v>
      </c>
      <c r="G369" s="12" t="s">
        <v>542</v>
      </c>
      <c r="H369" s="45">
        <v>0.416666666667879</v>
      </c>
      <c r="I369" s="45">
        <v>0.5</v>
      </c>
      <c r="J369" s="12">
        <v>3.8</v>
      </c>
      <c r="K369" s="12">
        <v>0.1</v>
      </c>
      <c r="L369" s="14">
        <v>72.3</v>
      </c>
      <c r="M369" s="14">
        <v>74.7</v>
      </c>
      <c r="N369" s="14">
        <v>72.825</v>
      </c>
      <c r="O369" s="14">
        <v>71.1</v>
      </c>
      <c r="P369" s="14">
        <v>74.175</v>
      </c>
      <c r="Q369" s="14">
        <v>73.02</v>
      </c>
      <c r="R369" s="20">
        <v>7.36</v>
      </c>
      <c r="S369" s="20">
        <v>7.51</v>
      </c>
      <c r="T369" s="20">
        <v>7.86</v>
      </c>
      <c r="U369" s="20">
        <v>8.15</v>
      </c>
      <c r="V369" s="20">
        <v>8.39</v>
      </c>
      <c r="W369" s="14">
        <v>7.854000000000001</v>
      </c>
      <c r="X369" s="14">
        <v>17.8</v>
      </c>
      <c r="Y369" s="14">
        <v>18.1</v>
      </c>
      <c r="Z369" s="14">
        <v>19.1</v>
      </c>
      <c r="AA369" s="14">
        <v>19.3</v>
      </c>
      <c r="AB369" s="14">
        <v>20.1</v>
      </c>
      <c r="AC369" s="14">
        <v>18.880000000000003</v>
      </c>
      <c r="AD369" s="20">
        <v>356.0</v>
      </c>
      <c r="AE369" s="20">
        <v>358.0</v>
      </c>
      <c r="AF369" s="20">
        <v>380.0</v>
      </c>
      <c r="AG369" s="20">
        <v>428.0</v>
      </c>
      <c r="AH369" s="20">
        <v>440.0</v>
      </c>
      <c r="AI369" s="14">
        <v>392.4</v>
      </c>
      <c r="AJ369" s="14">
        <v>6.97</v>
      </c>
      <c r="AK369" s="14">
        <v>7.83</v>
      </c>
      <c r="AL369" s="14">
        <v>8.48</v>
      </c>
      <c r="AM369" s="14">
        <v>8.88</v>
      </c>
      <c r="AN369" s="14">
        <v>6.41</v>
      </c>
      <c r="AO369" s="14">
        <v>7.714000000000001</v>
      </c>
      <c r="AP369" s="14">
        <v>21.0</v>
      </c>
      <c r="AQ369" s="14">
        <v>40.0</v>
      </c>
      <c r="AR369" s="14">
        <v>10.0</v>
      </c>
      <c r="AS369" s="14">
        <v>1.2</v>
      </c>
      <c r="AT369" s="14">
        <v>0.14</v>
      </c>
      <c r="AU369" s="14">
        <v>1835000.0</v>
      </c>
      <c r="AV369" s="14">
        <v>0.54</v>
      </c>
      <c r="AW369" s="14">
        <v>12.0</v>
      </c>
      <c r="AX369" s="14">
        <v>1019000.0</v>
      </c>
      <c r="AY369" s="14">
        <v>0.8</v>
      </c>
      <c r="AZ369" s="14">
        <v>0.139</v>
      </c>
      <c r="BA369" s="14">
        <f t="shared" si="1"/>
        <v>12.939</v>
      </c>
    </row>
    <row r="370" ht="14.25" customHeight="1">
      <c r="A370" s="10" t="s">
        <v>543</v>
      </c>
      <c r="B370" s="12" t="s">
        <v>81</v>
      </c>
      <c r="C370" s="12"/>
      <c r="D370" s="12"/>
      <c r="E370" s="44">
        <v>44400.0</v>
      </c>
      <c r="F370" s="29">
        <v>1.0</v>
      </c>
      <c r="G370" s="12" t="s">
        <v>544</v>
      </c>
      <c r="H370" s="45">
        <v>0.25</v>
      </c>
      <c r="I370" s="45">
        <v>0.33333333333212</v>
      </c>
      <c r="J370" s="12">
        <v>2.5</v>
      </c>
      <c r="K370" s="12">
        <v>0.17</v>
      </c>
      <c r="L370" s="14">
        <v>75.192</v>
      </c>
      <c r="M370" s="14">
        <v>97.834</v>
      </c>
      <c r="N370" s="14">
        <v>97.412</v>
      </c>
      <c r="O370" s="14">
        <v>95.464</v>
      </c>
      <c r="P370" s="14">
        <v>91.681</v>
      </c>
      <c r="Q370" s="14">
        <v>91.5166</v>
      </c>
      <c r="R370" s="20">
        <v>7.17</v>
      </c>
      <c r="S370" s="20">
        <v>7.14</v>
      </c>
      <c r="T370" s="20">
        <v>7.6</v>
      </c>
      <c r="U370" s="20">
        <v>7.59</v>
      </c>
      <c r="V370" s="20">
        <v>7.57</v>
      </c>
      <c r="W370" s="14">
        <v>7.413999999999999</v>
      </c>
      <c r="X370" s="14">
        <v>15.0</v>
      </c>
      <c r="Y370" s="14">
        <v>15.1</v>
      </c>
      <c r="Z370" s="14">
        <v>15.5</v>
      </c>
      <c r="AA370" s="14">
        <v>16.0</v>
      </c>
      <c r="AB370" s="14">
        <v>16.1</v>
      </c>
      <c r="AC370" s="14">
        <v>15.540000000000001</v>
      </c>
      <c r="AD370" s="20">
        <v>275.0</v>
      </c>
      <c r="AE370" s="20">
        <v>281.0</v>
      </c>
      <c r="AF370" s="20">
        <v>273.0</v>
      </c>
      <c r="AG370" s="20">
        <v>240.0</v>
      </c>
      <c r="AH370" s="20">
        <v>250.0</v>
      </c>
      <c r="AI370" s="14">
        <v>263.8</v>
      </c>
      <c r="AJ370" s="14">
        <v>2.94</v>
      </c>
      <c r="AK370" s="14">
        <v>2.68</v>
      </c>
      <c r="AL370" s="14">
        <v>3.42</v>
      </c>
      <c r="AM370" s="14">
        <v>4.6</v>
      </c>
      <c r="AN370" s="14">
        <v>5.0</v>
      </c>
      <c r="AO370" s="14">
        <v>3.728</v>
      </c>
      <c r="AP370" s="14">
        <v>11.0</v>
      </c>
      <c r="AQ370" s="14">
        <v>33.0</v>
      </c>
      <c r="AR370" s="14">
        <v>12.0</v>
      </c>
      <c r="AS370" s="14">
        <v>1.2</v>
      </c>
      <c r="AT370" s="14">
        <v>0.19</v>
      </c>
      <c r="AU370" s="14">
        <v>148300.0</v>
      </c>
      <c r="AV370" s="14">
        <v>0.41</v>
      </c>
      <c r="AW370" s="14">
        <v>7.6</v>
      </c>
      <c r="AX370" s="14">
        <v>10630.0</v>
      </c>
      <c r="AY370" s="14">
        <v>0.6</v>
      </c>
      <c r="AZ370" s="14">
        <v>0.04</v>
      </c>
      <c r="BA370" s="14">
        <f t="shared" si="1"/>
        <v>8.24</v>
      </c>
    </row>
    <row r="371" ht="14.25" customHeight="1">
      <c r="A371" s="10" t="s">
        <v>545</v>
      </c>
      <c r="B371" s="12" t="s">
        <v>57</v>
      </c>
      <c r="C371" s="12"/>
      <c r="D371" s="12"/>
      <c r="E371" s="44">
        <v>44400.0</v>
      </c>
      <c r="F371" s="29">
        <v>1.0</v>
      </c>
      <c r="G371" s="12" t="s">
        <v>546</v>
      </c>
      <c r="H371" s="45">
        <v>0.25</v>
      </c>
      <c r="I371" s="45">
        <v>0.33333333333212</v>
      </c>
      <c r="J371" s="12">
        <v>1.4</v>
      </c>
      <c r="K371" s="12">
        <v>0.41</v>
      </c>
      <c r="L371" s="14">
        <v>67.935</v>
      </c>
      <c r="M371" s="14">
        <v>66.459</v>
      </c>
      <c r="N371" s="14">
        <v>79.422</v>
      </c>
      <c r="O371" s="14">
        <v>79.749</v>
      </c>
      <c r="P371" s="14">
        <v>80.791</v>
      </c>
      <c r="Q371" s="14">
        <v>74.8712</v>
      </c>
      <c r="R371" s="20">
        <v>7.47</v>
      </c>
      <c r="S371" s="20">
        <v>7.12</v>
      </c>
      <c r="T371" s="20">
        <v>7.14</v>
      </c>
      <c r="U371" s="20">
        <v>7.15</v>
      </c>
      <c r="V371" s="20">
        <v>7.22</v>
      </c>
      <c r="W371" s="14">
        <v>7.220000000000001</v>
      </c>
      <c r="X371" s="14">
        <v>11.3</v>
      </c>
      <c r="Y371" s="14">
        <v>10.9</v>
      </c>
      <c r="Z371" s="14">
        <v>11.0</v>
      </c>
      <c r="AA371" s="14">
        <v>11.6</v>
      </c>
      <c r="AB371" s="14">
        <v>11.2</v>
      </c>
      <c r="AC371" s="14">
        <v>11.2</v>
      </c>
      <c r="AD371" s="20">
        <v>188.0</v>
      </c>
      <c r="AE371" s="20">
        <v>188.0</v>
      </c>
      <c r="AF371" s="20">
        <v>196.0</v>
      </c>
      <c r="AG371" s="20">
        <v>192.0</v>
      </c>
      <c r="AH371" s="20">
        <v>207.0</v>
      </c>
      <c r="AI371" s="14">
        <v>194.2</v>
      </c>
      <c r="AJ371" s="14">
        <v>5.14</v>
      </c>
      <c r="AK371" s="14">
        <v>5.35</v>
      </c>
      <c r="AL371" s="14">
        <v>5.62</v>
      </c>
      <c r="AM371" s="14">
        <v>5.18</v>
      </c>
      <c r="AN371" s="14">
        <v>5.2</v>
      </c>
      <c r="AO371" s="14">
        <v>5.298</v>
      </c>
      <c r="AP371" s="14">
        <v>20.0</v>
      </c>
      <c r="AQ371" s="14">
        <v>76.0</v>
      </c>
      <c r="AR371" s="14">
        <v>116.0</v>
      </c>
      <c r="AS371" s="14">
        <v>1.2</v>
      </c>
      <c r="AT371" s="14">
        <v>0.13</v>
      </c>
      <c r="AU371" s="14">
        <v>119800.0</v>
      </c>
      <c r="AV371" s="14">
        <v>0.5</v>
      </c>
      <c r="AW371" s="14">
        <v>7.3</v>
      </c>
      <c r="AX371" s="14">
        <v>102200.0</v>
      </c>
      <c r="AY371" s="14">
        <v>0.5</v>
      </c>
      <c r="AZ371" s="14">
        <v>0.033</v>
      </c>
      <c r="BA371" s="14">
        <f t="shared" si="1"/>
        <v>7.833</v>
      </c>
    </row>
    <row r="372" ht="14.25" customHeight="1">
      <c r="A372" s="10" t="s">
        <v>547</v>
      </c>
      <c r="B372" s="12" t="s">
        <v>53</v>
      </c>
      <c r="C372" s="12"/>
      <c r="D372" s="12"/>
      <c r="E372" s="44">
        <v>44400.0</v>
      </c>
      <c r="F372" s="29">
        <v>1.0</v>
      </c>
      <c r="G372" s="12" t="s">
        <v>548</v>
      </c>
      <c r="H372" s="45">
        <v>0.416666666667879</v>
      </c>
      <c r="I372" s="45">
        <v>0.5</v>
      </c>
      <c r="J372" s="12">
        <v>1.9</v>
      </c>
      <c r="K372" s="12">
        <v>0.1</v>
      </c>
      <c r="L372" s="14">
        <v>83.315</v>
      </c>
      <c r="M372" s="14">
        <v>84.483</v>
      </c>
      <c r="N372" s="14">
        <v>83.042</v>
      </c>
      <c r="O372" s="14">
        <v>88.607</v>
      </c>
      <c r="P372" s="14">
        <v>89.217</v>
      </c>
      <c r="Q372" s="14">
        <v>85.7328</v>
      </c>
      <c r="R372" s="20">
        <v>7.47</v>
      </c>
      <c r="S372" s="20">
        <v>7.59</v>
      </c>
      <c r="T372" s="20">
        <v>7.57</v>
      </c>
      <c r="U372" s="20">
        <v>7.54</v>
      </c>
      <c r="V372" s="20">
        <v>7.52</v>
      </c>
      <c r="W372" s="14">
        <v>7.537999999999999</v>
      </c>
      <c r="X372" s="14">
        <v>13.7</v>
      </c>
      <c r="Y372" s="14">
        <v>14.6</v>
      </c>
      <c r="Z372" s="14">
        <v>15.2</v>
      </c>
      <c r="AA372" s="14">
        <v>14.5</v>
      </c>
      <c r="AB372" s="14">
        <v>14.7</v>
      </c>
      <c r="AC372" s="14">
        <v>14.540000000000001</v>
      </c>
      <c r="AD372" s="20">
        <v>223.0</v>
      </c>
      <c r="AE372" s="20">
        <v>223.0</v>
      </c>
      <c r="AF372" s="20">
        <v>246.0</v>
      </c>
      <c r="AG372" s="20">
        <v>209.0</v>
      </c>
      <c r="AH372" s="20">
        <v>213.0</v>
      </c>
      <c r="AI372" s="14">
        <v>222.8</v>
      </c>
      <c r="AJ372" s="14">
        <v>5.72</v>
      </c>
      <c r="AK372" s="14">
        <v>5.82</v>
      </c>
      <c r="AL372" s="14">
        <v>5.51</v>
      </c>
      <c r="AM372" s="14">
        <v>5.61</v>
      </c>
      <c r="AN372" s="14">
        <v>5.32</v>
      </c>
      <c r="AO372" s="14">
        <v>5.595999999999999</v>
      </c>
      <c r="AP372" s="14">
        <v>24.0</v>
      </c>
      <c r="AQ372" s="14">
        <v>56.0</v>
      </c>
      <c r="AR372" s="14">
        <v>219.0</v>
      </c>
      <c r="AS372" s="14">
        <v>1.2</v>
      </c>
      <c r="AT372" s="14">
        <v>0.09</v>
      </c>
      <c r="AU372" s="14">
        <v>117300.0</v>
      </c>
      <c r="AV372" s="14">
        <v>0.89</v>
      </c>
      <c r="AW372" s="14">
        <v>5.6</v>
      </c>
      <c r="AX372" s="14">
        <v>95600.0</v>
      </c>
      <c r="AY372" s="14">
        <v>1.1</v>
      </c>
      <c r="AZ372" s="14">
        <v>0.046</v>
      </c>
      <c r="BA372" s="14">
        <f t="shared" si="1"/>
        <v>6.746</v>
      </c>
    </row>
    <row r="373" ht="14.25" customHeight="1">
      <c r="A373" s="10" t="s">
        <v>549</v>
      </c>
      <c r="B373" s="12" t="s">
        <v>104</v>
      </c>
      <c r="C373" s="12"/>
      <c r="D373" s="12"/>
      <c r="E373" s="44">
        <v>44404.0</v>
      </c>
      <c r="F373" s="29">
        <v>1.0</v>
      </c>
      <c r="G373" s="12" t="s">
        <v>550</v>
      </c>
      <c r="H373" s="45">
        <v>0.58333333333212</v>
      </c>
      <c r="I373" s="45">
        <v>0.666666666667879</v>
      </c>
      <c r="J373" s="12">
        <v>0.9</v>
      </c>
      <c r="K373" s="12">
        <v>0.13</v>
      </c>
      <c r="L373" s="14">
        <v>3.69</v>
      </c>
      <c r="M373" s="14">
        <v>6.325</v>
      </c>
      <c r="N373" s="14">
        <v>7.517</v>
      </c>
      <c r="O373" s="14">
        <v>10.391</v>
      </c>
      <c r="P373" s="14">
        <v>7.967</v>
      </c>
      <c r="Q373" s="14">
        <v>7.178</v>
      </c>
      <c r="R373" s="20">
        <v>9.02</v>
      </c>
      <c r="S373" s="20">
        <v>8.92</v>
      </c>
      <c r="T373" s="20">
        <v>11.07</v>
      </c>
      <c r="U373" s="20">
        <v>12.46</v>
      </c>
      <c r="V373" s="20">
        <v>12.12</v>
      </c>
      <c r="W373" s="14">
        <v>10.718</v>
      </c>
      <c r="X373" s="14">
        <v>16.8</v>
      </c>
      <c r="Y373" s="14">
        <v>16.4</v>
      </c>
      <c r="Z373" s="14">
        <v>16.2</v>
      </c>
      <c r="AA373" s="14">
        <v>16.3</v>
      </c>
      <c r="AB373" s="14">
        <v>16.2</v>
      </c>
      <c r="AC373" s="14">
        <v>16.380000000000003</v>
      </c>
      <c r="AD373" s="20">
        <v>263.0</v>
      </c>
      <c r="AE373" s="20">
        <v>169.4</v>
      </c>
      <c r="AF373" s="20">
        <v>176.8</v>
      </c>
      <c r="AG373" s="20">
        <v>257.0</v>
      </c>
      <c r="AH373" s="20">
        <v>207.0</v>
      </c>
      <c r="AI373" s="14">
        <v>214.64000000000001</v>
      </c>
      <c r="AJ373" s="14">
        <v>3.32</v>
      </c>
      <c r="AK373" s="14">
        <v>2.02</v>
      </c>
      <c r="AL373" s="14">
        <v>1.93</v>
      </c>
      <c r="AM373" s="14">
        <v>2.35</v>
      </c>
      <c r="AN373" s="14">
        <v>2.99</v>
      </c>
      <c r="AO373" s="14">
        <v>2.522</v>
      </c>
      <c r="AP373" s="14">
        <v>100.0</v>
      </c>
      <c r="AQ373" s="14">
        <v>199.0</v>
      </c>
      <c r="AR373" s="14">
        <v>2290.0</v>
      </c>
      <c r="AS373" s="14">
        <v>167.0</v>
      </c>
      <c r="AT373" s="14">
        <v>2.07</v>
      </c>
      <c r="AU373" s="14">
        <v>12010.0</v>
      </c>
      <c r="AV373" s="14">
        <v>0.12</v>
      </c>
      <c r="AW373" s="14">
        <v>12.9</v>
      </c>
      <c r="AX373" s="14">
        <v>462.0</v>
      </c>
      <c r="AY373" s="14">
        <v>0.4</v>
      </c>
      <c r="AZ373" s="14">
        <v>0.34</v>
      </c>
      <c r="BA373" s="14">
        <f t="shared" si="1"/>
        <v>13.64</v>
      </c>
    </row>
    <row r="374" ht="14.25" customHeight="1">
      <c r="A374" s="10" t="s">
        <v>551</v>
      </c>
      <c r="B374" s="12" t="s">
        <v>102</v>
      </c>
      <c r="C374" s="12"/>
      <c r="D374" s="12"/>
      <c r="E374" s="44">
        <v>44403.0</v>
      </c>
      <c r="F374" s="29">
        <v>1.0</v>
      </c>
      <c r="G374" s="12" t="s">
        <v>552</v>
      </c>
      <c r="H374" s="45">
        <v>0.5</v>
      </c>
      <c r="I374" s="45">
        <v>0.58333333333212</v>
      </c>
      <c r="J374" s="12">
        <v>1.9</v>
      </c>
      <c r="K374" s="12">
        <v>0.13</v>
      </c>
      <c r="L374" s="14">
        <v>102.88</v>
      </c>
      <c r="M374" s="14">
        <v>105.196</v>
      </c>
      <c r="N374" s="14">
        <v>124.773</v>
      </c>
      <c r="O374" s="14">
        <v>144.891</v>
      </c>
      <c r="P374" s="14">
        <v>186.664</v>
      </c>
      <c r="Q374" s="14">
        <v>132.8808</v>
      </c>
      <c r="R374" s="20">
        <v>7.97</v>
      </c>
      <c r="S374" s="20">
        <v>7.91</v>
      </c>
      <c r="T374" s="20">
        <v>8.01</v>
      </c>
      <c r="U374" s="20">
        <v>7.86</v>
      </c>
      <c r="V374" s="20">
        <v>7.85</v>
      </c>
      <c r="W374" s="14">
        <v>7.92</v>
      </c>
      <c r="X374" s="14">
        <v>13.7</v>
      </c>
      <c r="Y374" s="14">
        <v>14.0</v>
      </c>
      <c r="Z374" s="14">
        <v>14.0</v>
      </c>
      <c r="AA374" s="14">
        <v>14.0</v>
      </c>
      <c r="AB374" s="14">
        <v>14.0</v>
      </c>
      <c r="AC374" s="14">
        <v>13.940000000000001</v>
      </c>
      <c r="AD374" s="20">
        <v>134.0</v>
      </c>
      <c r="AE374" s="20">
        <v>117.9</v>
      </c>
      <c r="AF374" s="20">
        <v>122.4</v>
      </c>
      <c r="AG374" s="20">
        <v>119.5</v>
      </c>
      <c r="AH374" s="20">
        <v>115.2</v>
      </c>
      <c r="AI374" s="14">
        <v>121.8</v>
      </c>
      <c r="AJ374" s="14">
        <v>3.11</v>
      </c>
      <c r="AK374" s="14">
        <v>3.86</v>
      </c>
      <c r="AL374" s="14">
        <v>3.84</v>
      </c>
      <c r="AM374" s="14">
        <v>3.62</v>
      </c>
      <c r="AN374" s="14">
        <v>3.11</v>
      </c>
      <c r="AO374" s="14">
        <v>3.508</v>
      </c>
      <c r="AP374" s="14">
        <v>25.0</v>
      </c>
      <c r="AQ374" s="14">
        <v>40.0</v>
      </c>
      <c r="AR374" s="14">
        <v>88.0</v>
      </c>
      <c r="AS374" s="14">
        <v>1.2</v>
      </c>
      <c r="AT374" s="14">
        <v>0.35</v>
      </c>
      <c r="AU374" s="14">
        <v>9330000.0</v>
      </c>
      <c r="AV374" s="14">
        <v>0.42</v>
      </c>
      <c r="AW374" s="14">
        <v>7.8</v>
      </c>
      <c r="AX374" s="14">
        <v>717000.0</v>
      </c>
      <c r="AY374" s="14">
        <v>0.4</v>
      </c>
      <c r="AZ374" s="14">
        <v>0.123</v>
      </c>
      <c r="BA374" s="14">
        <f t="shared" si="1"/>
        <v>8.323</v>
      </c>
    </row>
    <row r="375" ht="14.25" customHeight="1">
      <c r="A375" s="10" t="s">
        <v>553</v>
      </c>
      <c r="B375" s="12" t="s">
        <v>74</v>
      </c>
      <c r="C375" s="12"/>
      <c r="D375" s="12"/>
      <c r="E375" s="44">
        <v>44403.0</v>
      </c>
      <c r="F375" s="29">
        <v>1.0</v>
      </c>
      <c r="G375" s="12" t="s">
        <v>554</v>
      </c>
      <c r="H375" s="45">
        <v>0.33333333333212</v>
      </c>
      <c r="I375" s="45">
        <v>0.416666666667879</v>
      </c>
      <c r="J375" s="12">
        <v>2.0</v>
      </c>
      <c r="K375" s="12">
        <v>0.19</v>
      </c>
      <c r="L375" s="14">
        <v>62.477</v>
      </c>
      <c r="M375" s="14">
        <v>58.864</v>
      </c>
      <c r="N375" s="14">
        <v>66.563</v>
      </c>
      <c r="O375" s="14">
        <v>76.403</v>
      </c>
      <c r="P375" s="14">
        <v>119.787</v>
      </c>
      <c r="Q375" s="14">
        <v>76.81880000000001</v>
      </c>
      <c r="R375" s="20">
        <v>7.93</v>
      </c>
      <c r="S375" s="20">
        <v>7.86</v>
      </c>
      <c r="T375" s="20">
        <v>7.82</v>
      </c>
      <c r="U375" s="20">
        <v>7.76</v>
      </c>
      <c r="V375" s="20">
        <v>7.9</v>
      </c>
      <c r="W375" s="14">
        <v>7.853999999999999</v>
      </c>
      <c r="X375" s="14">
        <v>10.8</v>
      </c>
      <c r="Y375" s="14">
        <v>10.9</v>
      </c>
      <c r="Z375" s="14">
        <v>11.0</v>
      </c>
      <c r="AA375" s="14">
        <v>11.1</v>
      </c>
      <c r="AB375" s="14">
        <v>11.2</v>
      </c>
      <c r="AC375" s="14">
        <v>11.0</v>
      </c>
      <c r="AD375" s="20">
        <v>104.3</v>
      </c>
      <c r="AE375" s="20">
        <v>101.1</v>
      </c>
      <c r="AF375" s="20">
        <v>91.1</v>
      </c>
      <c r="AG375" s="20">
        <v>92.6</v>
      </c>
      <c r="AH375" s="20">
        <v>86.1</v>
      </c>
      <c r="AI375" s="14">
        <v>95.04</v>
      </c>
      <c r="AJ375" s="14">
        <v>6.77</v>
      </c>
      <c r="AK375" s="14">
        <v>6.38</v>
      </c>
      <c r="AL375" s="14">
        <v>6.49</v>
      </c>
      <c r="AM375" s="14">
        <v>5.62</v>
      </c>
      <c r="AN375" s="14">
        <v>5.43</v>
      </c>
      <c r="AO375" s="14">
        <v>6.138</v>
      </c>
      <c r="AP375" s="14">
        <v>8.0</v>
      </c>
      <c r="AQ375" s="14">
        <v>12.0</v>
      </c>
      <c r="AR375" s="14">
        <v>66.0</v>
      </c>
      <c r="AS375" s="14">
        <v>1.2</v>
      </c>
      <c r="AT375" s="14">
        <v>0.07</v>
      </c>
      <c r="AU375" s="14">
        <v>105800.0</v>
      </c>
      <c r="AV375" s="14">
        <v>0.07</v>
      </c>
      <c r="AW375" s="14">
        <v>1.0</v>
      </c>
      <c r="AX375" s="14">
        <v>4730.0</v>
      </c>
      <c r="AY375" s="14">
        <v>3.1</v>
      </c>
      <c r="AZ375" s="14">
        <v>0.036</v>
      </c>
      <c r="BA375" s="14">
        <f t="shared" si="1"/>
        <v>4.136</v>
      </c>
    </row>
    <row r="376" ht="14.25" customHeight="1">
      <c r="A376" s="10" t="s">
        <v>555</v>
      </c>
      <c r="B376" s="12" t="s">
        <v>126</v>
      </c>
      <c r="C376" s="12"/>
      <c r="D376" s="12"/>
      <c r="E376" s="44">
        <v>44404.0</v>
      </c>
      <c r="F376" s="29">
        <v>1.0</v>
      </c>
      <c r="G376" s="12" t="s">
        <v>556</v>
      </c>
      <c r="H376" s="45">
        <v>0.33333333333212</v>
      </c>
      <c r="I376" s="45">
        <v>0.416666666667879</v>
      </c>
      <c r="J376" s="12">
        <v>0.8</v>
      </c>
      <c r="K376" s="12">
        <v>0.1</v>
      </c>
      <c r="L376" s="14">
        <v>25.034</v>
      </c>
      <c r="M376" s="14">
        <v>25.3</v>
      </c>
      <c r="N376" s="14">
        <v>31.132</v>
      </c>
      <c r="O376" s="14">
        <v>23.635</v>
      </c>
      <c r="P376" s="14">
        <v>27.012</v>
      </c>
      <c r="Q376" s="14">
        <v>26.4226</v>
      </c>
      <c r="R376" s="20">
        <v>8.37</v>
      </c>
      <c r="S376" s="20">
        <v>8.39</v>
      </c>
      <c r="T376" s="20">
        <v>8.36</v>
      </c>
      <c r="U376" s="20">
        <v>8.4</v>
      </c>
      <c r="V376" s="20">
        <v>8.42</v>
      </c>
      <c r="W376" s="14">
        <v>8.388</v>
      </c>
      <c r="X376" s="14">
        <v>12.3</v>
      </c>
      <c r="Y376" s="14">
        <v>12.3</v>
      </c>
      <c r="Z376" s="14">
        <v>13.1</v>
      </c>
      <c r="AA376" s="14">
        <v>13.3</v>
      </c>
      <c r="AB376" s="14">
        <v>13.6</v>
      </c>
      <c r="AC376" s="14">
        <v>12.919999999999998</v>
      </c>
      <c r="AD376" s="20">
        <v>214.0</v>
      </c>
      <c r="AE376" s="20">
        <v>209.0</v>
      </c>
      <c r="AF376" s="20">
        <v>213.0</v>
      </c>
      <c r="AG376" s="20">
        <v>225.0</v>
      </c>
      <c r="AH376" s="20">
        <v>255.0</v>
      </c>
      <c r="AI376" s="14">
        <v>223.2</v>
      </c>
      <c r="AJ376" s="14">
        <v>4.31</v>
      </c>
      <c r="AK376" s="14">
        <v>4.15</v>
      </c>
      <c r="AL376" s="14">
        <v>4.7</v>
      </c>
      <c r="AM376" s="14">
        <v>4.12</v>
      </c>
      <c r="AN376" s="14">
        <v>4.22</v>
      </c>
      <c r="AO376" s="14">
        <v>4.3</v>
      </c>
      <c r="AP376" s="14">
        <v>63.0</v>
      </c>
      <c r="AQ376" s="14">
        <v>101.0</v>
      </c>
      <c r="AR376" s="14">
        <v>123.0</v>
      </c>
      <c r="AS376" s="14">
        <v>14.0</v>
      </c>
      <c r="AT376" s="14">
        <v>2.08</v>
      </c>
      <c r="AU376" s="14">
        <v>1552000.0</v>
      </c>
      <c r="AV376" s="14">
        <v>1.88</v>
      </c>
      <c r="AW376" s="14">
        <v>24.9</v>
      </c>
      <c r="AX376" s="14">
        <v>1043000.0</v>
      </c>
      <c r="AY376" s="14">
        <v>0.8</v>
      </c>
      <c r="AZ376" s="14">
        <v>0.007</v>
      </c>
      <c r="BA376" s="14">
        <f t="shared" si="1"/>
        <v>25.707</v>
      </c>
    </row>
    <row r="377" ht="14.25" customHeight="1">
      <c r="A377" s="10" t="s">
        <v>557</v>
      </c>
      <c r="B377" s="12" t="s">
        <v>106</v>
      </c>
      <c r="C377" s="12"/>
      <c r="D377" s="12"/>
      <c r="E377" s="44">
        <v>44404.0</v>
      </c>
      <c r="F377" s="29">
        <v>1.0</v>
      </c>
      <c r="G377" s="12" t="s">
        <v>558</v>
      </c>
      <c r="H377" s="45">
        <v>0.666666666667879</v>
      </c>
      <c r="I377" s="45">
        <v>0.75</v>
      </c>
      <c r="J377" s="12">
        <v>1.7</v>
      </c>
      <c r="K377" s="12">
        <v>0.14</v>
      </c>
      <c r="L377" s="14">
        <v>45.049</v>
      </c>
      <c r="M377" s="14">
        <v>41.265</v>
      </c>
      <c r="N377" s="14">
        <v>46.317</v>
      </c>
      <c r="O377" s="14">
        <v>44.32</v>
      </c>
      <c r="P377" s="14">
        <v>47.588</v>
      </c>
      <c r="Q377" s="14">
        <v>44.907799999999995</v>
      </c>
      <c r="R377" s="20">
        <v>9.62</v>
      </c>
      <c r="S377" s="20">
        <v>12.52</v>
      </c>
      <c r="T377" s="20">
        <v>12.23</v>
      </c>
      <c r="U377" s="20">
        <v>12.74</v>
      </c>
      <c r="V377" s="20">
        <v>12.37</v>
      </c>
      <c r="W377" s="14">
        <v>11.896</v>
      </c>
      <c r="X377" s="14">
        <v>15.5</v>
      </c>
      <c r="Y377" s="14">
        <v>15.0</v>
      </c>
      <c r="Z377" s="14">
        <v>14.9</v>
      </c>
      <c r="AA377" s="14">
        <v>14.2</v>
      </c>
      <c r="AB377" s="14">
        <v>13.9</v>
      </c>
      <c r="AC377" s="14">
        <v>14.7</v>
      </c>
      <c r="AD377" s="20">
        <v>178.0</v>
      </c>
      <c r="AE377" s="20">
        <v>218.0</v>
      </c>
      <c r="AF377" s="20">
        <v>223.0</v>
      </c>
      <c r="AG377" s="20">
        <v>223.0</v>
      </c>
      <c r="AH377" s="20">
        <v>612.0</v>
      </c>
      <c r="AI377" s="14">
        <v>290.8</v>
      </c>
      <c r="AJ377" s="14">
        <v>4.63</v>
      </c>
      <c r="AK377" s="14">
        <v>5.24</v>
      </c>
      <c r="AL377" s="14">
        <v>5.19</v>
      </c>
      <c r="AM377" s="14">
        <v>4.93</v>
      </c>
      <c r="AN377" s="14">
        <v>5.2</v>
      </c>
      <c r="AO377" s="14">
        <v>5.038</v>
      </c>
      <c r="AP377" s="14">
        <v>78.0</v>
      </c>
      <c r="AQ377" s="14">
        <v>145.0</v>
      </c>
      <c r="AR377" s="14">
        <v>1220.0</v>
      </c>
      <c r="AS377" s="14">
        <v>16.0</v>
      </c>
      <c r="AT377" s="14">
        <v>1.13</v>
      </c>
      <c r="AU377" s="14">
        <v>109800.0</v>
      </c>
      <c r="AV377" s="14">
        <v>0.08</v>
      </c>
      <c r="AW377" s="14">
        <v>12.3</v>
      </c>
      <c r="AX377" s="14">
        <v>51200.0</v>
      </c>
      <c r="AY377" s="14">
        <v>0.5</v>
      </c>
      <c r="AZ377" s="14">
        <v>0.662</v>
      </c>
      <c r="BA377" s="14">
        <f t="shared" si="1"/>
        <v>13.462</v>
      </c>
    </row>
    <row r="378" ht="14.25" customHeight="1">
      <c r="A378" s="10" t="s">
        <v>559</v>
      </c>
      <c r="B378" s="12" t="s">
        <v>133</v>
      </c>
      <c r="C378" s="12"/>
      <c r="D378" s="12"/>
      <c r="E378" s="44">
        <v>44405.0</v>
      </c>
      <c r="F378" s="29">
        <v>1.0</v>
      </c>
      <c r="G378" s="12" t="s">
        <v>560</v>
      </c>
      <c r="H378" s="45">
        <v>0.25</v>
      </c>
      <c r="I378" s="45">
        <v>0.33333333333212</v>
      </c>
      <c r="J378" s="12">
        <v>5.2</v>
      </c>
      <c r="K378" s="12">
        <v>0.58</v>
      </c>
      <c r="L378" s="14">
        <v>777.757</v>
      </c>
      <c r="M378" s="14">
        <v>789.734</v>
      </c>
      <c r="N378" s="14">
        <v>766.302</v>
      </c>
      <c r="O378" s="14">
        <v>771.509</v>
      </c>
      <c r="P378" s="14">
        <v>761.609</v>
      </c>
      <c r="Q378" s="14">
        <v>773.3822</v>
      </c>
      <c r="R378" s="20">
        <v>8.04</v>
      </c>
      <c r="S378" s="20">
        <v>7.56</v>
      </c>
      <c r="T378" s="20">
        <v>7.43</v>
      </c>
      <c r="U378" s="20">
        <v>7.49</v>
      </c>
      <c r="V378" s="20">
        <v>7.52</v>
      </c>
      <c r="W378" s="14">
        <v>7.607999999999999</v>
      </c>
      <c r="X378" s="14">
        <v>10.3</v>
      </c>
      <c r="Y378" s="14">
        <v>10.3</v>
      </c>
      <c r="Z378" s="14">
        <v>10.3</v>
      </c>
      <c r="AA378" s="14">
        <v>10.4</v>
      </c>
      <c r="AB378" s="14">
        <v>10.4</v>
      </c>
      <c r="AC378" s="14">
        <v>10.34</v>
      </c>
      <c r="AD378" s="20">
        <v>22.0</v>
      </c>
      <c r="AE378" s="20">
        <v>29.3</v>
      </c>
      <c r="AF378" s="20">
        <v>34.5</v>
      </c>
      <c r="AG378" s="20">
        <v>29.0</v>
      </c>
      <c r="AH378" s="20">
        <v>27.9</v>
      </c>
      <c r="AI378" s="14">
        <v>28.54</v>
      </c>
      <c r="AJ378" s="14">
        <v>6.28</v>
      </c>
      <c r="AK378" s="14">
        <v>6.31</v>
      </c>
      <c r="AL378" s="14">
        <v>6.91</v>
      </c>
      <c r="AM378" s="14">
        <v>5.6</v>
      </c>
      <c r="AN378" s="14">
        <v>6.19</v>
      </c>
      <c r="AO378" s="14">
        <v>6.258000000000001</v>
      </c>
      <c r="AP378" s="14">
        <v>10.0</v>
      </c>
      <c r="AQ378" s="14">
        <v>23.0</v>
      </c>
      <c r="AR378" s="14">
        <v>43.0</v>
      </c>
      <c r="AS378" s="14">
        <v>1.2</v>
      </c>
      <c r="AT378" s="14">
        <v>0.07</v>
      </c>
      <c r="AU378" s="14">
        <v>136800.0</v>
      </c>
      <c r="AV378" s="14">
        <v>0.21</v>
      </c>
      <c r="AW378" s="14">
        <v>1.4</v>
      </c>
      <c r="AX378" s="14">
        <v>111700.0</v>
      </c>
      <c r="AY378" s="14">
        <v>0.6</v>
      </c>
      <c r="AZ378" s="14">
        <v>0.025</v>
      </c>
      <c r="BA378" s="14">
        <f t="shared" si="1"/>
        <v>2.025</v>
      </c>
    </row>
    <row r="379" ht="14.25" customHeight="1">
      <c r="A379" s="10" t="s">
        <v>561</v>
      </c>
      <c r="B379" s="12" t="s">
        <v>131</v>
      </c>
      <c r="C379" s="12"/>
      <c r="D379" s="12"/>
      <c r="E379" s="44">
        <v>44405.0</v>
      </c>
      <c r="F379" s="29">
        <v>1.0</v>
      </c>
      <c r="G379" s="12" t="s">
        <v>562</v>
      </c>
      <c r="H379" s="45">
        <v>0.416666666667879</v>
      </c>
      <c r="I379" s="45">
        <v>0.5</v>
      </c>
      <c r="J379" s="12">
        <v>3.4</v>
      </c>
      <c r="K379" s="12">
        <v>0.56</v>
      </c>
      <c r="L379" s="14">
        <v>403.394</v>
      </c>
      <c r="M379" s="14">
        <v>392.51</v>
      </c>
      <c r="N379" s="14">
        <v>355.864</v>
      </c>
      <c r="O379" s="14">
        <v>366.027</v>
      </c>
      <c r="P379" s="14">
        <v>416.445</v>
      </c>
      <c r="Q379" s="14">
        <v>386.848</v>
      </c>
      <c r="R379" s="20">
        <v>7.89</v>
      </c>
      <c r="S379" s="20">
        <v>8.01</v>
      </c>
      <c r="T379" s="20">
        <v>7.86</v>
      </c>
      <c r="U379" s="20">
        <v>8.33</v>
      </c>
      <c r="V379" s="20">
        <v>8.24</v>
      </c>
      <c r="W379" s="14">
        <v>8.065999999999999</v>
      </c>
      <c r="X379" s="14">
        <v>11.8</v>
      </c>
      <c r="Y379" s="14">
        <v>12.1</v>
      </c>
      <c r="Z379" s="14">
        <v>12.7</v>
      </c>
      <c r="AA379" s="14">
        <v>13.0</v>
      </c>
      <c r="AB379" s="14">
        <v>13.2</v>
      </c>
      <c r="AC379" s="14">
        <v>12.559999999999999</v>
      </c>
      <c r="AD379" s="20">
        <v>71.6</v>
      </c>
      <c r="AE379" s="20">
        <v>52.4</v>
      </c>
      <c r="AF379" s="20">
        <v>62.1</v>
      </c>
      <c r="AG379" s="20">
        <v>60.5</v>
      </c>
      <c r="AH379" s="20">
        <v>58.0</v>
      </c>
      <c r="AI379" s="14">
        <v>60.92</v>
      </c>
      <c r="AJ379" s="14">
        <v>3.99</v>
      </c>
      <c r="AK379" s="14">
        <v>1.9</v>
      </c>
      <c r="AL379" s="14">
        <v>1.47</v>
      </c>
      <c r="AM379" s="14">
        <v>2.05</v>
      </c>
      <c r="AN379" s="14">
        <v>2.22</v>
      </c>
      <c r="AO379" s="14">
        <v>2.326</v>
      </c>
      <c r="AP379" s="14">
        <v>58.0</v>
      </c>
      <c r="AQ379" s="14">
        <v>86.0</v>
      </c>
      <c r="AR379" s="14">
        <v>55.0</v>
      </c>
      <c r="AS379" s="14">
        <v>1.2</v>
      </c>
      <c r="AT379" s="14">
        <v>1.71</v>
      </c>
      <c r="AU379" s="14">
        <v>1858000.0</v>
      </c>
      <c r="AV379" s="14">
        <v>0.75</v>
      </c>
      <c r="AW379" s="14">
        <v>9.0</v>
      </c>
      <c r="AX379" s="14">
        <v>977000.0</v>
      </c>
      <c r="AY379" s="14">
        <v>0.5</v>
      </c>
      <c r="AZ379" s="14">
        <v>0.007</v>
      </c>
      <c r="BA379" s="14">
        <f t="shared" si="1"/>
        <v>9.507</v>
      </c>
    </row>
    <row r="380" ht="14.25" customHeight="1">
      <c r="A380" s="10" t="s">
        <v>563</v>
      </c>
      <c r="B380" s="12" t="s">
        <v>135</v>
      </c>
      <c r="C380" s="12"/>
      <c r="D380" s="12"/>
      <c r="E380" s="44">
        <v>44405.0</v>
      </c>
      <c r="F380" s="29">
        <v>1.0</v>
      </c>
      <c r="G380" s="12" t="s">
        <v>564</v>
      </c>
      <c r="H380" s="45">
        <v>0.58333333333212</v>
      </c>
      <c r="I380" s="45">
        <v>0.666666666667879</v>
      </c>
      <c r="J380" s="12">
        <v>2.8</v>
      </c>
      <c r="K380" s="12">
        <v>0.55</v>
      </c>
      <c r="L380" s="14">
        <v>539.245</v>
      </c>
      <c r="M380" s="14">
        <v>526.766</v>
      </c>
      <c r="N380" s="14">
        <v>481.552</v>
      </c>
      <c r="O380" s="14">
        <v>410.141</v>
      </c>
      <c r="P380" s="14">
        <v>498.363</v>
      </c>
      <c r="Q380" s="14">
        <v>491.2134</v>
      </c>
      <c r="R380" s="20">
        <v>8.02</v>
      </c>
      <c r="S380" s="20">
        <v>7.98</v>
      </c>
      <c r="T380" s="20">
        <v>7.88</v>
      </c>
      <c r="U380" s="20">
        <v>7.97</v>
      </c>
      <c r="V380" s="20">
        <v>7.9</v>
      </c>
      <c r="W380" s="14">
        <v>7.95</v>
      </c>
      <c r="X380" s="14">
        <v>15.3</v>
      </c>
      <c r="Y380" s="14">
        <v>15.2</v>
      </c>
      <c r="Z380" s="14">
        <v>15.0</v>
      </c>
      <c r="AA380" s="14">
        <v>15.0</v>
      </c>
      <c r="AB380" s="14">
        <v>14.9</v>
      </c>
      <c r="AC380" s="14">
        <v>15.080000000000002</v>
      </c>
      <c r="AD380" s="20">
        <v>74.5</v>
      </c>
      <c r="AE380" s="20">
        <v>92.5</v>
      </c>
      <c r="AF380" s="20">
        <v>90.0</v>
      </c>
      <c r="AG380" s="20">
        <v>82.9</v>
      </c>
      <c r="AH380" s="20">
        <v>67.5</v>
      </c>
      <c r="AI380" s="14">
        <v>81.47999999999999</v>
      </c>
      <c r="AJ380" s="14">
        <v>2.24</v>
      </c>
      <c r="AK380" s="14">
        <v>2.11</v>
      </c>
      <c r="AL380" s="14">
        <v>2.68</v>
      </c>
      <c r="AM380" s="14">
        <v>2.32</v>
      </c>
      <c r="AN380" s="14">
        <v>2.13</v>
      </c>
      <c r="AO380" s="14">
        <v>2.2960000000000003</v>
      </c>
      <c r="AP380" s="14">
        <v>68.0</v>
      </c>
      <c r="AQ380" s="14">
        <v>102.0</v>
      </c>
      <c r="AR380" s="14">
        <v>85.0</v>
      </c>
      <c r="AS380" s="14">
        <v>1.2</v>
      </c>
      <c r="AT380" s="14">
        <v>3.01</v>
      </c>
      <c r="AU380" s="14">
        <v>9850000.0</v>
      </c>
      <c r="AV380" s="14">
        <v>0.6</v>
      </c>
      <c r="AW380" s="14">
        <v>5.3</v>
      </c>
      <c r="AX380" s="14">
        <v>119800.0</v>
      </c>
      <c r="AY380" s="14">
        <v>0.6</v>
      </c>
      <c r="AZ380" s="14">
        <v>0.007</v>
      </c>
      <c r="BA380" s="14">
        <f t="shared" si="1"/>
        <v>5.907</v>
      </c>
    </row>
    <row r="381" ht="14.25" customHeight="1">
      <c r="A381" s="10" t="s">
        <v>565</v>
      </c>
      <c r="B381" s="12" t="s">
        <v>138</v>
      </c>
      <c r="C381" s="12"/>
      <c r="D381" s="12"/>
      <c r="E381" s="44">
        <v>44407.0</v>
      </c>
      <c r="F381" s="29">
        <v>1.0</v>
      </c>
      <c r="G381" s="12" t="s">
        <v>566</v>
      </c>
      <c r="H381" s="45">
        <v>0.25</v>
      </c>
      <c r="I381" s="45">
        <v>0.33333333333212</v>
      </c>
      <c r="J381" s="12">
        <v>0.8</v>
      </c>
      <c r="K381" s="12">
        <v>0.27</v>
      </c>
      <c r="L381" s="14">
        <v>75.972</v>
      </c>
      <c r="M381" s="14">
        <v>78.357</v>
      </c>
      <c r="N381" s="14">
        <v>73.345</v>
      </c>
      <c r="O381" s="14">
        <v>74.778</v>
      </c>
      <c r="P381" s="14">
        <v>79.258</v>
      </c>
      <c r="Q381" s="14">
        <v>76.342</v>
      </c>
      <c r="R381" s="20">
        <v>8.79</v>
      </c>
      <c r="S381" s="20">
        <v>8.65</v>
      </c>
      <c r="T381" s="20">
        <v>8.78</v>
      </c>
      <c r="U381" s="20">
        <v>8.6</v>
      </c>
      <c r="V381" s="20">
        <v>8.56</v>
      </c>
      <c r="W381" s="14">
        <v>8.676</v>
      </c>
      <c r="X381" s="14">
        <v>12.6</v>
      </c>
      <c r="Y381" s="14">
        <v>12.7</v>
      </c>
      <c r="Z381" s="14">
        <v>12.7</v>
      </c>
      <c r="AA381" s="14">
        <v>13.4</v>
      </c>
      <c r="AB381" s="14">
        <v>13.8</v>
      </c>
      <c r="AC381" s="14">
        <v>13.040000000000001</v>
      </c>
      <c r="AD381" s="20">
        <v>221.0</v>
      </c>
      <c r="AE381" s="20">
        <v>224.0</v>
      </c>
      <c r="AF381" s="20">
        <v>221.0</v>
      </c>
      <c r="AG381" s="20">
        <v>231.0</v>
      </c>
      <c r="AH381" s="20">
        <v>227.0</v>
      </c>
      <c r="AI381" s="14">
        <v>224.8</v>
      </c>
      <c r="AJ381" s="14">
        <v>5.81</v>
      </c>
      <c r="AK381" s="14">
        <v>5.82</v>
      </c>
      <c r="AL381" s="14">
        <v>5.73</v>
      </c>
      <c r="AM381" s="14">
        <v>6.28</v>
      </c>
      <c r="AN381" s="14">
        <v>5.76</v>
      </c>
      <c r="AO381" s="14">
        <v>5.88</v>
      </c>
      <c r="AP381" s="14">
        <v>158.0</v>
      </c>
      <c r="AQ381" s="14">
        <v>216.0</v>
      </c>
      <c r="AR381" s="14">
        <v>133.0</v>
      </c>
      <c r="AS381" s="14">
        <v>56.0</v>
      </c>
      <c r="AT381" s="14">
        <v>3.12</v>
      </c>
      <c r="AU381" s="14">
        <v>1.21E7</v>
      </c>
      <c r="AV381" s="14">
        <v>6.52</v>
      </c>
      <c r="AW381" s="14">
        <v>53.2</v>
      </c>
      <c r="AX381" s="14">
        <v>1.063E7</v>
      </c>
      <c r="AY381" s="14">
        <v>0.6</v>
      </c>
      <c r="AZ381" s="14">
        <v>0.007</v>
      </c>
      <c r="BA381" s="14">
        <f t="shared" si="1"/>
        <v>53.807</v>
      </c>
    </row>
    <row r="382" ht="14.25" customHeight="1">
      <c r="A382" s="10" t="s">
        <v>567</v>
      </c>
      <c r="B382" s="16" t="s">
        <v>93</v>
      </c>
      <c r="C382" s="12"/>
      <c r="D382" s="12"/>
      <c r="E382" s="44">
        <v>44404.0</v>
      </c>
      <c r="F382" s="29">
        <v>1.0</v>
      </c>
      <c r="G382" s="12" t="s">
        <v>568</v>
      </c>
      <c r="H382" s="45">
        <v>0.416666666667879</v>
      </c>
      <c r="I382" s="45">
        <v>0.5</v>
      </c>
      <c r="J382" s="12">
        <v>3.3</v>
      </c>
      <c r="K382" s="12">
        <v>0.37</v>
      </c>
      <c r="L382" s="14">
        <v>234.836</v>
      </c>
      <c r="M382" s="14">
        <v>246.79</v>
      </c>
      <c r="N382" s="14">
        <v>279.97</v>
      </c>
      <c r="O382" s="14">
        <v>257.509</v>
      </c>
      <c r="P382" s="14">
        <v>291.279</v>
      </c>
      <c r="Q382" s="14">
        <v>262.0768</v>
      </c>
      <c r="R382" s="20">
        <v>8.2</v>
      </c>
      <c r="S382" s="20">
        <v>8.12</v>
      </c>
      <c r="T382" s="20">
        <v>8.08</v>
      </c>
      <c r="U382" s="20">
        <v>8.07</v>
      </c>
      <c r="V382" s="20">
        <v>7.95</v>
      </c>
      <c r="W382" s="14">
        <v>8.084</v>
      </c>
      <c r="X382" s="14">
        <v>13.2</v>
      </c>
      <c r="Y382" s="14">
        <v>13.6</v>
      </c>
      <c r="Z382" s="14">
        <v>13.8</v>
      </c>
      <c r="AA382" s="14">
        <v>14.0</v>
      </c>
      <c r="AB382" s="14">
        <v>14.2</v>
      </c>
      <c r="AC382" s="14">
        <v>13.76</v>
      </c>
      <c r="AD382" s="20">
        <v>280.0</v>
      </c>
      <c r="AE382" s="20">
        <v>267.0</v>
      </c>
      <c r="AF382" s="20">
        <v>265.0</v>
      </c>
      <c r="AG382" s="20">
        <v>254.0</v>
      </c>
      <c r="AH382" s="20">
        <v>265.0</v>
      </c>
      <c r="AI382" s="14">
        <v>266.2</v>
      </c>
      <c r="AJ382" s="14">
        <v>4.58</v>
      </c>
      <c r="AK382" s="14">
        <v>3.6</v>
      </c>
      <c r="AL382" s="14">
        <v>3.19</v>
      </c>
      <c r="AM382" s="14">
        <v>3.31</v>
      </c>
      <c r="AN382" s="14">
        <v>3.2</v>
      </c>
      <c r="AO382" s="14">
        <v>3.5759999999999996</v>
      </c>
      <c r="AP382" s="14">
        <v>182.0</v>
      </c>
      <c r="AQ382" s="14">
        <v>230.0</v>
      </c>
      <c r="AR382" s="14">
        <v>100.0</v>
      </c>
      <c r="AS382" s="14">
        <v>5.0</v>
      </c>
      <c r="AT382" s="14">
        <v>3.45</v>
      </c>
      <c r="AU382" s="14">
        <v>9580000.0</v>
      </c>
      <c r="AV382" s="14">
        <v>3.73</v>
      </c>
      <c r="AW382" s="14">
        <v>30.8</v>
      </c>
      <c r="AX382" s="14">
        <v>785000.0</v>
      </c>
      <c r="AY382" s="14">
        <v>0.9</v>
      </c>
      <c r="AZ382" s="14">
        <v>0.007</v>
      </c>
      <c r="BA382" s="14">
        <f t="shared" si="1"/>
        <v>31.707</v>
      </c>
    </row>
    <row r="383" ht="14.25" customHeight="1">
      <c r="A383" s="10" t="s">
        <v>569</v>
      </c>
      <c r="B383" s="12" t="s">
        <v>67</v>
      </c>
      <c r="C383" s="12"/>
      <c r="D383" s="12"/>
      <c r="E383" s="44">
        <v>44406.0</v>
      </c>
      <c r="F383" s="29">
        <v>1.0</v>
      </c>
      <c r="G383" s="12" t="s">
        <v>570</v>
      </c>
      <c r="H383" s="45">
        <v>0.33333333333212</v>
      </c>
      <c r="I383" s="45">
        <v>0.416666666667879</v>
      </c>
      <c r="J383" s="12">
        <v>2.0</v>
      </c>
      <c r="K383" s="12">
        <v>0.13</v>
      </c>
      <c r="L383" s="14">
        <v>90.542</v>
      </c>
      <c r="M383" s="14">
        <v>115.422</v>
      </c>
      <c r="N383" s="14">
        <v>108.43</v>
      </c>
      <c r="O383" s="14">
        <v>89.132</v>
      </c>
      <c r="P383" s="14">
        <v>86.084</v>
      </c>
      <c r="Q383" s="14">
        <v>97.922</v>
      </c>
      <c r="R383" s="20">
        <v>7.06</v>
      </c>
      <c r="S383" s="20">
        <v>7.67</v>
      </c>
      <c r="T383" s="20">
        <v>7.73</v>
      </c>
      <c r="U383" s="20">
        <v>7.7</v>
      </c>
      <c r="V383" s="20">
        <v>7.92</v>
      </c>
      <c r="W383" s="14">
        <v>7.616</v>
      </c>
      <c r="X383" s="14">
        <v>12.4</v>
      </c>
      <c r="Y383" s="14">
        <v>12.3</v>
      </c>
      <c r="Z383" s="14">
        <v>12.3</v>
      </c>
      <c r="AA383" s="14">
        <v>12.4</v>
      </c>
      <c r="AB383" s="14">
        <v>12.3</v>
      </c>
      <c r="AC383" s="14">
        <v>12.34</v>
      </c>
      <c r="AD383" s="20">
        <v>169.5</v>
      </c>
      <c r="AE383" s="20">
        <v>144.4</v>
      </c>
      <c r="AF383" s="20">
        <v>124.4</v>
      </c>
      <c r="AG383" s="20">
        <v>145.9</v>
      </c>
      <c r="AH383" s="20">
        <v>132.5</v>
      </c>
      <c r="AI383" s="14">
        <v>143.33999999999997</v>
      </c>
      <c r="AJ383" s="14">
        <v>8.79</v>
      </c>
      <c r="AK383" s="14">
        <v>8.6</v>
      </c>
      <c r="AL383" s="14">
        <v>8.53</v>
      </c>
      <c r="AM383" s="14">
        <v>8.2</v>
      </c>
      <c r="AN383" s="14">
        <v>8.44</v>
      </c>
      <c r="AO383" s="14">
        <v>8.512</v>
      </c>
      <c r="AP383" s="14">
        <v>10.0</v>
      </c>
      <c r="AQ383" s="14">
        <v>33.0</v>
      </c>
      <c r="AR383" s="14">
        <v>39.0</v>
      </c>
      <c r="AS383" s="14">
        <v>1.2</v>
      </c>
      <c r="AT383" s="14">
        <v>0.15</v>
      </c>
      <c r="AU383" s="14">
        <v>137900.0</v>
      </c>
      <c r="AV383" s="14">
        <v>1.26</v>
      </c>
      <c r="AW383" s="14">
        <v>14.3</v>
      </c>
      <c r="AX383" s="14">
        <v>14500.0</v>
      </c>
      <c r="AY383" s="14">
        <v>0.5</v>
      </c>
      <c r="AZ383" s="14">
        <v>0.048</v>
      </c>
      <c r="BA383" s="14">
        <f t="shared" si="1"/>
        <v>14.848</v>
      </c>
    </row>
    <row r="384" ht="14.25" customHeight="1">
      <c r="A384" s="10" t="s">
        <v>571</v>
      </c>
      <c r="B384" s="12" t="s">
        <v>65</v>
      </c>
      <c r="C384" s="12"/>
      <c r="D384" s="12"/>
      <c r="E384" s="44">
        <v>44406.0</v>
      </c>
      <c r="F384" s="29">
        <v>1.0</v>
      </c>
      <c r="G384" s="12" t="s">
        <v>572</v>
      </c>
      <c r="H384" s="45">
        <v>0.33333333333212</v>
      </c>
      <c r="I384" s="45">
        <v>0.416666666667879</v>
      </c>
      <c r="J384" s="12">
        <v>6.0</v>
      </c>
      <c r="K384" s="12">
        <v>0.17</v>
      </c>
      <c r="L384" s="14">
        <v>202.316</v>
      </c>
      <c r="M384" s="14">
        <v>183.137</v>
      </c>
      <c r="N384" s="14">
        <v>187.716</v>
      </c>
      <c r="O384" s="14">
        <v>249.515</v>
      </c>
      <c r="P384" s="14">
        <v>240.332</v>
      </c>
      <c r="Q384" s="14">
        <v>212.60320000000002</v>
      </c>
      <c r="R384" s="20">
        <v>7.93</v>
      </c>
      <c r="S384" s="20">
        <v>7.87</v>
      </c>
      <c r="T384" s="20">
        <v>7.88</v>
      </c>
      <c r="U384" s="20">
        <v>7.84</v>
      </c>
      <c r="V384" s="20">
        <v>7.74</v>
      </c>
      <c r="W384" s="14">
        <v>7.851999999999999</v>
      </c>
      <c r="X384" s="14">
        <v>14.3</v>
      </c>
      <c r="Y384" s="14">
        <v>14.4</v>
      </c>
      <c r="Z384" s="14">
        <v>14.6</v>
      </c>
      <c r="AA384" s="14">
        <v>14.6</v>
      </c>
      <c r="AB384" s="14">
        <v>14.6</v>
      </c>
      <c r="AC384" s="14">
        <v>14.5</v>
      </c>
      <c r="AD384" s="20">
        <v>222.0</v>
      </c>
      <c r="AE384" s="20">
        <v>221.0</v>
      </c>
      <c r="AF384" s="20">
        <v>213.0</v>
      </c>
      <c r="AG384" s="20">
        <v>221.0</v>
      </c>
      <c r="AH384" s="20">
        <v>220.0</v>
      </c>
      <c r="AI384" s="14">
        <v>219.4</v>
      </c>
      <c r="AJ384" s="14">
        <v>1.55</v>
      </c>
      <c r="AK384" s="14">
        <v>2.97</v>
      </c>
      <c r="AL384" s="14">
        <v>2.44</v>
      </c>
      <c r="AM384" s="14">
        <v>1.97</v>
      </c>
      <c r="AN384" s="14">
        <v>1.98</v>
      </c>
      <c r="AO384" s="14">
        <v>2.1820000000000004</v>
      </c>
      <c r="AP384" s="14">
        <v>62.0</v>
      </c>
      <c r="AQ384" s="14">
        <v>108.0</v>
      </c>
      <c r="AR384" s="14">
        <v>100.0</v>
      </c>
      <c r="AS384" s="14">
        <v>19.0</v>
      </c>
      <c r="AT384" s="14">
        <v>1.9</v>
      </c>
      <c r="AU384" s="14">
        <v>1414000.0</v>
      </c>
      <c r="AV384" s="14">
        <v>1.34</v>
      </c>
      <c r="AW384" s="14">
        <v>22.1</v>
      </c>
      <c r="AX384" s="14">
        <v>95900.0</v>
      </c>
      <c r="AY384" s="14">
        <v>0.8</v>
      </c>
      <c r="AZ384" s="14">
        <v>0.007</v>
      </c>
      <c r="BA384" s="14">
        <f t="shared" si="1"/>
        <v>22.907</v>
      </c>
    </row>
    <row r="385" ht="14.25" customHeight="1">
      <c r="A385" s="10" t="s">
        <v>573</v>
      </c>
      <c r="B385" s="12" t="s">
        <v>83</v>
      </c>
      <c r="C385" s="12"/>
      <c r="D385" s="12"/>
      <c r="E385" s="44">
        <v>44403.0</v>
      </c>
      <c r="F385" s="29">
        <v>1.0</v>
      </c>
      <c r="G385" s="12" t="s">
        <v>574</v>
      </c>
      <c r="H385" s="45">
        <v>0.25</v>
      </c>
      <c r="I385" s="45">
        <v>0.33333333333212</v>
      </c>
      <c r="J385" s="12">
        <v>4.5</v>
      </c>
      <c r="K385" s="12">
        <v>0.37</v>
      </c>
      <c r="L385" s="14">
        <v>503.079</v>
      </c>
      <c r="M385" s="14">
        <v>540.708</v>
      </c>
      <c r="N385" s="14">
        <v>544.381</v>
      </c>
      <c r="O385" s="14">
        <v>583.528</v>
      </c>
      <c r="P385" s="14">
        <v>576.103</v>
      </c>
      <c r="Q385" s="14">
        <v>549.5598</v>
      </c>
      <c r="R385" s="20">
        <v>7.81</v>
      </c>
      <c r="S385" s="20">
        <v>7.89</v>
      </c>
      <c r="T385" s="20">
        <v>7.99</v>
      </c>
      <c r="U385" s="20">
        <v>8.04</v>
      </c>
      <c r="V385" s="20">
        <v>8.11</v>
      </c>
      <c r="W385" s="14">
        <v>7.967999999999999</v>
      </c>
      <c r="X385" s="14">
        <v>11.3</v>
      </c>
      <c r="Y385" s="14">
        <v>11.5</v>
      </c>
      <c r="Z385" s="14">
        <v>11.6</v>
      </c>
      <c r="AA385" s="14">
        <v>11.8</v>
      </c>
      <c r="AB385" s="14">
        <v>12.1</v>
      </c>
      <c r="AC385" s="14">
        <v>11.66</v>
      </c>
      <c r="AD385" s="20">
        <v>158.0</v>
      </c>
      <c r="AE385" s="20">
        <v>166.0</v>
      </c>
      <c r="AF385" s="20">
        <v>157.0</v>
      </c>
      <c r="AG385" s="20">
        <v>204.0</v>
      </c>
      <c r="AH385" s="20">
        <v>201.0</v>
      </c>
      <c r="AI385" s="14">
        <v>177.2</v>
      </c>
      <c r="AJ385" s="14">
        <v>5.0</v>
      </c>
      <c r="AK385" s="14">
        <v>5.11</v>
      </c>
      <c r="AL385" s="14">
        <v>4.97</v>
      </c>
      <c r="AM385" s="14">
        <v>4.45</v>
      </c>
      <c r="AN385" s="14">
        <v>4.7</v>
      </c>
      <c r="AO385" s="14">
        <v>4.845999999999999</v>
      </c>
      <c r="AP385" s="14">
        <v>16.0</v>
      </c>
      <c r="AQ385" s="14">
        <v>39.0</v>
      </c>
      <c r="AR385" s="14">
        <v>38.0</v>
      </c>
      <c r="AS385" s="14">
        <v>16.0</v>
      </c>
      <c r="AT385" s="14">
        <v>0.76</v>
      </c>
      <c r="AU385" s="14">
        <v>1904000.0</v>
      </c>
      <c r="AV385" s="14">
        <v>2.15</v>
      </c>
      <c r="AW385" s="14">
        <v>15.7</v>
      </c>
      <c r="AX385" s="14">
        <v>1616000.0</v>
      </c>
      <c r="AY385" s="14">
        <v>0.3</v>
      </c>
      <c r="AZ385" s="14">
        <v>0.007</v>
      </c>
      <c r="BA385" s="14">
        <f t="shared" si="1"/>
        <v>16.007</v>
      </c>
    </row>
    <row r="386" ht="14.25" customHeight="1">
      <c r="A386" s="10" t="s">
        <v>575</v>
      </c>
      <c r="B386" s="12" t="s">
        <v>61</v>
      </c>
      <c r="C386" s="12"/>
      <c r="D386" s="12"/>
      <c r="E386" s="44">
        <v>44403.0</v>
      </c>
      <c r="F386" s="29">
        <v>1.0</v>
      </c>
      <c r="G386" s="12" t="s">
        <v>576</v>
      </c>
      <c r="H386" s="45">
        <v>0.416666666667879</v>
      </c>
      <c r="I386" s="45">
        <v>0.5</v>
      </c>
      <c r="J386" s="12">
        <v>12.0</v>
      </c>
      <c r="K386" s="12">
        <v>0.45</v>
      </c>
      <c r="L386" s="14">
        <v>736.402</v>
      </c>
      <c r="M386" s="14">
        <v>843.678</v>
      </c>
      <c r="N386" s="14">
        <v>932.815</v>
      </c>
      <c r="O386" s="14">
        <v>987.983</v>
      </c>
      <c r="P386" s="14">
        <v>978.542</v>
      </c>
      <c r="Q386" s="14">
        <v>895.884</v>
      </c>
      <c r="R386" s="20">
        <v>8.05</v>
      </c>
      <c r="S386" s="20">
        <v>8.05</v>
      </c>
      <c r="T386" s="20">
        <v>8.07</v>
      </c>
      <c r="U386" s="20">
        <v>8.01</v>
      </c>
      <c r="V386" s="20">
        <v>7.99</v>
      </c>
      <c r="W386" s="14">
        <v>8.034</v>
      </c>
      <c r="X386" s="14">
        <v>14.2</v>
      </c>
      <c r="Y386" s="14">
        <v>14.5</v>
      </c>
      <c r="Z386" s="14">
        <v>15.1</v>
      </c>
      <c r="AA386" s="14">
        <v>16.4</v>
      </c>
      <c r="AB386" s="14">
        <v>17.9</v>
      </c>
      <c r="AC386" s="14">
        <v>15.62</v>
      </c>
      <c r="AD386" s="20">
        <v>196.0</v>
      </c>
      <c r="AE386" s="20">
        <v>217.0</v>
      </c>
      <c r="AF386" s="20">
        <v>220.0</v>
      </c>
      <c r="AG386" s="20">
        <v>236.0</v>
      </c>
      <c r="AH386" s="20">
        <v>257.0</v>
      </c>
      <c r="AI386" s="14">
        <v>225.2</v>
      </c>
      <c r="AJ386" s="14">
        <v>2.89</v>
      </c>
      <c r="AK386" s="14">
        <v>2.99</v>
      </c>
      <c r="AL386" s="14">
        <v>2.75</v>
      </c>
      <c r="AM386" s="14">
        <v>2.44</v>
      </c>
      <c r="AN386" s="14">
        <v>2.07</v>
      </c>
      <c r="AO386" s="14">
        <v>2.628</v>
      </c>
      <c r="AP386" s="14">
        <v>72.0</v>
      </c>
      <c r="AQ386" s="14">
        <v>153.0</v>
      </c>
      <c r="AR386" s="14">
        <v>167.0</v>
      </c>
      <c r="AS386" s="14">
        <v>6.3</v>
      </c>
      <c r="AT386" s="14">
        <v>2.85</v>
      </c>
      <c r="AU386" s="14">
        <v>1.301E8</v>
      </c>
      <c r="AV386" s="14">
        <v>3.03</v>
      </c>
      <c r="AW386" s="14">
        <v>32.8</v>
      </c>
      <c r="AX386" s="14">
        <v>1.414E7</v>
      </c>
      <c r="AY386" s="14">
        <v>0.6</v>
      </c>
      <c r="AZ386" s="14">
        <v>0.007</v>
      </c>
      <c r="BA386" s="14">
        <f t="shared" si="1"/>
        <v>33.407</v>
      </c>
    </row>
    <row r="387" ht="14.25" customHeight="1">
      <c r="A387" s="10" t="s">
        <v>577</v>
      </c>
      <c r="B387" s="12" t="s">
        <v>55</v>
      </c>
      <c r="C387" s="12"/>
      <c r="D387" s="12"/>
      <c r="E387" s="44">
        <v>44399.0</v>
      </c>
      <c r="F387" s="29">
        <v>1.0</v>
      </c>
      <c r="G387" s="12" t="s">
        <v>578</v>
      </c>
      <c r="H387" s="45">
        <v>0.5</v>
      </c>
      <c r="I387" s="45">
        <v>0.58333333333212</v>
      </c>
      <c r="J387" s="12">
        <v>3.4</v>
      </c>
      <c r="K387" s="12">
        <v>0.18</v>
      </c>
      <c r="L387" s="14">
        <v>272.741</v>
      </c>
      <c r="M387" s="14">
        <v>274.629</v>
      </c>
      <c r="N387" s="14">
        <v>275.856</v>
      </c>
      <c r="O387" s="14">
        <v>276.712</v>
      </c>
      <c r="P387" s="14">
        <v>280.82</v>
      </c>
      <c r="Q387" s="14">
        <v>276.15160000000003</v>
      </c>
      <c r="R387" s="20">
        <v>7.72</v>
      </c>
      <c r="S387" s="20">
        <v>7.73</v>
      </c>
      <c r="T387" s="20">
        <v>7.72</v>
      </c>
      <c r="U387" s="20">
        <v>7.7</v>
      </c>
      <c r="V387" s="20">
        <v>7.67</v>
      </c>
      <c r="W387" s="14">
        <v>7.708</v>
      </c>
      <c r="X387" s="14">
        <v>16.5</v>
      </c>
      <c r="Y387" s="14">
        <v>16.8</v>
      </c>
      <c r="Z387" s="14">
        <v>16.9</v>
      </c>
      <c r="AA387" s="14">
        <v>17.7</v>
      </c>
      <c r="AB387" s="14">
        <v>17.8</v>
      </c>
      <c r="AC387" s="14">
        <v>17.139999999999997</v>
      </c>
      <c r="AD387" s="20">
        <v>698.0</v>
      </c>
      <c r="AE387" s="20">
        <v>710.0</v>
      </c>
      <c r="AF387" s="20">
        <v>726.0</v>
      </c>
      <c r="AG387" s="20">
        <v>731.0</v>
      </c>
      <c r="AH387" s="20">
        <v>721.0</v>
      </c>
      <c r="AI387" s="14">
        <v>717.2</v>
      </c>
      <c r="AJ387" s="14">
        <v>3.33</v>
      </c>
      <c r="AK387" s="14">
        <v>2.66</v>
      </c>
      <c r="AL387" s="14">
        <v>2.62</v>
      </c>
      <c r="AM387" s="14">
        <v>2.26</v>
      </c>
      <c r="AN387" s="14">
        <v>2.92</v>
      </c>
      <c r="AO387" s="14">
        <v>2.758</v>
      </c>
      <c r="AP387" s="14">
        <v>142.0</v>
      </c>
      <c r="AQ387" s="14">
        <v>240.0</v>
      </c>
      <c r="AR387" s="14">
        <v>240.0</v>
      </c>
      <c r="AS387" s="14">
        <v>58.0</v>
      </c>
      <c r="AT387" s="14">
        <v>3.26</v>
      </c>
      <c r="AU387" s="14">
        <v>767000.0</v>
      </c>
      <c r="AV387" s="14">
        <v>4.45</v>
      </c>
      <c r="AW387" s="14">
        <v>41.7</v>
      </c>
      <c r="AX387" s="14">
        <v>404000.0</v>
      </c>
      <c r="AY387" s="14">
        <v>0.9</v>
      </c>
      <c r="AZ387" s="14">
        <v>0.007</v>
      </c>
      <c r="BA387" s="14">
        <f t="shared" si="1"/>
        <v>42.607</v>
      </c>
    </row>
    <row r="388" ht="14.25" customHeight="1">
      <c r="A388" s="10" t="s">
        <v>579</v>
      </c>
      <c r="B388" s="12" t="s">
        <v>145</v>
      </c>
      <c r="C388" s="12"/>
      <c r="D388" s="12"/>
      <c r="E388" s="44">
        <v>44407.0</v>
      </c>
      <c r="F388" s="29">
        <v>1.0</v>
      </c>
      <c r="G388" s="12" t="s">
        <v>580</v>
      </c>
      <c r="H388" s="45">
        <v>0.416666666667879</v>
      </c>
      <c r="I388" s="45">
        <v>0.5</v>
      </c>
      <c r="J388" s="12"/>
      <c r="K388" s="12"/>
      <c r="L388" s="14">
        <v>0.821</v>
      </c>
      <c r="M388" s="14">
        <v>0.858</v>
      </c>
      <c r="N388" s="14">
        <v>0.92</v>
      </c>
      <c r="O388" s="14">
        <v>0.991</v>
      </c>
      <c r="P388" s="14">
        <v>1.0</v>
      </c>
      <c r="Q388" s="14">
        <v>0.9179999999999999</v>
      </c>
      <c r="R388" s="20">
        <v>8.32</v>
      </c>
      <c r="S388" s="20">
        <v>8.32</v>
      </c>
      <c r="T388" s="20">
        <v>8.46</v>
      </c>
      <c r="U388" s="20">
        <v>8.4</v>
      </c>
      <c r="V388" s="20">
        <v>8.45</v>
      </c>
      <c r="W388" s="14">
        <v>8.39</v>
      </c>
      <c r="X388" s="14">
        <v>13.9</v>
      </c>
      <c r="Y388" s="14">
        <v>14.0</v>
      </c>
      <c r="Z388" s="14">
        <v>14.4</v>
      </c>
      <c r="AA388" s="14">
        <v>14.2</v>
      </c>
      <c r="AB388" s="14">
        <v>14.2</v>
      </c>
      <c r="AC388" s="14">
        <v>14.14</v>
      </c>
      <c r="AD388" s="20">
        <v>180.0</v>
      </c>
      <c r="AE388" s="20">
        <v>213.0</v>
      </c>
      <c r="AF388" s="20">
        <v>219.0</v>
      </c>
      <c r="AG388" s="20">
        <v>831.0</v>
      </c>
      <c r="AH388" s="20">
        <v>214.0</v>
      </c>
      <c r="AI388" s="14">
        <v>331.4</v>
      </c>
      <c r="AJ388" s="14">
        <v>5.81</v>
      </c>
      <c r="AK388" s="14">
        <v>5.18</v>
      </c>
      <c r="AL388" s="14">
        <v>6.21</v>
      </c>
      <c r="AM388" s="14">
        <v>5.82</v>
      </c>
      <c r="AN388" s="14">
        <v>6.28</v>
      </c>
      <c r="AO388" s="14">
        <v>5.86</v>
      </c>
      <c r="AP388" s="14">
        <v>51.0</v>
      </c>
      <c r="AQ388" s="14">
        <v>72.0</v>
      </c>
      <c r="AR388" s="14">
        <v>40.0</v>
      </c>
      <c r="AS388" s="14">
        <v>1.2</v>
      </c>
      <c r="AT388" s="14">
        <v>0.24</v>
      </c>
      <c r="AU388" s="14">
        <v>738000.0</v>
      </c>
      <c r="AV388" s="14">
        <v>0.28</v>
      </c>
      <c r="AW388" s="14">
        <v>1.7</v>
      </c>
      <c r="AX388" s="14">
        <v>37700.0</v>
      </c>
      <c r="AY388" s="14">
        <v>6.2</v>
      </c>
      <c r="AZ388" s="14">
        <v>0.011</v>
      </c>
      <c r="BA388" s="14">
        <f t="shared" si="1"/>
        <v>7.911</v>
      </c>
    </row>
    <row r="389" ht="14.25" customHeight="1">
      <c r="A389" s="10" t="s">
        <v>581</v>
      </c>
      <c r="B389" s="12" t="s">
        <v>114</v>
      </c>
      <c r="C389" s="12"/>
      <c r="D389" s="12"/>
      <c r="E389" s="44">
        <v>44400.0</v>
      </c>
      <c r="F389" s="29">
        <v>1.0</v>
      </c>
      <c r="G389" s="12" t="s">
        <v>582</v>
      </c>
      <c r="H389" s="45">
        <v>0.25</v>
      </c>
      <c r="I389" s="45">
        <v>0.33333333333212</v>
      </c>
      <c r="J389" s="12">
        <v>3.5</v>
      </c>
      <c r="K389" s="12">
        <v>0.08</v>
      </c>
      <c r="L389" s="14">
        <v>12.975</v>
      </c>
      <c r="M389" s="14">
        <v>15.075</v>
      </c>
      <c r="N389" s="14">
        <v>12.975</v>
      </c>
      <c r="O389" s="14">
        <v>14.85</v>
      </c>
      <c r="P389" s="14">
        <v>12.75</v>
      </c>
      <c r="Q389" s="14">
        <v>13.725</v>
      </c>
      <c r="R389" s="20">
        <v>7.19</v>
      </c>
      <c r="S389" s="20">
        <v>7.11</v>
      </c>
      <c r="T389" s="20">
        <v>7.09</v>
      </c>
      <c r="U389" s="20">
        <v>7.15</v>
      </c>
      <c r="V389" s="20">
        <v>7.18</v>
      </c>
      <c r="W389" s="14">
        <v>7.144</v>
      </c>
      <c r="X389" s="14">
        <v>16.6</v>
      </c>
      <c r="Y389" s="14">
        <v>15.8</v>
      </c>
      <c r="Z389" s="14">
        <v>16.7</v>
      </c>
      <c r="AA389" s="14">
        <v>16.9</v>
      </c>
      <c r="AB389" s="14">
        <v>17.0</v>
      </c>
      <c r="AC389" s="14">
        <v>16.6</v>
      </c>
      <c r="AD389" s="20">
        <v>270.0</v>
      </c>
      <c r="AE389" s="20">
        <v>286.0</v>
      </c>
      <c r="AF389" s="20">
        <v>291.0</v>
      </c>
      <c r="AG389" s="20">
        <v>316.0</v>
      </c>
      <c r="AH389" s="20">
        <v>320.0</v>
      </c>
      <c r="AI389" s="14">
        <v>296.6</v>
      </c>
      <c r="AJ389" s="14">
        <v>3.02</v>
      </c>
      <c r="AK389" s="14">
        <v>3.06</v>
      </c>
      <c r="AL389" s="14">
        <v>3.45</v>
      </c>
      <c r="AM389" s="14">
        <v>3.85</v>
      </c>
      <c r="AN389" s="14">
        <v>3.6</v>
      </c>
      <c r="AO389" s="14">
        <v>3.396</v>
      </c>
      <c r="AP389" s="14">
        <v>15.0</v>
      </c>
      <c r="AQ389" s="14">
        <v>26.0</v>
      </c>
      <c r="AR389" s="14">
        <v>10.0</v>
      </c>
      <c r="AS389" s="14">
        <v>1.2</v>
      </c>
      <c r="AT389" s="14">
        <v>0.11</v>
      </c>
      <c r="AU389" s="14">
        <v>1236000.0</v>
      </c>
      <c r="AV389" s="14">
        <v>0.16</v>
      </c>
      <c r="AW389" s="14">
        <v>7.3</v>
      </c>
      <c r="AX389" s="14">
        <v>1036000.0</v>
      </c>
      <c r="AY389" s="14">
        <v>0.6</v>
      </c>
      <c r="AZ389" s="14">
        <v>0.066</v>
      </c>
      <c r="BA389" s="14">
        <f t="shared" si="1"/>
        <v>7.966</v>
      </c>
    </row>
    <row r="390" ht="14.25" customHeight="1">
      <c r="A390" s="10" t="s">
        <v>583</v>
      </c>
      <c r="B390" s="12" t="s">
        <v>91</v>
      </c>
      <c r="C390" s="12"/>
      <c r="D390" s="12"/>
      <c r="E390" s="44">
        <v>44400.0</v>
      </c>
      <c r="F390" s="29">
        <v>1.0</v>
      </c>
      <c r="G390" s="12" t="s">
        <v>584</v>
      </c>
      <c r="H390" s="45">
        <v>0.5</v>
      </c>
      <c r="I390" s="45">
        <v>0.58333333333212</v>
      </c>
      <c r="J390" s="12">
        <v>6.3</v>
      </c>
      <c r="K390" s="12">
        <v>0.66</v>
      </c>
      <c r="L390" s="14">
        <v>545.196</v>
      </c>
      <c r="M390" s="14">
        <v>533.67</v>
      </c>
      <c r="N390" s="14">
        <v>520.241</v>
      </c>
      <c r="O390" s="14">
        <v>585.22</v>
      </c>
      <c r="P390" s="14">
        <v>572.862</v>
      </c>
      <c r="Q390" s="14">
        <v>551.4378</v>
      </c>
      <c r="R390" s="20">
        <v>7.07</v>
      </c>
      <c r="S390" s="20">
        <v>7.21</v>
      </c>
      <c r="T390" s="20">
        <v>7.19</v>
      </c>
      <c r="U390" s="20">
        <v>7.24</v>
      </c>
      <c r="V390" s="20">
        <v>7.28</v>
      </c>
      <c r="W390" s="14">
        <v>7.198</v>
      </c>
      <c r="X390" s="14">
        <v>16.1</v>
      </c>
      <c r="Y390" s="14">
        <v>16.5</v>
      </c>
      <c r="Z390" s="14">
        <v>16.0</v>
      </c>
      <c r="AA390" s="14">
        <v>16.2</v>
      </c>
      <c r="AB390" s="14">
        <v>16.1</v>
      </c>
      <c r="AC390" s="14">
        <v>16.18</v>
      </c>
      <c r="AD390" s="20">
        <v>284.0</v>
      </c>
      <c r="AE390" s="20">
        <v>286.0</v>
      </c>
      <c r="AF390" s="20">
        <v>277.0</v>
      </c>
      <c r="AG390" s="20">
        <v>283.0</v>
      </c>
      <c r="AH390" s="20">
        <v>266.0</v>
      </c>
      <c r="AI390" s="14">
        <v>279.2</v>
      </c>
      <c r="AJ390" s="14">
        <v>0.67</v>
      </c>
      <c r="AK390" s="14">
        <v>0.85</v>
      </c>
      <c r="AL390" s="14">
        <v>0.55</v>
      </c>
      <c r="AM390" s="14">
        <v>0.29</v>
      </c>
      <c r="AN390" s="14">
        <v>0.64</v>
      </c>
      <c r="AO390" s="14">
        <v>0.6000000000000001</v>
      </c>
      <c r="AP390" s="14">
        <v>59.0</v>
      </c>
      <c r="AQ390" s="14">
        <v>80.0</v>
      </c>
      <c r="AR390" s="14">
        <v>18.0</v>
      </c>
      <c r="AS390" s="14">
        <v>1.2</v>
      </c>
      <c r="AT390" s="14">
        <v>2.59</v>
      </c>
      <c r="AU390" s="14">
        <v>9590000.0</v>
      </c>
      <c r="AV390" s="14">
        <v>1.55</v>
      </c>
      <c r="AW390" s="14">
        <v>15.4</v>
      </c>
      <c r="AX390" s="14">
        <v>906000.0</v>
      </c>
      <c r="AY390" s="14">
        <v>0.4</v>
      </c>
      <c r="AZ390" s="14">
        <v>0.007</v>
      </c>
      <c r="BA390" s="14">
        <f t="shared" si="1"/>
        <v>15.807</v>
      </c>
    </row>
    <row r="391" ht="14.25" customHeight="1">
      <c r="A391" s="10" t="s">
        <v>585</v>
      </c>
      <c r="B391" s="12" t="s">
        <v>63</v>
      </c>
      <c r="C391" s="12"/>
      <c r="D391" s="12"/>
      <c r="E391" s="44">
        <v>44401.0</v>
      </c>
      <c r="F391" s="29">
        <v>1.0</v>
      </c>
      <c r="G391" s="12" t="s">
        <v>586</v>
      </c>
      <c r="H391" s="45">
        <v>0.416666666667879</v>
      </c>
      <c r="I391" s="45">
        <v>0.5</v>
      </c>
      <c r="J391" s="12">
        <v>6.5</v>
      </c>
      <c r="K391" s="12">
        <v>0.19</v>
      </c>
      <c r="L391" s="14">
        <v>288.404</v>
      </c>
      <c r="M391" s="14">
        <v>272.411</v>
      </c>
      <c r="N391" s="14">
        <v>269.599</v>
      </c>
      <c r="O391" s="14">
        <v>272.389</v>
      </c>
      <c r="P391" s="14">
        <v>278.138</v>
      </c>
      <c r="Q391" s="14">
        <v>276.18819999999994</v>
      </c>
      <c r="R391" s="20">
        <v>8.11</v>
      </c>
      <c r="S391" s="20">
        <v>8.04</v>
      </c>
      <c r="T391" s="20">
        <v>8.01</v>
      </c>
      <c r="U391" s="20">
        <v>7.98</v>
      </c>
      <c r="V391" s="20">
        <v>7.78</v>
      </c>
      <c r="W391" s="14">
        <v>7.984</v>
      </c>
      <c r="X391" s="14">
        <v>19.7</v>
      </c>
      <c r="Y391" s="14">
        <v>20.0</v>
      </c>
      <c r="Z391" s="14">
        <v>20.7</v>
      </c>
      <c r="AA391" s="14">
        <v>20.1</v>
      </c>
      <c r="AB391" s="14">
        <v>20.2</v>
      </c>
      <c r="AC391" s="14">
        <v>20.14</v>
      </c>
      <c r="AD391" s="20">
        <v>280.0</v>
      </c>
      <c r="AE391" s="20">
        <v>279.0</v>
      </c>
      <c r="AF391" s="20">
        <v>273.0</v>
      </c>
      <c r="AG391" s="20">
        <v>277.0</v>
      </c>
      <c r="AH391" s="20">
        <v>274.0</v>
      </c>
      <c r="AI391" s="14">
        <v>276.6</v>
      </c>
      <c r="AJ391" s="14">
        <v>0.75</v>
      </c>
      <c r="AK391" s="14">
        <v>0.69</v>
      </c>
      <c r="AL391" s="14">
        <v>0.8</v>
      </c>
      <c r="AM391" s="14">
        <v>0.59</v>
      </c>
      <c r="AN391" s="14">
        <v>0.46</v>
      </c>
      <c r="AO391" s="14">
        <v>0.658</v>
      </c>
      <c r="AP391" s="14">
        <v>78.0</v>
      </c>
      <c r="AQ391" s="14">
        <v>184.0</v>
      </c>
      <c r="AR391" s="14">
        <v>51.0</v>
      </c>
      <c r="AS391" s="14">
        <v>37.0</v>
      </c>
      <c r="AT391" s="14">
        <v>3.98</v>
      </c>
      <c r="AU391" s="14">
        <v>1918000.0</v>
      </c>
      <c r="AV391" s="14">
        <v>3.48</v>
      </c>
      <c r="AW391" s="14">
        <v>25.5</v>
      </c>
      <c r="AX391" s="14">
        <v>185000.0</v>
      </c>
      <c r="AY391" s="14">
        <v>0.6</v>
      </c>
      <c r="AZ391" s="14">
        <v>0.007</v>
      </c>
      <c r="BA391" s="14">
        <f t="shared" si="1"/>
        <v>26.107</v>
      </c>
    </row>
    <row r="392" ht="14.25" customHeight="1">
      <c r="A392" s="10" t="s">
        <v>587</v>
      </c>
      <c r="B392" s="12" t="s">
        <v>95</v>
      </c>
      <c r="C392" s="12"/>
      <c r="D392" s="12"/>
      <c r="E392" s="44">
        <v>44401.0</v>
      </c>
      <c r="F392" s="29">
        <v>1.0</v>
      </c>
      <c r="G392" s="12" t="s">
        <v>588</v>
      </c>
      <c r="H392" s="45">
        <v>0.25</v>
      </c>
      <c r="I392" s="45">
        <v>0.33333333333212</v>
      </c>
      <c r="J392" s="12">
        <v>0.43</v>
      </c>
      <c r="K392" s="12">
        <v>0.05</v>
      </c>
      <c r="L392" s="14">
        <v>2.752</v>
      </c>
      <c r="M392" s="14">
        <v>2.317</v>
      </c>
      <c r="N392" s="14">
        <v>2.74</v>
      </c>
      <c r="O392" s="14">
        <v>2.697</v>
      </c>
      <c r="P392" s="14">
        <v>3.023</v>
      </c>
      <c r="Q392" s="14">
        <v>2.7058</v>
      </c>
      <c r="R392" s="20">
        <v>7.55</v>
      </c>
      <c r="S392" s="20">
        <v>7.61</v>
      </c>
      <c r="T392" s="20">
        <v>7.61</v>
      </c>
      <c r="U392" s="20">
        <v>7.68</v>
      </c>
      <c r="V392" s="20">
        <v>7.76</v>
      </c>
      <c r="W392" s="14">
        <v>7.642</v>
      </c>
      <c r="X392" s="14">
        <v>13.2</v>
      </c>
      <c r="Y392" s="14">
        <v>13.5</v>
      </c>
      <c r="Z392" s="14">
        <v>13.5</v>
      </c>
      <c r="AA392" s="14">
        <v>13.4</v>
      </c>
      <c r="AB392" s="14">
        <v>13.6</v>
      </c>
      <c r="AC392" s="14">
        <v>13.440000000000001</v>
      </c>
      <c r="AD392" s="20">
        <v>123.0</v>
      </c>
      <c r="AE392" s="20">
        <v>118.0</v>
      </c>
      <c r="AF392" s="20">
        <v>115.0</v>
      </c>
      <c r="AG392" s="20">
        <v>123.0</v>
      </c>
      <c r="AH392" s="20">
        <v>148.0</v>
      </c>
      <c r="AI392" s="14">
        <v>125.4</v>
      </c>
      <c r="AJ392" s="14">
        <v>5.75</v>
      </c>
      <c r="AK392" s="14">
        <v>5.95</v>
      </c>
      <c r="AL392" s="14">
        <v>5.84</v>
      </c>
      <c r="AM392" s="14">
        <v>5.73</v>
      </c>
      <c r="AN392" s="14">
        <v>5.7</v>
      </c>
      <c r="AO392" s="14">
        <v>5.794</v>
      </c>
      <c r="AP392" s="14">
        <v>12.0</v>
      </c>
      <c r="AQ392" s="14">
        <v>28.0</v>
      </c>
      <c r="AR392" s="14">
        <v>8.0</v>
      </c>
      <c r="AS392" s="14">
        <v>1.2</v>
      </c>
      <c r="AT392" s="14">
        <v>0.16</v>
      </c>
      <c r="AU392" s="14">
        <v>193500.0</v>
      </c>
      <c r="AV392" s="14">
        <v>0.81</v>
      </c>
      <c r="AW392" s="14">
        <v>7.3</v>
      </c>
      <c r="AX392" s="14">
        <v>15970.0</v>
      </c>
      <c r="AY392" s="14">
        <v>0.9</v>
      </c>
      <c r="AZ392" s="14">
        <v>0.065</v>
      </c>
      <c r="BA392" s="14">
        <f t="shared" si="1"/>
        <v>8.265</v>
      </c>
    </row>
    <row r="393" ht="14.25" customHeight="1">
      <c r="A393" s="10" t="s">
        <v>589</v>
      </c>
      <c r="B393" s="12" t="s">
        <v>87</v>
      </c>
      <c r="C393" s="12"/>
      <c r="D393" s="12"/>
      <c r="E393" s="44">
        <v>44406.0</v>
      </c>
      <c r="F393" s="29">
        <v>1.0</v>
      </c>
      <c r="G393" s="12" t="s">
        <v>590</v>
      </c>
      <c r="H393" s="45">
        <v>0.666666666667879</v>
      </c>
      <c r="I393" s="45">
        <v>0.75</v>
      </c>
      <c r="J393" s="12">
        <v>8.78</v>
      </c>
      <c r="K393" s="12">
        <v>0.6</v>
      </c>
      <c r="L393" s="14">
        <v>450.0</v>
      </c>
      <c r="M393" s="14">
        <v>398.0</v>
      </c>
      <c r="N393" s="14">
        <v>382.0</v>
      </c>
      <c r="O393" s="14">
        <v>393.0</v>
      </c>
      <c r="P393" s="14">
        <v>371.0</v>
      </c>
      <c r="Q393" s="14">
        <v>398.8</v>
      </c>
      <c r="R393" s="20">
        <v>7.52</v>
      </c>
      <c r="S393" s="20">
        <v>7.4</v>
      </c>
      <c r="T393" s="20">
        <v>7.43</v>
      </c>
      <c r="U393" s="20">
        <v>7.42</v>
      </c>
      <c r="V393" s="20">
        <v>7.39</v>
      </c>
      <c r="W393" s="14">
        <v>7.432</v>
      </c>
      <c r="X393" s="14">
        <v>17.4</v>
      </c>
      <c r="Y393" s="14">
        <v>17.0</v>
      </c>
      <c r="Z393" s="14">
        <v>17.5</v>
      </c>
      <c r="AA393" s="14">
        <v>18.2</v>
      </c>
      <c r="AB393" s="14">
        <v>18.3</v>
      </c>
      <c r="AC393" s="14">
        <v>17.68</v>
      </c>
      <c r="AD393" s="20">
        <v>245.0</v>
      </c>
      <c r="AE393" s="20">
        <v>249.0</v>
      </c>
      <c r="AF393" s="20">
        <v>263.0</v>
      </c>
      <c r="AG393" s="20">
        <v>250.0</v>
      </c>
      <c r="AH393" s="20">
        <v>246.0</v>
      </c>
      <c r="AI393" s="14">
        <v>250.6</v>
      </c>
      <c r="AJ393" s="14">
        <v>2.43</v>
      </c>
      <c r="AK393" s="14">
        <v>1.35</v>
      </c>
      <c r="AL393" s="14">
        <v>1.37</v>
      </c>
      <c r="AM393" s="14">
        <v>1.24</v>
      </c>
      <c r="AN393" s="14">
        <v>1.18</v>
      </c>
      <c r="AO393" s="14">
        <v>1.514</v>
      </c>
      <c r="AP393" s="14">
        <v>62.0</v>
      </c>
      <c r="AQ393" s="14">
        <v>104.0</v>
      </c>
      <c r="AR393" s="14">
        <v>112.0</v>
      </c>
      <c r="AS393" s="14">
        <v>22.0</v>
      </c>
      <c r="AT393" s="14">
        <v>2.28</v>
      </c>
      <c r="AU393" s="14">
        <v>1134000.0</v>
      </c>
      <c r="AV393" s="14">
        <v>1.89</v>
      </c>
      <c r="AW393" s="14">
        <v>18.2</v>
      </c>
      <c r="AX393" s="14">
        <v>83300.0</v>
      </c>
      <c r="AY393" s="14">
        <v>0.5</v>
      </c>
      <c r="AZ393" s="14">
        <v>0.007</v>
      </c>
      <c r="BA393" s="14">
        <f t="shared" si="1"/>
        <v>18.707</v>
      </c>
    </row>
    <row r="394" ht="14.25" customHeight="1">
      <c r="A394" s="10" t="s">
        <v>591</v>
      </c>
      <c r="B394" s="12" t="s">
        <v>55</v>
      </c>
      <c r="C394" s="12"/>
      <c r="D394" s="12"/>
      <c r="E394" s="44">
        <v>44411.0</v>
      </c>
      <c r="F394" s="29">
        <v>1.0</v>
      </c>
      <c r="G394" s="12" t="s">
        <v>592</v>
      </c>
      <c r="H394" s="45">
        <v>0.666666666667879</v>
      </c>
      <c r="I394" s="45">
        <v>0.75</v>
      </c>
      <c r="J394" s="12">
        <v>3.0</v>
      </c>
      <c r="K394" s="12">
        <v>0.19</v>
      </c>
      <c r="L394" s="14">
        <v>129.631</v>
      </c>
      <c r="M394" s="14">
        <v>134.963</v>
      </c>
      <c r="N394" s="14">
        <v>132.775</v>
      </c>
      <c r="O394" s="14">
        <v>126.023</v>
      </c>
      <c r="P394" s="14">
        <v>131.01</v>
      </c>
      <c r="Q394" s="14">
        <v>130.8804</v>
      </c>
      <c r="R394" s="20">
        <v>7.89</v>
      </c>
      <c r="S394" s="20">
        <v>7.85</v>
      </c>
      <c r="T394" s="20">
        <v>7.82</v>
      </c>
      <c r="U394" s="20">
        <v>7.08</v>
      </c>
      <c r="V394" s="20">
        <v>7.84</v>
      </c>
      <c r="W394" s="14">
        <v>7.696000000000001</v>
      </c>
      <c r="X394" s="14">
        <v>13.7</v>
      </c>
      <c r="Y394" s="14">
        <v>13.1</v>
      </c>
      <c r="Z394" s="14">
        <v>12.8</v>
      </c>
      <c r="AA394" s="14">
        <v>12.8</v>
      </c>
      <c r="AB394" s="14">
        <v>12.9</v>
      </c>
      <c r="AC394" s="14">
        <v>13.059999999999999</v>
      </c>
      <c r="AD394" s="20">
        <v>564.0</v>
      </c>
      <c r="AE394" s="20">
        <v>524.0</v>
      </c>
      <c r="AF394" s="20">
        <v>538.0</v>
      </c>
      <c r="AG394" s="20">
        <v>536.0</v>
      </c>
      <c r="AH394" s="20">
        <v>510.0</v>
      </c>
      <c r="AI394" s="14">
        <v>534.4</v>
      </c>
      <c r="AJ394" s="14">
        <v>3.3</v>
      </c>
      <c r="AK394" s="14">
        <v>2.6</v>
      </c>
      <c r="AL394" s="14">
        <v>2.73</v>
      </c>
      <c r="AM394" s="14">
        <v>2.8</v>
      </c>
      <c r="AN394" s="14">
        <v>3.24</v>
      </c>
      <c r="AO394" s="14">
        <v>2.934</v>
      </c>
      <c r="AP394" s="14">
        <v>126.0</v>
      </c>
      <c r="AQ394" s="14">
        <v>210.0</v>
      </c>
      <c r="AR394" s="14">
        <v>275.0</v>
      </c>
      <c r="AS394" s="14">
        <v>42.0</v>
      </c>
      <c r="AT394" s="14">
        <v>6.62</v>
      </c>
      <c r="AU394" s="14">
        <v>8.05E7</v>
      </c>
      <c r="AV394" s="14">
        <v>3.64</v>
      </c>
      <c r="AW394" s="14">
        <v>27.4</v>
      </c>
      <c r="AX394" s="14">
        <v>6.57E7</v>
      </c>
      <c r="AY394" s="14">
        <v>0.8</v>
      </c>
      <c r="AZ394" s="14">
        <v>0.007</v>
      </c>
      <c r="BA394" s="14">
        <f t="shared" si="1"/>
        <v>28.207</v>
      </c>
    </row>
    <row r="395" ht="14.25" customHeight="1">
      <c r="A395" s="10" t="s">
        <v>593</v>
      </c>
      <c r="B395" s="12" t="s">
        <v>59</v>
      </c>
      <c r="C395" s="12"/>
      <c r="D395" s="12"/>
      <c r="E395" s="44">
        <v>44411.0</v>
      </c>
      <c r="F395" s="29">
        <v>1.0</v>
      </c>
      <c r="G395" s="12" t="s">
        <v>594</v>
      </c>
      <c r="H395" s="45">
        <v>0.5</v>
      </c>
      <c r="I395" s="45">
        <v>0.58333333333212</v>
      </c>
      <c r="J395" s="12">
        <v>2.0</v>
      </c>
      <c r="K395" s="12">
        <v>0.2</v>
      </c>
      <c r="L395" s="14">
        <v>80.831</v>
      </c>
      <c r="M395" s="14">
        <v>81.185</v>
      </c>
      <c r="N395" s="14">
        <v>92.866</v>
      </c>
      <c r="O395" s="14">
        <v>91.328</v>
      </c>
      <c r="P395" s="14">
        <v>90.345</v>
      </c>
      <c r="Q395" s="14">
        <v>87.311</v>
      </c>
      <c r="R395" s="20">
        <v>8.04</v>
      </c>
      <c r="S395" s="20">
        <v>8.08</v>
      </c>
      <c r="T395" s="20">
        <v>8.06</v>
      </c>
      <c r="U395" s="20">
        <v>8.04</v>
      </c>
      <c r="V395" s="20">
        <v>8.02</v>
      </c>
      <c r="W395" s="14">
        <v>8.047999999999998</v>
      </c>
      <c r="X395" s="14">
        <v>15.9</v>
      </c>
      <c r="Y395" s="14">
        <v>15.2</v>
      </c>
      <c r="Z395" s="14">
        <v>14.7</v>
      </c>
      <c r="AA395" s="14">
        <v>14.2</v>
      </c>
      <c r="AB395" s="14">
        <v>14.0</v>
      </c>
      <c r="AC395" s="14">
        <v>14.8</v>
      </c>
      <c r="AD395" s="20">
        <v>496.0</v>
      </c>
      <c r="AE395" s="20">
        <v>492.0</v>
      </c>
      <c r="AF395" s="20">
        <v>483.0</v>
      </c>
      <c r="AG395" s="20">
        <v>464.0</v>
      </c>
      <c r="AH395" s="20">
        <v>472.0</v>
      </c>
      <c r="AI395" s="14">
        <v>481.4</v>
      </c>
      <c r="AJ395" s="14">
        <v>4.9</v>
      </c>
      <c r="AK395" s="14">
        <v>4.48</v>
      </c>
      <c r="AL395" s="14">
        <v>5.02</v>
      </c>
      <c r="AM395" s="14">
        <v>4.63</v>
      </c>
      <c r="AN395" s="14">
        <v>4.14</v>
      </c>
      <c r="AO395" s="14">
        <v>4.634</v>
      </c>
      <c r="AP395" s="14">
        <v>98.0</v>
      </c>
      <c r="AQ395" s="14">
        <v>153.0</v>
      </c>
      <c r="AR395" s="14">
        <v>150.0</v>
      </c>
      <c r="AS395" s="14">
        <v>14.1</v>
      </c>
      <c r="AT395" s="14">
        <v>1.42</v>
      </c>
      <c r="AU395" s="14">
        <v>1.137E8</v>
      </c>
      <c r="AV395" s="14">
        <v>3.48</v>
      </c>
      <c r="AW395" s="14">
        <v>21.8</v>
      </c>
      <c r="AX395" s="14">
        <v>6.97E7</v>
      </c>
      <c r="AY395" s="14">
        <v>0.8</v>
      </c>
      <c r="AZ395" s="14">
        <v>0.007</v>
      </c>
      <c r="BA395" s="14">
        <f t="shared" si="1"/>
        <v>22.607</v>
      </c>
    </row>
    <row r="396" ht="14.25" customHeight="1">
      <c r="A396" s="10" t="s">
        <v>595</v>
      </c>
      <c r="B396" s="12" t="s">
        <v>53</v>
      </c>
      <c r="C396" s="12"/>
      <c r="D396" s="12"/>
      <c r="E396" s="44">
        <v>44411.0</v>
      </c>
      <c r="F396" s="29">
        <v>1.0</v>
      </c>
      <c r="G396" s="12" t="s">
        <v>596</v>
      </c>
      <c r="H396" s="45">
        <v>0.666666666667879</v>
      </c>
      <c r="I396" s="45">
        <v>0.75</v>
      </c>
      <c r="J396" s="12">
        <v>2.0</v>
      </c>
      <c r="K396" s="12">
        <v>0.09</v>
      </c>
      <c r="L396" s="14">
        <v>41.262</v>
      </c>
      <c r="M396" s="14">
        <v>49.112</v>
      </c>
      <c r="N396" s="14">
        <v>47.849</v>
      </c>
      <c r="O396" s="14">
        <v>46.061</v>
      </c>
      <c r="P396" s="14">
        <v>41.219</v>
      </c>
      <c r="Q396" s="14">
        <v>45.1006</v>
      </c>
      <c r="R396" s="20">
        <v>7.77</v>
      </c>
      <c r="S396" s="20">
        <v>7.78</v>
      </c>
      <c r="T396" s="20">
        <v>7.46</v>
      </c>
      <c r="U396" s="20">
        <v>7.59</v>
      </c>
      <c r="V396" s="20">
        <v>7.62</v>
      </c>
      <c r="W396" s="14">
        <v>7.644</v>
      </c>
      <c r="X396" s="14">
        <v>14.2</v>
      </c>
      <c r="Y396" s="14">
        <v>14.1</v>
      </c>
      <c r="Z396" s="14">
        <v>13.9</v>
      </c>
      <c r="AA396" s="14">
        <v>13.9</v>
      </c>
      <c r="AB396" s="14">
        <v>13.9</v>
      </c>
      <c r="AC396" s="14">
        <v>14.0</v>
      </c>
      <c r="AD396" s="20">
        <v>256.0</v>
      </c>
      <c r="AE396" s="20">
        <v>248.0</v>
      </c>
      <c r="AF396" s="20">
        <v>239.0</v>
      </c>
      <c r="AG396" s="20">
        <v>241.0</v>
      </c>
      <c r="AH396" s="20">
        <v>230.0</v>
      </c>
      <c r="AI396" s="14">
        <v>242.8</v>
      </c>
      <c r="AJ396" s="14">
        <v>3.13</v>
      </c>
      <c r="AK396" s="14">
        <v>3.07</v>
      </c>
      <c r="AL396" s="14">
        <v>3.13</v>
      </c>
      <c r="AM396" s="14">
        <v>3.2</v>
      </c>
      <c r="AN396" s="14">
        <v>3.3</v>
      </c>
      <c r="AO396" s="14">
        <v>3.1659999999999995</v>
      </c>
      <c r="AP396" s="14">
        <v>30.0</v>
      </c>
      <c r="AQ396" s="14">
        <v>52.0</v>
      </c>
      <c r="AR396" s="14">
        <v>43.0</v>
      </c>
      <c r="AS396" s="14">
        <v>1.2</v>
      </c>
      <c r="AT396" s="14">
        <v>0.27</v>
      </c>
      <c r="AU396" s="14">
        <v>1.043E7</v>
      </c>
      <c r="AV396" s="14">
        <v>1.24</v>
      </c>
      <c r="AW396" s="14">
        <v>11.5</v>
      </c>
      <c r="AX396" s="14">
        <v>9590000.0</v>
      </c>
      <c r="AY396" s="14">
        <v>2.0</v>
      </c>
      <c r="AZ396" s="14">
        <v>0.07</v>
      </c>
      <c r="BA396" s="14">
        <f t="shared" si="1"/>
        <v>13.57</v>
      </c>
    </row>
    <row r="397" ht="14.25" customHeight="1">
      <c r="A397" s="10" t="s">
        <v>597</v>
      </c>
      <c r="B397" s="12" t="s">
        <v>70</v>
      </c>
      <c r="C397" s="12"/>
      <c r="D397" s="12"/>
      <c r="E397" s="44">
        <v>44406.0</v>
      </c>
      <c r="F397" s="29">
        <v>1.0</v>
      </c>
      <c r="G397" s="12" t="s">
        <v>598</v>
      </c>
      <c r="H397" s="45">
        <v>0.5</v>
      </c>
      <c r="I397" s="45">
        <v>0.58333333333212</v>
      </c>
      <c r="J397" s="12">
        <v>10.7</v>
      </c>
      <c r="K397" s="12">
        <v>0.13</v>
      </c>
      <c r="L397" s="14">
        <v>283.074</v>
      </c>
      <c r="M397" s="14">
        <v>268.326</v>
      </c>
      <c r="N397" s="14">
        <v>271.186</v>
      </c>
      <c r="O397" s="14">
        <v>276.131</v>
      </c>
      <c r="P397" s="14">
        <v>292.162</v>
      </c>
      <c r="Q397" s="14">
        <v>278.17580000000004</v>
      </c>
      <c r="R397" s="20">
        <v>7.82</v>
      </c>
      <c r="S397" s="20">
        <v>7.8</v>
      </c>
      <c r="T397" s="20">
        <v>7.78</v>
      </c>
      <c r="U397" s="20">
        <v>7.8</v>
      </c>
      <c r="V397" s="20">
        <v>7.81</v>
      </c>
      <c r="W397" s="14">
        <v>7.802000000000001</v>
      </c>
      <c r="X397" s="14">
        <v>16.2</v>
      </c>
      <c r="Y397" s="14">
        <v>16.2</v>
      </c>
      <c r="Z397" s="14">
        <v>17.5</v>
      </c>
      <c r="AA397" s="14">
        <v>19.5</v>
      </c>
      <c r="AB397" s="14">
        <v>19.3</v>
      </c>
      <c r="AC397" s="14">
        <v>17.740000000000002</v>
      </c>
      <c r="AD397" s="20">
        <v>230.0</v>
      </c>
      <c r="AE397" s="20">
        <v>226.0</v>
      </c>
      <c r="AF397" s="20">
        <v>234.0</v>
      </c>
      <c r="AG397" s="20">
        <v>252.0</v>
      </c>
      <c r="AH397" s="20">
        <v>266.0</v>
      </c>
      <c r="AI397" s="14">
        <v>241.6</v>
      </c>
      <c r="AJ397" s="14">
        <v>2.12</v>
      </c>
      <c r="AK397" s="14">
        <v>1.58</v>
      </c>
      <c r="AL397" s="14">
        <v>1.83</v>
      </c>
      <c r="AM397" s="14">
        <v>1.5</v>
      </c>
      <c r="AN397" s="14">
        <v>1.5</v>
      </c>
      <c r="AO397" s="14">
        <v>1.7060000000000002</v>
      </c>
      <c r="AP397" s="14">
        <v>55.0</v>
      </c>
      <c r="AQ397" s="14">
        <v>92.0</v>
      </c>
      <c r="AR397" s="14">
        <v>136.0</v>
      </c>
      <c r="AS397" s="14">
        <v>1.6</v>
      </c>
      <c r="AT397" s="14">
        <v>3.62</v>
      </c>
      <c r="AU397" s="14">
        <v>1401000.0</v>
      </c>
      <c r="AV397" s="14">
        <v>2.14</v>
      </c>
      <c r="AW397" s="14">
        <v>21.0</v>
      </c>
      <c r="AX397" s="14">
        <v>125000.0</v>
      </c>
      <c r="AY397" s="14">
        <v>1.1</v>
      </c>
      <c r="AZ397" s="14">
        <v>0.007</v>
      </c>
      <c r="BA397" s="14">
        <f t="shared" si="1"/>
        <v>22.107</v>
      </c>
    </row>
    <row r="398" ht="14.25" customHeight="1">
      <c r="A398" s="10" t="s">
        <v>599</v>
      </c>
      <c r="B398" s="12" t="s">
        <v>85</v>
      </c>
      <c r="C398" s="12"/>
      <c r="D398" s="12"/>
      <c r="E398" s="44">
        <v>44401.0</v>
      </c>
      <c r="F398" s="29">
        <v>1.0</v>
      </c>
      <c r="G398" s="12" t="s">
        <v>600</v>
      </c>
      <c r="H398" s="45">
        <v>0.25</v>
      </c>
      <c r="I398" s="45">
        <v>0.33333333333212</v>
      </c>
      <c r="J398" s="12">
        <v>4.4</v>
      </c>
      <c r="K398" s="12">
        <v>0.15</v>
      </c>
      <c r="L398" s="14">
        <v>76.07</v>
      </c>
      <c r="M398" s="14">
        <v>71.656</v>
      </c>
      <c r="N398" s="14">
        <v>83.385</v>
      </c>
      <c r="O398" s="14">
        <v>102.347</v>
      </c>
      <c r="P398" s="14">
        <v>105.261</v>
      </c>
      <c r="Q398" s="14">
        <v>87.7438</v>
      </c>
      <c r="R398" s="20">
        <v>7.32</v>
      </c>
      <c r="S398" s="20">
        <v>7.25</v>
      </c>
      <c r="T398" s="20">
        <v>7.22</v>
      </c>
      <c r="U398" s="20">
        <v>7.43</v>
      </c>
      <c r="V398" s="20">
        <v>7.62</v>
      </c>
      <c r="W398" s="14">
        <v>7.367999999999999</v>
      </c>
      <c r="X398" s="14">
        <v>16.3</v>
      </c>
      <c r="Y398" s="14">
        <v>16.3</v>
      </c>
      <c r="Z398" s="14">
        <v>16.4</v>
      </c>
      <c r="AA398" s="14">
        <v>16.5</v>
      </c>
      <c r="AB398" s="14">
        <v>16.7</v>
      </c>
      <c r="AC398" s="14">
        <v>16.44</v>
      </c>
      <c r="AD398" s="20">
        <v>213.0</v>
      </c>
      <c r="AE398" s="20">
        <v>206.0</v>
      </c>
      <c r="AF398" s="20">
        <v>193.0</v>
      </c>
      <c r="AG398" s="20">
        <v>207.0</v>
      </c>
      <c r="AH398" s="20">
        <v>220.0</v>
      </c>
      <c r="AI398" s="14">
        <v>207.8</v>
      </c>
      <c r="AJ398" s="14">
        <v>1.9</v>
      </c>
      <c r="AK398" s="14">
        <v>2.03</v>
      </c>
      <c r="AL398" s="14">
        <v>1.97</v>
      </c>
      <c r="AM398" s="14">
        <v>1.7</v>
      </c>
      <c r="AN398" s="14">
        <v>1.95</v>
      </c>
      <c r="AO398" s="14">
        <v>1.9099999999999997</v>
      </c>
      <c r="AP398" s="14">
        <v>33.0</v>
      </c>
      <c r="AQ398" s="14">
        <v>84.0</v>
      </c>
      <c r="AR398" s="14">
        <v>32.0</v>
      </c>
      <c r="AS398" s="14">
        <v>19.0</v>
      </c>
      <c r="AT398" s="14">
        <v>1.05</v>
      </c>
      <c r="AU398" s="14">
        <v>9600000.0</v>
      </c>
      <c r="AV398" s="14">
        <v>1.45</v>
      </c>
      <c r="AW398" s="14">
        <v>13.7</v>
      </c>
      <c r="AX398" s="14">
        <v>146700.0</v>
      </c>
      <c r="AY398" s="14">
        <v>0.7</v>
      </c>
      <c r="AZ398" s="14">
        <v>0.007</v>
      </c>
      <c r="BA398" s="14">
        <f t="shared" si="1"/>
        <v>14.407</v>
      </c>
    </row>
    <row r="399" ht="14.25" customHeight="1">
      <c r="A399" s="10" t="s">
        <v>601</v>
      </c>
      <c r="B399" s="12" t="s">
        <v>57</v>
      </c>
      <c r="C399" s="12"/>
      <c r="D399" s="12"/>
      <c r="E399" s="44">
        <v>44411.0</v>
      </c>
      <c r="F399" s="29">
        <v>1.0</v>
      </c>
      <c r="G399" s="12" t="s">
        <v>602</v>
      </c>
      <c r="H399" s="45">
        <v>0.5</v>
      </c>
      <c r="I399" s="45">
        <v>0.58333333333212</v>
      </c>
      <c r="J399" s="12">
        <v>1.8</v>
      </c>
      <c r="K399" s="12">
        <v>0.27</v>
      </c>
      <c r="L399" s="14">
        <v>28.404</v>
      </c>
      <c r="M399" s="14">
        <v>31.576</v>
      </c>
      <c r="N399" s="14">
        <v>28.318</v>
      </c>
      <c r="O399" s="14">
        <v>31.578</v>
      </c>
      <c r="P399" s="14">
        <v>31.074</v>
      </c>
      <c r="Q399" s="14">
        <v>30.190000000000005</v>
      </c>
      <c r="R399" s="20">
        <v>7.54</v>
      </c>
      <c r="S399" s="20">
        <v>7.47</v>
      </c>
      <c r="T399" s="20">
        <v>7.5</v>
      </c>
      <c r="U399" s="20">
        <v>7.4</v>
      </c>
      <c r="V399" s="20">
        <v>7.32</v>
      </c>
      <c r="W399" s="14">
        <v>7.446</v>
      </c>
      <c r="X399" s="14">
        <v>14.9</v>
      </c>
      <c r="Y399" s="14">
        <v>14.5</v>
      </c>
      <c r="Z399" s="14">
        <v>14.0</v>
      </c>
      <c r="AA399" s="14">
        <v>13.7</v>
      </c>
      <c r="AB399" s="14">
        <v>13.5</v>
      </c>
      <c r="AC399" s="14">
        <v>14.12</v>
      </c>
      <c r="AD399" s="20">
        <v>181.1</v>
      </c>
      <c r="AE399" s="20">
        <v>161.1</v>
      </c>
      <c r="AF399" s="20">
        <v>150.6</v>
      </c>
      <c r="AG399" s="20">
        <v>154.0</v>
      </c>
      <c r="AH399" s="20">
        <v>145.3</v>
      </c>
      <c r="AI399" s="14">
        <v>158.42</v>
      </c>
      <c r="AJ399" s="14">
        <v>2.84</v>
      </c>
      <c r="AK399" s="14">
        <v>3.01</v>
      </c>
      <c r="AL399" s="14">
        <v>2.89</v>
      </c>
      <c r="AM399" s="14">
        <v>2.61</v>
      </c>
      <c r="AN399" s="14">
        <v>2.87</v>
      </c>
      <c r="AO399" s="14">
        <v>2.844</v>
      </c>
      <c r="AP399" s="14">
        <v>74.0</v>
      </c>
      <c r="AQ399" s="14">
        <v>371.0</v>
      </c>
      <c r="AR399" s="14">
        <v>37.0</v>
      </c>
      <c r="AS399" s="14">
        <v>1.2</v>
      </c>
      <c r="AT399" s="14">
        <v>0.11</v>
      </c>
      <c r="AU399" s="14">
        <v>1.178E8</v>
      </c>
      <c r="AV399" s="14">
        <v>0.62</v>
      </c>
      <c r="AW399" s="14">
        <v>7.0</v>
      </c>
      <c r="AX399" s="14">
        <v>1.076E8</v>
      </c>
      <c r="AY399" s="14">
        <v>0.8</v>
      </c>
      <c r="AZ399" s="14">
        <v>0.065</v>
      </c>
      <c r="BA399" s="14">
        <f t="shared" si="1"/>
        <v>7.865</v>
      </c>
    </row>
    <row r="400" ht="14.25" customHeight="1">
      <c r="A400" s="10" t="s">
        <v>603</v>
      </c>
      <c r="B400" s="12" t="s">
        <v>120</v>
      </c>
      <c r="C400" s="12"/>
      <c r="D400" s="12"/>
      <c r="E400" s="44">
        <v>44412.0</v>
      </c>
      <c r="F400" s="29">
        <v>1.0</v>
      </c>
      <c r="G400" s="12" t="s">
        <v>604</v>
      </c>
      <c r="H400" s="45">
        <v>0.5</v>
      </c>
      <c r="I400" s="45">
        <v>0.58333333333212</v>
      </c>
      <c r="J400" s="12">
        <v>3.6</v>
      </c>
      <c r="K400" s="12">
        <v>0.1</v>
      </c>
      <c r="L400" s="14">
        <v>7.956</v>
      </c>
      <c r="M400" s="14">
        <v>7.643</v>
      </c>
      <c r="N400" s="14">
        <v>7.495</v>
      </c>
      <c r="O400" s="14">
        <v>7.809</v>
      </c>
      <c r="P400" s="14">
        <v>7.788</v>
      </c>
      <c r="Q400" s="14">
        <v>7.738200000000001</v>
      </c>
      <c r="R400" s="20">
        <v>8.26</v>
      </c>
      <c r="S400" s="20">
        <v>8.6</v>
      </c>
      <c r="T400" s="20">
        <v>8.6</v>
      </c>
      <c r="U400" s="20">
        <v>8.59</v>
      </c>
      <c r="V400" s="20">
        <v>8.59</v>
      </c>
      <c r="W400" s="14">
        <v>8.528</v>
      </c>
      <c r="X400" s="14">
        <v>17.8</v>
      </c>
      <c r="Y400" s="14">
        <v>18.5</v>
      </c>
      <c r="Z400" s="14">
        <v>18.7</v>
      </c>
      <c r="AA400" s="14">
        <v>19.0</v>
      </c>
      <c r="AB400" s="14">
        <v>18.9</v>
      </c>
      <c r="AC400" s="14">
        <v>18.580000000000002</v>
      </c>
      <c r="AD400" s="20">
        <v>507.0</v>
      </c>
      <c r="AE400" s="20">
        <v>514.0</v>
      </c>
      <c r="AF400" s="20">
        <v>517.0</v>
      </c>
      <c r="AG400" s="20">
        <v>511.0</v>
      </c>
      <c r="AH400" s="20">
        <v>512.0</v>
      </c>
      <c r="AI400" s="14">
        <v>512.2</v>
      </c>
      <c r="AJ400" s="14">
        <v>0.77</v>
      </c>
      <c r="AK400" s="14">
        <v>1.15</v>
      </c>
      <c r="AL400" s="14">
        <v>1.16</v>
      </c>
      <c r="AM400" s="14">
        <v>1.22</v>
      </c>
      <c r="AN400" s="14">
        <v>1.22</v>
      </c>
      <c r="AO400" s="14">
        <v>1.1039999999999999</v>
      </c>
      <c r="AP400" s="14">
        <v>179.0</v>
      </c>
      <c r="AQ400" s="14">
        <v>308.0</v>
      </c>
      <c r="AR400" s="14">
        <v>47.0</v>
      </c>
      <c r="AS400" s="14">
        <v>3.6</v>
      </c>
      <c r="AT400" s="14">
        <v>4.46</v>
      </c>
      <c r="AU400" s="14">
        <v>9840000.0</v>
      </c>
      <c r="AV400" s="14">
        <v>4.29</v>
      </c>
      <c r="AW400" s="14">
        <v>35.0</v>
      </c>
      <c r="AX400" s="14">
        <v>6630000.0</v>
      </c>
      <c r="AY400" s="14">
        <v>0.7</v>
      </c>
      <c r="AZ400" s="14">
        <v>0.007</v>
      </c>
      <c r="BA400" s="14">
        <f t="shared" si="1"/>
        <v>35.707</v>
      </c>
    </row>
    <row r="401" ht="14.25" customHeight="1">
      <c r="A401" s="10" t="s">
        <v>605</v>
      </c>
      <c r="B401" s="12" t="s">
        <v>100</v>
      </c>
      <c r="C401" s="12"/>
      <c r="D401" s="12"/>
      <c r="E401" s="44">
        <v>44412.0</v>
      </c>
      <c r="F401" s="29">
        <v>1.0</v>
      </c>
      <c r="G401" s="12" t="s">
        <v>606</v>
      </c>
      <c r="H401" s="45">
        <v>0.58333333333212</v>
      </c>
      <c r="I401" s="45">
        <v>0.666666666667879</v>
      </c>
      <c r="J401" s="12">
        <v>1.6</v>
      </c>
      <c r="K401" s="12">
        <v>0.2</v>
      </c>
      <c r="L401" s="14">
        <v>98.181</v>
      </c>
      <c r="M401" s="14">
        <v>104.599</v>
      </c>
      <c r="N401" s="14">
        <v>95.65</v>
      </c>
      <c r="O401" s="14">
        <v>100.037</v>
      </c>
      <c r="P401" s="14">
        <v>102.415</v>
      </c>
      <c r="Q401" s="14">
        <v>100.1764</v>
      </c>
      <c r="R401" s="20">
        <v>7.49</v>
      </c>
      <c r="S401" s="20">
        <v>7.48</v>
      </c>
      <c r="T401" s="20">
        <v>7.5</v>
      </c>
      <c r="U401" s="20">
        <v>7.18</v>
      </c>
      <c r="V401" s="20">
        <v>7.18</v>
      </c>
      <c r="W401" s="14">
        <v>7.366</v>
      </c>
      <c r="X401" s="14">
        <v>14.6</v>
      </c>
      <c r="Y401" s="14">
        <v>14.5</v>
      </c>
      <c r="Z401" s="14">
        <v>14.4</v>
      </c>
      <c r="AA401" s="14">
        <v>14.1</v>
      </c>
      <c r="AB401" s="14">
        <v>14.1</v>
      </c>
      <c r="AC401" s="14">
        <v>14.34</v>
      </c>
      <c r="AD401" s="20">
        <v>323.0</v>
      </c>
      <c r="AE401" s="20">
        <v>304.0</v>
      </c>
      <c r="AF401" s="20">
        <v>246.0</v>
      </c>
      <c r="AG401" s="20">
        <v>283.0</v>
      </c>
      <c r="AH401" s="20">
        <v>283.0</v>
      </c>
      <c r="AI401" s="14">
        <v>287.8</v>
      </c>
      <c r="AJ401" s="14">
        <v>1.33</v>
      </c>
      <c r="AK401" s="14">
        <v>1.28</v>
      </c>
      <c r="AL401" s="14">
        <v>1.71</v>
      </c>
      <c r="AM401" s="14">
        <v>1.47</v>
      </c>
      <c r="AN401" s="14">
        <v>1.24</v>
      </c>
      <c r="AO401" s="14">
        <v>1.4060000000000001</v>
      </c>
      <c r="AP401" s="14">
        <v>13.0</v>
      </c>
      <c r="AQ401" s="14">
        <v>44.0</v>
      </c>
      <c r="AR401" s="14">
        <v>32.0</v>
      </c>
      <c r="AS401" s="14">
        <v>1.2</v>
      </c>
      <c r="AT401" s="14">
        <v>2.44</v>
      </c>
      <c r="AU401" s="14">
        <v>1042999.99</v>
      </c>
      <c r="AV401" s="14">
        <v>1.16</v>
      </c>
      <c r="AW401" s="14">
        <v>14.8</v>
      </c>
      <c r="AX401" s="14">
        <v>73300.0</v>
      </c>
      <c r="AY401" s="14">
        <v>0.1</v>
      </c>
      <c r="AZ401" s="14">
        <v>0.007</v>
      </c>
      <c r="BA401" s="14">
        <f t="shared" si="1"/>
        <v>14.907</v>
      </c>
    </row>
    <row r="402" ht="14.25" customHeight="1">
      <c r="A402" s="10" t="s">
        <v>607</v>
      </c>
      <c r="B402" s="12" t="s">
        <v>102</v>
      </c>
      <c r="C402" s="12"/>
      <c r="D402" s="12"/>
      <c r="E402" s="44">
        <v>44412.0</v>
      </c>
      <c r="F402" s="29">
        <v>1.0</v>
      </c>
      <c r="G402" s="12" t="s">
        <v>608</v>
      </c>
      <c r="H402" s="45">
        <v>0.416666666667879</v>
      </c>
      <c r="I402" s="45">
        <v>0.5</v>
      </c>
      <c r="J402" s="12">
        <v>0.8</v>
      </c>
      <c r="K402" s="12">
        <v>0.1</v>
      </c>
      <c r="L402" s="14">
        <v>74.741</v>
      </c>
      <c r="M402" s="14">
        <v>77.102</v>
      </c>
      <c r="N402" s="14">
        <v>77.006</v>
      </c>
      <c r="O402" s="14">
        <v>81.741</v>
      </c>
      <c r="P402" s="14">
        <v>81.94</v>
      </c>
      <c r="Q402" s="14">
        <v>78.506</v>
      </c>
      <c r="R402" s="20">
        <v>7.86</v>
      </c>
      <c r="S402" s="20">
        <v>8.08</v>
      </c>
      <c r="T402" s="20">
        <v>7.9</v>
      </c>
      <c r="U402" s="20">
        <v>7.9</v>
      </c>
      <c r="V402" s="20">
        <v>7.84</v>
      </c>
      <c r="W402" s="14">
        <v>7.9159999999999995</v>
      </c>
      <c r="X402" s="14">
        <v>12.1</v>
      </c>
      <c r="Y402" s="14">
        <v>13.5</v>
      </c>
      <c r="Z402" s="14">
        <v>13.9</v>
      </c>
      <c r="AA402" s="14">
        <v>12.6</v>
      </c>
      <c r="AB402" s="14">
        <v>12.3</v>
      </c>
      <c r="AC402" s="14">
        <v>12.88</v>
      </c>
      <c r="AD402" s="20">
        <v>210.0</v>
      </c>
      <c r="AE402" s="20">
        <v>217.0</v>
      </c>
      <c r="AF402" s="20">
        <v>230.0</v>
      </c>
      <c r="AG402" s="20">
        <v>217.0</v>
      </c>
      <c r="AH402" s="20">
        <v>224.0</v>
      </c>
      <c r="AI402" s="14">
        <v>219.6</v>
      </c>
      <c r="AJ402" s="14">
        <v>5.73</v>
      </c>
      <c r="AK402" s="14">
        <v>7.45</v>
      </c>
      <c r="AL402" s="14">
        <v>5.57</v>
      </c>
      <c r="AM402" s="14">
        <v>6.46</v>
      </c>
      <c r="AN402" s="14">
        <v>5.82</v>
      </c>
      <c r="AO402" s="14">
        <v>6.206</v>
      </c>
      <c r="AP402" s="14">
        <v>16.0</v>
      </c>
      <c r="AQ402" s="14">
        <v>34.0</v>
      </c>
      <c r="AR402" s="14">
        <v>61.0</v>
      </c>
      <c r="AS402" s="14">
        <v>1.2</v>
      </c>
      <c r="AT402" s="14">
        <v>0.18</v>
      </c>
      <c r="AU402" s="14">
        <v>1811000.0</v>
      </c>
      <c r="AV402" s="14">
        <v>0.96</v>
      </c>
      <c r="AW402" s="14">
        <v>11.5</v>
      </c>
      <c r="AX402" s="14">
        <v>844000.0</v>
      </c>
      <c r="AY402" s="14">
        <v>0.1</v>
      </c>
      <c r="AZ402" s="14">
        <v>0.059</v>
      </c>
      <c r="BA402" s="14">
        <f t="shared" si="1"/>
        <v>11.659</v>
      </c>
    </row>
    <row r="403" ht="14.25" customHeight="1">
      <c r="A403" s="10" t="s">
        <v>609</v>
      </c>
      <c r="B403" s="12" t="s">
        <v>116</v>
      </c>
      <c r="C403" s="12"/>
      <c r="D403" s="12"/>
      <c r="E403" s="44">
        <v>44413.0</v>
      </c>
      <c r="F403" s="29">
        <v>1.0</v>
      </c>
      <c r="G403" s="12" t="s">
        <v>610</v>
      </c>
      <c r="H403" s="45">
        <v>0.33333333333212</v>
      </c>
      <c r="I403" s="45">
        <v>0.416666666667879</v>
      </c>
      <c r="J403" s="12">
        <v>1.7</v>
      </c>
      <c r="K403" s="12">
        <v>0.11</v>
      </c>
      <c r="L403" s="14">
        <v>23.641</v>
      </c>
      <c r="M403" s="14">
        <v>21.882</v>
      </c>
      <c r="N403" s="14">
        <v>20.686</v>
      </c>
      <c r="O403" s="14">
        <v>18.999</v>
      </c>
      <c r="P403" s="14">
        <v>20.3</v>
      </c>
      <c r="Q403" s="14">
        <v>21.101599999999998</v>
      </c>
      <c r="R403" s="20">
        <v>7.65</v>
      </c>
      <c r="S403" s="20">
        <v>7.83</v>
      </c>
      <c r="T403" s="20">
        <v>8.1</v>
      </c>
      <c r="U403" s="20">
        <v>8.24</v>
      </c>
      <c r="V403" s="20">
        <v>8.34</v>
      </c>
      <c r="W403" s="14">
        <v>8.032</v>
      </c>
      <c r="X403" s="14">
        <v>15.4</v>
      </c>
      <c r="Y403" s="14">
        <v>16.5</v>
      </c>
      <c r="Z403" s="14">
        <v>17.8</v>
      </c>
      <c r="AA403" s="14">
        <v>19.0</v>
      </c>
      <c r="AB403" s="14">
        <v>18.9</v>
      </c>
      <c r="AC403" s="14">
        <v>17.52</v>
      </c>
      <c r="AD403" s="20">
        <v>290.0</v>
      </c>
      <c r="AE403" s="20">
        <v>280.0</v>
      </c>
      <c r="AF403" s="20">
        <v>277.0</v>
      </c>
      <c r="AG403" s="20">
        <v>278.0</v>
      </c>
      <c r="AH403" s="20">
        <v>281.0</v>
      </c>
      <c r="AI403" s="14">
        <v>281.2</v>
      </c>
      <c r="AJ403" s="14">
        <v>1.37</v>
      </c>
      <c r="AK403" s="14">
        <v>3.17</v>
      </c>
      <c r="AL403" s="14">
        <v>4.65</v>
      </c>
      <c r="AM403" s="14">
        <v>4.65</v>
      </c>
      <c r="AN403" s="14">
        <v>2.42</v>
      </c>
      <c r="AO403" s="14">
        <v>3.2520000000000002</v>
      </c>
      <c r="AP403" s="14">
        <v>17.0</v>
      </c>
      <c r="AQ403" s="14">
        <v>46.0</v>
      </c>
      <c r="AR403" s="14">
        <v>7.0</v>
      </c>
      <c r="AS403" s="14">
        <v>9.3</v>
      </c>
      <c r="AT403" s="14">
        <v>0.5</v>
      </c>
      <c r="AU403" s="14">
        <v>1145000.0</v>
      </c>
      <c r="AV403" s="14">
        <v>2.11</v>
      </c>
      <c r="AW403" s="14">
        <v>17.4</v>
      </c>
      <c r="AX403" s="14">
        <v>860000.0</v>
      </c>
      <c r="AY403" s="14">
        <v>0.1</v>
      </c>
      <c r="AZ403" s="14">
        <v>0.007</v>
      </c>
      <c r="BA403" s="14">
        <f t="shared" si="1"/>
        <v>17.507</v>
      </c>
    </row>
    <row r="404" ht="14.25" customHeight="1">
      <c r="A404" s="10" t="s">
        <v>611</v>
      </c>
      <c r="B404" s="12" t="s">
        <v>63</v>
      </c>
      <c r="C404" s="12"/>
      <c r="D404" s="12"/>
      <c r="E404" s="44">
        <v>44413.0</v>
      </c>
      <c r="F404" s="29">
        <v>1.0</v>
      </c>
      <c r="G404" s="12" t="s">
        <v>612</v>
      </c>
      <c r="H404" s="45">
        <v>0.5</v>
      </c>
      <c r="I404" s="45">
        <v>0.58333333333212</v>
      </c>
      <c r="J404" s="12">
        <v>7.0</v>
      </c>
      <c r="K404" s="12">
        <v>0.1</v>
      </c>
      <c r="L404" s="14">
        <v>320.007</v>
      </c>
      <c r="M404" s="14">
        <v>349.748</v>
      </c>
      <c r="N404" s="14">
        <v>345.624</v>
      </c>
      <c r="O404" s="14">
        <v>320.92</v>
      </c>
      <c r="P404" s="14">
        <v>267.713</v>
      </c>
      <c r="Q404" s="14">
        <v>320.8024</v>
      </c>
      <c r="R404" s="20">
        <v>8.07</v>
      </c>
      <c r="S404" s="20">
        <v>7.97</v>
      </c>
      <c r="T404" s="20">
        <v>8.0</v>
      </c>
      <c r="U404" s="20">
        <v>8.06</v>
      </c>
      <c r="V404" s="20">
        <v>8.07</v>
      </c>
      <c r="W404" s="14">
        <v>8.034</v>
      </c>
      <c r="X404" s="14">
        <v>18.8</v>
      </c>
      <c r="Y404" s="14">
        <v>18.7</v>
      </c>
      <c r="Z404" s="14">
        <v>19.3</v>
      </c>
      <c r="AA404" s="14">
        <v>21.6</v>
      </c>
      <c r="AB404" s="14">
        <v>22.1</v>
      </c>
      <c r="AC404" s="14">
        <v>20.1</v>
      </c>
      <c r="AD404" s="20">
        <v>533.0</v>
      </c>
      <c r="AE404" s="20">
        <v>569.0</v>
      </c>
      <c r="AF404" s="20">
        <v>443.0</v>
      </c>
      <c r="AG404" s="20">
        <v>375.0</v>
      </c>
      <c r="AH404" s="20">
        <v>281.0</v>
      </c>
      <c r="AI404" s="14">
        <v>440.2</v>
      </c>
      <c r="AJ404" s="14">
        <v>0.57</v>
      </c>
      <c r="AK404" s="14">
        <v>0.59</v>
      </c>
      <c r="AL404" s="14">
        <v>0.66</v>
      </c>
      <c r="AM404" s="14">
        <v>0.49</v>
      </c>
      <c r="AN404" s="14">
        <v>0.67</v>
      </c>
      <c r="AO404" s="14">
        <v>0.5959999999999999</v>
      </c>
      <c r="AP404" s="14">
        <v>199.0</v>
      </c>
      <c r="AQ404" s="14">
        <v>284.0</v>
      </c>
      <c r="AR404" s="14">
        <v>170.0</v>
      </c>
      <c r="AS404" s="14">
        <v>65.0</v>
      </c>
      <c r="AT404" s="14">
        <v>6.32</v>
      </c>
      <c r="AU404" s="14">
        <v>7230000.0</v>
      </c>
      <c r="AV404" s="14">
        <v>10.54</v>
      </c>
      <c r="AW404" s="14">
        <v>31.9</v>
      </c>
      <c r="AX404" s="14">
        <v>638000.0</v>
      </c>
      <c r="AY404" s="14">
        <v>0.1</v>
      </c>
      <c r="AZ404" s="14">
        <v>0.007</v>
      </c>
      <c r="BA404" s="14">
        <f t="shared" si="1"/>
        <v>32.007</v>
      </c>
    </row>
    <row r="405" ht="14.25" customHeight="1">
      <c r="A405" s="10" t="s">
        <v>613</v>
      </c>
      <c r="B405" s="12" t="s">
        <v>97</v>
      </c>
      <c r="C405" s="12"/>
      <c r="D405" s="12"/>
      <c r="E405" s="44">
        <v>44414.0</v>
      </c>
      <c r="F405" s="29">
        <v>1.0</v>
      </c>
      <c r="G405" s="12" t="s">
        <v>614</v>
      </c>
      <c r="H405" s="45">
        <v>0.5</v>
      </c>
      <c r="I405" s="45">
        <v>0.58333333333212</v>
      </c>
      <c r="J405" s="12">
        <v>2.2</v>
      </c>
      <c r="K405" s="12">
        <v>0.2</v>
      </c>
      <c r="L405" s="14">
        <v>132.778</v>
      </c>
      <c r="M405" s="14">
        <v>110.504</v>
      </c>
      <c r="N405" s="14">
        <v>149.335</v>
      </c>
      <c r="O405" s="14">
        <v>125.753</v>
      </c>
      <c r="P405" s="14">
        <v>148.673</v>
      </c>
      <c r="Q405" s="14">
        <v>133.4086</v>
      </c>
      <c r="R405" s="20">
        <v>7.86</v>
      </c>
      <c r="S405" s="20">
        <v>7.68</v>
      </c>
      <c r="T405" s="20">
        <v>7.9</v>
      </c>
      <c r="U405" s="20">
        <v>7.86</v>
      </c>
      <c r="V405" s="20">
        <v>7.87</v>
      </c>
      <c r="W405" s="14">
        <v>7.833999999999999</v>
      </c>
      <c r="X405" s="14">
        <v>19.1</v>
      </c>
      <c r="Y405" s="14">
        <v>19.1</v>
      </c>
      <c r="Z405" s="14">
        <v>19.3</v>
      </c>
      <c r="AA405" s="14">
        <v>19.4</v>
      </c>
      <c r="AB405" s="14">
        <v>18.5</v>
      </c>
      <c r="AC405" s="14">
        <v>19.080000000000002</v>
      </c>
      <c r="AD405" s="20">
        <v>282.0</v>
      </c>
      <c r="AE405" s="20">
        <v>291.0</v>
      </c>
      <c r="AF405" s="20">
        <v>293.0</v>
      </c>
      <c r="AG405" s="20">
        <v>285.0</v>
      </c>
      <c r="AH405" s="20">
        <v>286.0</v>
      </c>
      <c r="AI405" s="14">
        <v>287.4</v>
      </c>
      <c r="AJ405" s="14">
        <v>1.09</v>
      </c>
      <c r="AK405" s="14">
        <v>1.33</v>
      </c>
      <c r="AL405" s="14">
        <v>1.13</v>
      </c>
      <c r="AM405" s="14">
        <v>1.82</v>
      </c>
      <c r="AN405" s="14">
        <v>1.12</v>
      </c>
      <c r="AO405" s="14">
        <v>1.298</v>
      </c>
      <c r="AP405" s="14">
        <v>176.0</v>
      </c>
      <c r="AQ405" s="14">
        <v>252.0</v>
      </c>
      <c r="AR405" s="14">
        <v>252.0</v>
      </c>
      <c r="AS405" s="14">
        <v>62.0</v>
      </c>
      <c r="AT405" s="14">
        <v>6.74</v>
      </c>
      <c r="AU405" s="14">
        <v>1.78E7</v>
      </c>
      <c r="AV405" s="14">
        <v>3.46</v>
      </c>
      <c r="AW405" s="14">
        <v>33.9</v>
      </c>
      <c r="AX405" s="14">
        <v>1.439E7</v>
      </c>
      <c r="AY405" s="14">
        <v>0.6</v>
      </c>
      <c r="AZ405" s="14">
        <v>0.007</v>
      </c>
      <c r="BA405" s="14">
        <f t="shared" si="1"/>
        <v>34.507</v>
      </c>
    </row>
    <row r="406" ht="14.25" customHeight="1">
      <c r="A406" s="10" t="s">
        <v>615</v>
      </c>
      <c r="B406" s="12" t="s">
        <v>85</v>
      </c>
      <c r="C406" s="12"/>
      <c r="D406" s="12"/>
      <c r="E406" s="44">
        <v>44413.0</v>
      </c>
      <c r="F406" s="29">
        <v>1.0</v>
      </c>
      <c r="G406" s="12" t="s">
        <v>616</v>
      </c>
      <c r="H406" s="45">
        <v>0.33333333333212</v>
      </c>
      <c r="I406" s="45">
        <v>0.416666666667879</v>
      </c>
      <c r="J406" s="12">
        <v>5.6</v>
      </c>
      <c r="K406" s="12">
        <v>0.19</v>
      </c>
      <c r="L406" s="14">
        <v>170.612</v>
      </c>
      <c r="M406" s="14">
        <v>223.463</v>
      </c>
      <c r="N406" s="14">
        <v>264.954</v>
      </c>
      <c r="O406" s="14">
        <v>255.249</v>
      </c>
      <c r="P406" s="14">
        <v>275.392</v>
      </c>
      <c r="Q406" s="14">
        <v>237.93400000000003</v>
      </c>
      <c r="R406" s="20">
        <v>8.25</v>
      </c>
      <c r="S406" s="20">
        <v>7.56</v>
      </c>
      <c r="T406" s="20">
        <v>7.22</v>
      </c>
      <c r="U406" s="20">
        <v>7.81</v>
      </c>
      <c r="V406" s="20">
        <v>8.13</v>
      </c>
      <c r="W406" s="14">
        <v>7.794</v>
      </c>
      <c r="X406" s="14">
        <v>16.8</v>
      </c>
      <c r="Y406" s="14">
        <v>18.1</v>
      </c>
      <c r="Z406" s="14">
        <v>17.8</v>
      </c>
      <c r="AA406" s="14">
        <v>18.4</v>
      </c>
      <c r="AB406" s="14">
        <v>18.1</v>
      </c>
      <c r="AC406" s="14">
        <v>17.839999999999996</v>
      </c>
      <c r="AD406" s="20">
        <v>517.0</v>
      </c>
      <c r="AE406" s="20">
        <v>595.0</v>
      </c>
      <c r="AF406" s="20">
        <v>473.0</v>
      </c>
      <c r="AG406" s="20">
        <v>464.0</v>
      </c>
      <c r="AH406" s="20">
        <v>470.0</v>
      </c>
      <c r="AI406" s="14">
        <v>503.8</v>
      </c>
      <c r="AJ406" s="14">
        <v>0.99</v>
      </c>
      <c r="AK406" s="14">
        <v>0.48</v>
      </c>
      <c r="AL406" s="14">
        <v>0.3</v>
      </c>
      <c r="AM406" s="14">
        <v>0.48</v>
      </c>
      <c r="AN406" s="14">
        <v>0.57</v>
      </c>
      <c r="AO406" s="14">
        <v>0.564</v>
      </c>
      <c r="AP406" s="14">
        <v>206.0</v>
      </c>
      <c r="AQ406" s="14">
        <v>304.0</v>
      </c>
      <c r="AR406" s="14">
        <v>252.0</v>
      </c>
      <c r="AS406" s="14">
        <v>79.0</v>
      </c>
      <c r="AT406" s="14">
        <v>3.74</v>
      </c>
      <c r="AU406" s="14">
        <v>7940000.0</v>
      </c>
      <c r="AV406" s="14">
        <v>8.9</v>
      </c>
      <c r="AW406" s="14">
        <v>28.8</v>
      </c>
      <c r="AX406" s="14">
        <v>663000.0</v>
      </c>
      <c r="AY406" s="14">
        <v>0.1</v>
      </c>
      <c r="AZ406" s="14">
        <v>0.007</v>
      </c>
      <c r="BA406" s="14">
        <f t="shared" si="1"/>
        <v>28.907</v>
      </c>
    </row>
    <row r="407" ht="14.25" customHeight="1">
      <c r="A407" s="10" t="s">
        <v>617</v>
      </c>
      <c r="B407" s="12" t="s">
        <v>81</v>
      </c>
      <c r="C407" s="12"/>
      <c r="D407" s="12"/>
      <c r="E407" s="44">
        <v>44414.0</v>
      </c>
      <c r="F407" s="29">
        <v>1.0</v>
      </c>
      <c r="G407" s="12" t="s">
        <v>618</v>
      </c>
      <c r="H407" s="45">
        <v>0.33333333333212</v>
      </c>
      <c r="I407" s="45">
        <v>0.416666666667879</v>
      </c>
      <c r="J407" s="12">
        <v>3.2</v>
      </c>
      <c r="K407" s="12">
        <v>0.09</v>
      </c>
      <c r="L407" s="14">
        <v>64.674</v>
      </c>
      <c r="M407" s="14">
        <v>67.298</v>
      </c>
      <c r="N407" s="14">
        <v>67.313</v>
      </c>
      <c r="O407" s="14">
        <v>67.166</v>
      </c>
      <c r="P407" s="14">
        <v>68.422</v>
      </c>
      <c r="Q407" s="14">
        <v>66.97460000000001</v>
      </c>
      <c r="R407" s="20">
        <v>8.06</v>
      </c>
      <c r="S407" s="20">
        <v>8.28</v>
      </c>
      <c r="T407" s="20">
        <v>8.62</v>
      </c>
      <c r="U407" s="20">
        <v>8.95</v>
      </c>
      <c r="V407" s="20">
        <v>9.05</v>
      </c>
      <c r="W407" s="14">
        <v>8.591999999999999</v>
      </c>
      <c r="X407" s="14">
        <v>14.4</v>
      </c>
      <c r="Y407" s="14">
        <v>14.7</v>
      </c>
      <c r="Z407" s="14">
        <v>15.8</v>
      </c>
      <c r="AA407" s="14">
        <v>16.9</v>
      </c>
      <c r="AB407" s="14">
        <v>17.9</v>
      </c>
      <c r="AC407" s="14">
        <v>15.940000000000001</v>
      </c>
      <c r="AD407" s="20">
        <v>425.0</v>
      </c>
      <c r="AE407" s="20">
        <v>456.0</v>
      </c>
      <c r="AF407" s="20">
        <v>431.0</v>
      </c>
      <c r="AG407" s="20">
        <v>399.0</v>
      </c>
      <c r="AH407" s="20">
        <v>434.0</v>
      </c>
      <c r="AI407" s="14">
        <v>429.0</v>
      </c>
      <c r="AJ407" s="14">
        <v>5.27</v>
      </c>
      <c r="AK407" s="14">
        <v>6.9</v>
      </c>
      <c r="AL407" s="14">
        <v>9.92</v>
      </c>
      <c r="AM407" s="14">
        <v>12.09</v>
      </c>
      <c r="AN407" s="14">
        <v>12.23</v>
      </c>
      <c r="AO407" s="14">
        <v>9.282</v>
      </c>
      <c r="AP407" s="14">
        <v>2.0</v>
      </c>
      <c r="AQ407" s="14">
        <v>24.0</v>
      </c>
      <c r="AR407" s="14">
        <v>8.0</v>
      </c>
      <c r="AS407" s="14">
        <v>1.2</v>
      </c>
      <c r="AT407" s="14">
        <v>0.16</v>
      </c>
      <c r="AU407" s="14">
        <v>1.396E7</v>
      </c>
      <c r="AV407" s="14">
        <v>0.83</v>
      </c>
      <c r="AW407" s="14">
        <v>15.1</v>
      </c>
      <c r="AX407" s="14">
        <v>9870000.0</v>
      </c>
      <c r="AY407" s="14">
        <v>0.1</v>
      </c>
      <c r="AZ407" s="14">
        <v>0.052</v>
      </c>
      <c r="BA407" s="14">
        <f t="shared" si="1"/>
        <v>15.252</v>
      </c>
    </row>
    <row r="408" ht="14.25" customHeight="1">
      <c r="A408" s="10" t="s">
        <v>619</v>
      </c>
      <c r="B408" s="12" t="s">
        <v>95</v>
      </c>
      <c r="C408" s="12"/>
      <c r="D408" s="12"/>
      <c r="E408" s="44">
        <v>44414.0</v>
      </c>
      <c r="F408" s="29">
        <v>1.0</v>
      </c>
      <c r="G408" s="12" t="s">
        <v>620</v>
      </c>
      <c r="H408" s="45">
        <v>0.33333333333212</v>
      </c>
      <c r="I408" s="45">
        <v>0.416666666667879</v>
      </c>
      <c r="J408" s="12">
        <v>0.43</v>
      </c>
      <c r="K408" s="12">
        <v>0.05</v>
      </c>
      <c r="L408" s="14">
        <v>3.047</v>
      </c>
      <c r="M408" s="14">
        <v>3.576</v>
      </c>
      <c r="N408" s="14">
        <v>6.639</v>
      </c>
      <c r="O408" s="14">
        <v>3.78</v>
      </c>
      <c r="P408" s="14">
        <v>5.619</v>
      </c>
      <c r="Q408" s="14">
        <v>4.5322000000000005</v>
      </c>
      <c r="R408" s="20">
        <v>7.18</v>
      </c>
      <c r="S408" s="20">
        <v>7.94</v>
      </c>
      <c r="T408" s="20">
        <v>7.76</v>
      </c>
      <c r="U408" s="20">
        <v>7.63</v>
      </c>
      <c r="V408" s="20">
        <v>8.75</v>
      </c>
      <c r="W408" s="14">
        <v>7.852000000000001</v>
      </c>
      <c r="X408" s="14">
        <v>15.3</v>
      </c>
      <c r="Y408" s="14">
        <v>15.6</v>
      </c>
      <c r="Z408" s="14">
        <v>16.5</v>
      </c>
      <c r="AA408" s="14">
        <v>16.1</v>
      </c>
      <c r="AB408" s="14">
        <v>16.6</v>
      </c>
      <c r="AC408" s="14">
        <v>16.02</v>
      </c>
      <c r="AD408" s="20">
        <v>220.0</v>
      </c>
      <c r="AE408" s="20">
        <v>264.0</v>
      </c>
      <c r="AF408" s="20">
        <v>188.1</v>
      </c>
      <c r="AG408" s="20">
        <v>161.1</v>
      </c>
      <c r="AH408" s="20">
        <v>223.0</v>
      </c>
      <c r="AI408" s="14">
        <v>211.24</v>
      </c>
      <c r="AJ408" s="14">
        <v>2.66</v>
      </c>
      <c r="AK408" s="14">
        <v>2.16</v>
      </c>
      <c r="AL408" s="14">
        <v>2.08</v>
      </c>
      <c r="AM408" s="14">
        <v>2.47</v>
      </c>
      <c r="AN408" s="14">
        <v>2.43</v>
      </c>
      <c r="AO408" s="14">
        <v>2.3600000000000003</v>
      </c>
      <c r="AP408" s="14">
        <v>114.0</v>
      </c>
      <c r="AQ408" s="14">
        <v>172.0</v>
      </c>
      <c r="AR408" s="14">
        <v>93.0</v>
      </c>
      <c r="AS408" s="14">
        <v>59.0</v>
      </c>
      <c r="AT408" s="14">
        <v>3.54</v>
      </c>
      <c r="AU408" s="14">
        <v>1.785E7</v>
      </c>
      <c r="AV408" s="14">
        <v>2.3</v>
      </c>
      <c r="AW408" s="14">
        <v>18.2</v>
      </c>
      <c r="AX408" s="14">
        <v>1.523E7</v>
      </c>
      <c r="AY408" s="14">
        <v>0.4</v>
      </c>
      <c r="AZ408" s="14">
        <v>0.007</v>
      </c>
      <c r="BA408" s="14">
        <f t="shared" si="1"/>
        <v>18.607</v>
      </c>
    </row>
    <row r="409" ht="14.25" customHeight="1">
      <c r="A409" s="10" t="s">
        <v>621</v>
      </c>
      <c r="B409" s="12" t="s">
        <v>89</v>
      </c>
      <c r="C409" s="12"/>
      <c r="D409" s="12"/>
      <c r="E409" s="44">
        <v>44414.0</v>
      </c>
      <c r="F409" s="29">
        <v>1.0</v>
      </c>
      <c r="G409" s="12" t="s">
        <v>622</v>
      </c>
      <c r="H409" s="45">
        <v>0.5</v>
      </c>
      <c r="I409" s="45">
        <v>0.58333333333212</v>
      </c>
      <c r="J409" s="12">
        <v>3.8</v>
      </c>
      <c r="K409" s="12">
        <v>0.11</v>
      </c>
      <c r="L409" s="14">
        <v>45.149</v>
      </c>
      <c r="M409" s="14">
        <v>48.493</v>
      </c>
      <c r="N409" s="14">
        <v>48.541</v>
      </c>
      <c r="O409" s="14">
        <v>43.153</v>
      </c>
      <c r="P409" s="14">
        <v>45.321</v>
      </c>
      <c r="Q409" s="14">
        <v>46.1314</v>
      </c>
      <c r="R409" s="20">
        <v>8.73</v>
      </c>
      <c r="S409" s="20">
        <v>8.89</v>
      </c>
      <c r="T409" s="20">
        <v>8.96</v>
      </c>
      <c r="U409" s="20">
        <v>8.99</v>
      </c>
      <c r="V409" s="20">
        <v>9.03</v>
      </c>
      <c r="W409" s="14">
        <v>8.92</v>
      </c>
      <c r="X409" s="14">
        <v>17.9</v>
      </c>
      <c r="Y409" s="14">
        <v>19.5</v>
      </c>
      <c r="Z409" s="14">
        <v>20.4</v>
      </c>
      <c r="AA409" s="14">
        <v>20.8</v>
      </c>
      <c r="AB409" s="14">
        <v>20.4</v>
      </c>
      <c r="AC409" s="14">
        <v>19.8</v>
      </c>
      <c r="AD409" s="20">
        <v>262.0</v>
      </c>
      <c r="AE409" s="20">
        <v>326.0</v>
      </c>
      <c r="AF409" s="20">
        <v>295.0</v>
      </c>
      <c r="AG409" s="20">
        <v>370.0</v>
      </c>
      <c r="AH409" s="20">
        <v>283.0</v>
      </c>
      <c r="AI409" s="14">
        <v>307.2</v>
      </c>
      <c r="AJ409" s="14">
        <v>7.63</v>
      </c>
      <c r="AK409" s="14">
        <v>7.48</v>
      </c>
      <c r="AL409" s="14">
        <v>7.96</v>
      </c>
      <c r="AM409" s="14">
        <v>8.04</v>
      </c>
      <c r="AN409" s="14">
        <v>7.82</v>
      </c>
      <c r="AO409" s="14">
        <v>7.786</v>
      </c>
      <c r="AP409" s="14">
        <v>16.0</v>
      </c>
      <c r="AQ409" s="14">
        <v>34.0</v>
      </c>
      <c r="AR409" s="14">
        <v>13.0</v>
      </c>
      <c r="AS409" s="14">
        <v>2.9</v>
      </c>
      <c r="AT409" s="14">
        <v>0.18</v>
      </c>
      <c r="AU409" s="14">
        <v>1266000.0</v>
      </c>
      <c r="AV409" s="14">
        <v>1.0</v>
      </c>
      <c r="AW409" s="14">
        <v>17.9</v>
      </c>
      <c r="AX409" s="14">
        <v>990000.0</v>
      </c>
      <c r="AY409" s="14">
        <v>0.8</v>
      </c>
      <c r="AZ409" s="14">
        <v>0.296</v>
      </c>
      <c r="BA409" s="14">
        <f t="shared" si="1"/>
        <v>18.996</v>
      </c>
    </row>
    <row r="410" ht="14.25" customHeight="1">
      <c r="A410" s="10" t="s">
        <v>623</v>
      </c>
      <c r="B410" s="12" t="s">
        <v>114</v>
      </c>
      <c r="C410" s="12"/>
      <c r="D410" s="12"/>
      <c r="E410" s="44">
        <v>44414.0</v>
      </c>
      <c r="F410" s="29">
        <v>1.0</v>
      </c>
      <c r="G410" s="12" t="s">
        <v>624</v>
      </c>
      <c r="H410" s="45">
        <v>0.33333333333212</v>
      </c>
      <c r="I410" s="45">
        <v>0.416666666667879</v>
      </c>
      <c r="J410" s="12">
        <v>3.5</v>
      </c>
      <c r="K410" s="12">
        <v>0.08</v>
      </c>
      <c r="L410" s="14">
        <v>7.443</v>
      </c>
      <c r="M410" s="14">
        <v>9.885</v>
      </c>
      <c r="N410" s="14">
        <v>10.074</v>
      </c>
      <c r="O410" s="14">
        <v>9.076</v>
      </c>
      <c r="P410" s="14">
        <v>9.395</v>
      </c>
      <c r="Q410" s="14">
        <v>9.174600000000002</v>
      </c>
      <c r="R410" s="20">
        <v>7.31</v>
      </c>
      <c r="S410" s="20">
        <v>7.24</v>
      </c>
      <c r="T410" s="20">
        <v>7.29</v>
      </c>
      <c r="U410" s="20">
        <v>7.44</v>
      </c>
      <c r="V410" s="20">
        <v>7.41</v>
      </c>
      <c r="W410" s="14">
        <v>7.337999999999999</v>
      </c>
      <c r="X410" s="14">
        <v>15.6</v>
      </c>
      <c r="Y410" s="14">
        <v>15.7</v>
      </c>
      <c r="Z410" s="14">
        <v>16.0</v>
      </c>
      <c r="AA410" s="14">
        <v>16.5</v>
      </c>
      <c r="AB410" s="14">
        <v>17.5</v>
      </c>
      <c r="AC410" s="14">
        <v>16.259999999999998</v>
      </c>
      <c r="AD410" s="20">
        <v>234.0</v>
      </c>
      <c r="AE410" s="20">
        <v>229.0</v>
      </c>
      <c r="AF410" s="20">
        <v>234.0</v>
      </c>
      <c r="AG410" s="20">
        <v>207.0</v>
      </c>
      <c r="AH410" s="20">
        <v>189.0</v>
      </c>
      <c r="AI410" s="14">
        <v>218.6</v>
      </c>
      <c r="AJ410" s="14">
        <v>2.96</v>
      </c>
      <c r="AK410" s="14">
        <v>3.28</v>
      </c>
      <c r="AL410" s="14">
        <v>3.85</v>
      </c>
      <c r="AM410" s="14">
        <v>4.41</v>
      </c>
      <c r="AN410" s="14">
        <v>4.53</v>
      </c>
      <c r="AO410" s="14">
        <v>3.806</v>
      </c>
      <c r="AP410" s="14">
        <v>6.0</v>
      </c>
      <c r="AQ410" s="14">
        <v>18.0</v>
      </c>
      <c r="AR410" s="14">
        <v>6.0</v>
      </c>
      <c r="AS410" s="14">
        <v>1.2</v>
      </c>
      <c r="AT410" s="14">
        <v>0.13</v>
      </c>
      <c r="AU410" s="14">
        <v>119800.0</v>
      </c>
      <c r="AV410" s="14">
        <v>0.24</v>
      </c>
      <c r="AW410" s="14">
        <v>8.1</v>
      </c>
      <c r="AX410" s="14">
        <v>99000.0</v>
      </c>
      <c r="AY410" s="14">
        <v>0.7</v>
      </c>
      <c r="AZ410" s="14">
        <v>0.099</v>
      </c>
      <c r="BA410" s="14">
        <f t="shared" si="1"/>
        <v>8.899</v>
      </c>
    </row>
    <row r="411" ht="14.25" customHeight="1">
      <c r="A411" s="10" t="s">
        <v>625</v>
      </c>
      <c r="B411" s="12" t="s">
        <v>91</v>
      </c>
      <c r="C411" s="12"/>
      <c r="D411" s="12"/>
      <c r="E411" s="44">
        <v>44414.0</v>
      </c>
      <c r="F411" s="29">
        <v>1.0</v>
      </c>
      <c r="G411" s="12" t="s">
        <v>626</v>
      </c>
      <c r="H411" s="45">
        <v>0.666666666667879</v>
      </c>
      <c r="I411" s="45">
        <v>0.75</v>
      </c>
      <c r="J411" s="12">
        <v>6.3</v>
      </c>
      <c r="K411" s="12">
        <v>0.47</v>
      </c>
      <c r="L411" s="14">
        <v>641.639</v>
      </c>
      <c r="M411" s="14">
        <v>601.63</v>
      </c>
      <c r="N411" s="14">
        <v>614.436</v>
      </c>
      <c r="O411" s="14">
        <v>632.819</v>
      </c>
      <c r="P411" s="14">
        <v>629.96</v>
      </c>
      <c r="Q411" s="14">
        <v>624.0968</v>
      </c>
      <c r="R411" s="20">
        <v>7.56</v>
      </c>
      <c r="S411" s="20">
        <v>7.42</v>
      </c>
      <c r="T411" s="20">
        <v>7.44</v>
      </c>
      <c r="U411" s="20">
        <v>7.5</v>
      </c>
      <c r="V411" s="20">
        <v>7.48</v>
      </c>
      <c r="W411" s="14">
        <v>7.480000000000001</v>
      </c>
      <c r="X411" s="14">
        <v>16.0</v>
      </c>
      <c r="Y411" s="14">
        <v>15.8</v>
      </c>
      <c r="Z411" s="14">
        <v>16.3</v>
      </c>
      <c r="AA411" s="14">
        <v>15.9</v>
      </c>
      <c r="AB411" s="14">
        <v>16.0</v>
      </c>
      <c r="AC411" s="14">
        <v>16.0</v>
      </c>
      <c r="AD411" s="20">
        <v>473.0</v>
      </c>
      <c r="AE411" s="20">
        <v>423.0</v>
      </c>
      <c r="AF411" s="20">
        <v>451.0</v>
      </c>
      <c r="AG411" s="20">
        <v>450.0</v>
      </c>
      <c r="AH411" s="20">
        <v>465.0</v>
      </c>
      <c r="AI411" s="14">
        <v>452.4</v>
      </c>
      <c r="AJ411" s="14">
        <v>1.23</v>
      </c>
      <c r="AK411" s="14">
        <v>1.53</v>
      </c>
      <c r="AL411" s="14">
        <v>1.76</v>
      </c>
      <c r="AM411" s="14">
        <v>1.62</v>
      </c>
      <c r="AN411" s="14">
        <v>1.49</v>
      </c>
      <c r="AO411" s="14">
        <v>1.526</v>
      </c>
      <c r="AP411" s="14">
        <v>67.0</v>
      </c>
      <c r="AQ411" s="14">
        <v>104.0</v>
      </c>
      <c r="AR411" s="14">
        <v>11.0</v>
      </c>
      <c r="AS411" s="14">
        <v>1.2</v>
      </c>
      <c r="AT411" s="14">
        <v>2.59</v>
      </c>
      <c r="AU411" s="14">
        <v>1850000.0</v>
      </c>
      <c r="AV411" s="14">
        <v>2.03</v>
      </c>
      <c r="AW411" s="14">
        <v>19.6</v>
      </c>
      <c r="AX411" s="14">
        <v>161600.0</v>
      </c>
      <c r="AY411" s="14">
        <v>0.5</v>
      </c>
      <c r="AZ411" s="14">
        <v>0.007</v>
      </c>
      <c r="BA411" s="14">
        <f t="shared" si="1"/>
        <v>20.107</v>
      </c>
    </row>
    <row r="412" ht="14.25" customHeight="1">
      <c r="A412" s="10" t="s">
        <v>627</v>
      </c>
      <c r="B412" s="12" t="s">
        <v>129</v>
      </c>
      <c r="C412" s="12"/>
      <c r="D412" s="12"/>
      <c r="E412" s="44">
        <v>44413.0</v>
      </c>
      <c r="F412" s="29">
        <v>1.0</v>
      </c>
      <c r="G412" s="12" t="s">
        <v>628</v>
      </c>
      <c r="H412" s="45">
        <v>0.5</v>
      </c>
      <c r="I412" s="45">
        <v>0.58333333333212</v>
      </c>
      <c r="J412" s="12">
        <v>6.5</v>
      </c>
      <c r="K412" s="12">
        <v>0.21</v>
      </c>
      <c r="L412" s="14">
        <v>165.863</v>
      </c>
      <c r="M412" s="14">
        <v>136.248</v>
      </c>
      <c r="N412" s="14">
        <v>105.412</v>
      </c>
      <c r="O412" s="14">
        <v>131.43</v>
      </c>
      <c r="P412" s="14">
        <v>135.268</v>
      </c>
      <c r="Q412" s="14">
        <v>134.8442</v>
      </c>
      <c r="R412" s="20">
        <v>8.6</v>
      </c>
      <c r="S412" s="20">
        <v>8.43</v>
      </c>
      <c r="T412" s="20">
        <v>8.49</v>
      </c>
      <c r="U412" s="20">
        <v>8.37</v>
      </c>
      <c r="V412" s="20">
        <v>8.44</v>
      </c>
      <c r="W412" s="14">
        <v>8.466</v>
      </c>
      <c r="X412" s="14">
        <v>19.8</v>
      </c>
      <c r="Y412" s="14">
        <v>20.2</v>
      </c>
      <c r="Z412" s="14">
        <v>22.0</v>
      </c>
      <c r="AA412" s="14">
        <v>23.8</v>
      </c>
      <c r="AB412" s="14">
        <v>23.2</v>
      </c>
      <c r="AC412" s="14">
        <v>21.8</v>
      </c>
      <c r="AD412" s="20">
        <v>290.0</v>
      </c>
      <c r="AE412" s="20">
        <v>296.0</v>
      </c>
      <c r="AF412" s="20">
        <v>538.0</v>
      </c>
      <c r="AG412" s="20">
        <v>502.0</v>
      </c>
      <c r="AH412" s="20">
        <v>500.0</v>
      </c>
      <c r="AI412" s="14">
        <v>425.2</v>
      </c>
      <c r="AJ412" s="14">
        <v>1.89</v>
      </c>
      <c r="AK412" s="14">
        <v>2.26</v>
      </c>
      <c r="AL412" s="14">
        <v>1.76</v>
      </c>
      <c r="AM412" s="14">
        <v>1.65</v>
      </c>
      <c r="AN412" s="14">
        <v>1.91</v>
      </c>
      <c r="AO412" s="14">
        <v>1.8939999999999997</v>
      </c>
      <c r="AP412" s="14">
        <v>45.0</v>
      </c>
      <c r="AQ412" s="14">
        <v>100.0</v>
      </c>
      <c r="AR412" s="14">
        <v>27.0</v>
      </c>
      <c r="AS412" s="14">
        <v>23.7</v>
      </c>
      <c r="AT412" s="14">
        <v>3.2</v>
      </c>
      <c r="AU412" s="14">
        <v>1296000.0</v>
      </c>
      <c r="AV412" s="14">
        <v>3.61</v>
      </c>
      <c r="AW412" s="14">
        <v>31.4</v>
      </c>
      <c r="AX412" s="14">
        <v>488000.0</v>
      </c>
      <c r="AY412" s="14">
        <v>0.1</v>
      </c>
      <c r="AZ412" s="14">
        <v>0.007</v>
      </c>
      <c r="BA412" s="14">
        <f t="shared" si="1"/>
        <v>31.507</v>
      </c>
    </row>
    <row r="413" ht="14.25" customHeight="1">
      <c r="A413" s="10" t="s">
        <v>629</v>
      </c>
      <c r="B413" s="12" t="s">
        <v>77</v>
      </c>
      <c r="C413" s="12"/>
      <c r="D413" s="12"/>
      <c r="E413" s="44">
        <v>44406.0</v>
      </c>
      <c r="F413" s="29">
        <v>1.0</v>
      </c>
      <c r="G413" s="12" t="s">
        <v>630</v>
      </c>
      <c r="H413" s="45">
        <v>0.5</v>
      </c>
      <c r="I413" s="45">
        <v>0.58333333333212</v>
      </c>
      <c r="J413" s="12">
        <v>3.3</v>
      </c>
      <c r="K413" s="12">
        <v>0.15</v>
      </c>
      <c r="L413" s="14">
        <v>166.583</v>
      </c>
      <c r="M413" s="14">
        <v>164.963</v>
      </c>
      <c r="N413" s="14">
        <v>172.091</v>
      </c>
      <c r="O413" s="14">
        <v>178.997</v>
      </c>
      <c r="P413" s="14">
        <v>166.85</v>
      </c>
      <c r="Q413" s="14">
        <v>169.8968</v>
      </c>
      <c r="R413" s="20">
        <v>7.37</v>
      </c>
      <c r="S413" s="20">
        <v>7.36</v>
      </c>
      <c r="T413" s="20">
        <v>7.53</v>
      </c>
      <c r="U413" s="20">
        <v>7.55</v>
      </c>
      <c r="V413" s="20">
        <v>7.61</v>
      </c>
      <c r="W413" s="14">
        <v>7.484</v>
      </c>
      <c r="X413" s="14">
        <v>15.7</v>
      </c>
      <c r="Y413" s="14">
        <v>16.1</v>
      </c>
      <c r="Z413" s="14">
        <v>16.5</v>
      </c>
      <c r="AA413" s="14">
        <v>17.1</v>
      </c>
      <c r="AB413" s="14">
        <v>17.5</v>
      </c>
      <c r="AC413" s="14">
        <v>16.580000000000002</v>
      </c>
      <c r="AD413" s="20">
        <v>216.0</v>
      </c>
      <c r="AE413" s="20">
        <v>183.2</v>
      </c>
      <c r="AF413" s="20">
        <v>201.0</v>
      </c>
      <c r="AG413" s="20">
        <v>224.0</v>
      </c>
      <c r="AH413" s="20">
        <v>219.0</v>
      </c>
      <c r="AI413" s="14">
        <v>208.64000000000001</v>
      </c>
      <c r="AJ413" s="14">
        <v>3.04</v>
      </c>
      <c r="AK413" s="14">
        <v>4.09</v>
      </c>
      <c r="AL413" s="14">
        <v>3.56</v>
      </c>
      <c r="AM413" s="14">
        <v>3.3</v>
      </c>
      <c r="AN413" s="14">
        <v>3.53</v>
      </c>
      <c r="AO413" s="14">
        <v>3.504</v>
      </c>
      <c r="AP413" s="14">
        <v>57.0</v>
      </c>
      <c r="AQ413" s="14">
        <v>100.0</v>
      </c>
      <c r="AR413" s="14">
        <v>107.0</v>
      </c>
      <c r="AS413" s="14">
        <v>1.2</v>
      </c>
      <c r="AT413" s="14">
        <v>0.92</v>
      </c>
      <c r="AU413" s="14">
        <v>1092000.0</v>
      </c>
      <c r="AV413" s="14">
        <v>2.14</v>
      </c>
      <c r="AW413" s="14">
        <v>20.4</v>
      </c>
      <c r="AX413" s="14">
        <v>98500.0</v>
      </c>
      <c r="AY413" s="14">
        <v>0.4</v>
      </c>
      <c r="AZ413" s="14">
        <v>0.007</v>
      </c>
      <c r="BA413" s="14">
        <f t="shared" si="1"/>
        <v>20.807</v>
      </c>
    </row>
    <row r="414" ht="14.25" customHeight="1">
      <c r="A414" s="10" t="s">
        <v>631</v>
      </c>
      <c r="B414" s="12" t="s">
        <v>97</v>
      </c>
      <c r="C414" s="12"/>
      <c r="D414" s="12"/>
      <c r="E414" s="44">
        <v>44401.0</v>
      </c>
      <c r="F414" s="29">
        <v>1.0</v>
      </c>
      <c r="G414" s="12" t="s">
        <v>632</v>
      </c>
      <c r="H414" s="45">
        <v>0.416666666667879</v>
      </c>
      <c r="I414" s="45">
        <v>0.5</v>
      </c>
      <c r="J414" s="12">
        <v>2.4</v>
      </c>
      <c r="K414" s="12">
        <v>0.14</v>
      </c>
      <c r="L414" s="14">
        <v>133.274</v>
      </c>
      <c r="M414" s="14">
        <v>127.981</v>
      </c>
      <c r="N414" s="14">
        <v>134.835</v>
      </c>
      <c r="O414" s="14">
        <v>129.303</v>
      </c>
      <c r="P414" s="14">
        <v>129.449</v>
      </c>
      <c r="Q414" s="14">
        <v>130.96840000000003</v>
      </c>
      <c r="R414" s="20">
        <v>8.0</v>
      </c>
      <c r="S414" s="20">
        <v>7.99</v>
      </c>
      <c r="T414" s="20">
        <v>7.87</v>
      </c>
      <c r="U414" s="20">
        <v>7.75</v>
      </c>
      <c r="V414" s="20">
        <v>7.66</v>
      </c>
      <c r="W414" s="14">
        <v>7.853999999999999</v>
      </c>
      <c r="X414" s="14">
        <v>16.9</v>
      </c>
      <c r="Y414" s="14">
        <v>17.3</v>
      </c>
      <c r="Z414" s="14">
        <v>17.2</v>
      </c>
      <c r="AA414" s="14">
        <v>16.9</v>
      </c>
      <c r="AB414" s="14">
        <v>17.3</v>
      </c>
      <c r="AC414" s="14">
        <v>17.12</v>
      </c>
      <c r="AD414" s="20">
        <v>469.0</v>
      </c>
      <c r="AE414" s="20">
        <v>243.0</v>
      </c>
      <c r="AF414" s="20">
        <v>252.0</v>
      </c>
      <c r="AG414" s="20">
        <v>249.0</v>
      </c>
      <c r="AH414" s="20">
        <v>243.0</v>
      </c>
      <c r="AI414" s="14">
        <v>291.2</v>
      </c>
      <c r="AJ414" s="14">
        <v>1.34</v>
      </c>
      <c r="AK414" s="14">
        <v>1.61</v>
      </c>
      <c r="AL414" s="14">
        <v>1.44</v>
      </c>
      <c r="AM414" s="14">
        <v>1.52</v>
      </c>
      <c r="AN414" s="14">
        <v>1.65</v>
      </c>
      <c r="AO414" s="14">
        <v>1.512</v>
      </c>
      <c r="AP414" s="14">
        <v>159.0</v>
      </c>
      <c r="AQ414" s="14">
        <v>252.0</v>
      </c>
      <c r="AR414" s="14">
        <v>122.0</v>
      </c>
      <c r="AS414" s="14">
        <v>51.0</v>
      </c>
      <c r="AT414" s="14">
        <v>3.9</v>
      </c>
      <c r="AU414" s="14">
        <v>1.291E7</v>
      </c>
      <c r="AV414" s="14">
        <v>3.17</v>
      </c>
      <c r="AW414" s="14">
        <v>15.7</v>
      </c>
      <c r="AX414" s="14">
        <v>836000.0</v>
      </c>
      <c r="AY414" s="14">
        <v>0.8</v>
      </c>
      <c r="AZ414" s="14">
        <v>0.007</v>
      </c>
      <c r="BA414" s="14">
        <f t="shared" si="1"/>
        <v>16.507</v>
      </c>
    </row>
    <row r="415" ht="14.25" customHeight="1">
      <c r="A415" s="10" t="s">
        <v>633</v>
      </c>
      <c r="B415" s="12" t="s">
        <v>126</v>
      </c>
      <c r="C415" s="12"/>
      <c r="D415" s="12"/>
      <c r="E415" s="44">
        <v>44418.0</v>
      </c>
      <c r="F415" s="29">
        <v>1.0</v>
      </c>
      <c r="G415" s="12" t="s">
        <v>634</v>
      </c>
      <c r="H415" s="45">
        <v>0.33333333333212</v>
      </c>
      <c r="I415" s="45">
        <v>0.416666666667879</v>
      </c>
      <c r="J415" s="12">
        <v>0.9</v>
      </c>
      <c r="K415" s="12">
        <v>0.13</v>
      </c>
      <c r="L415" s="14">
        <v>27.031</v>
      </c>
      <c r="M415" s="14">
        <v>28.605</v>
      </c>
      <c r="N415" s="14">
        <v>26.9</v>
      </c>
      <c r="O415" s="14">
        <v>26.353</v>
      </c>
      <c r="P415" s="14">
        <v>25.731</v>
      </c>
      <c r="Q415" s="14">
        <v>26.924</v>
      </c>
      <c r="R415" s="20">
        <v>8.35</v>
      </c>
      <c r="S415" s="20">
        <v>8.45</v>
      </c>
      <c r="T415" s="20">
        <v>8.5</v>
      </c>
      <c r="U415" s="20">
        <v>8.51</v>
      </c>
      <c r="V415" s="20">
        <v>8.47</v>
      </c>
      <c r="W415" s="14">
        <v>8.456</v>
      </c>
      <c r="X415" s="14">
        <v>11.9</v>
      </c>
      <c r="Y415" s="14">
        <v>12.0</v>
      </c>
      <c r="Z415" s="14">
        <v>12.2</v>
      </c>
      <c r="AA415" s="14">
        <v>12.7</v>
      </c>
      <c r="AB415" s="14">
        <v>13.2</v>
      </c>
      <c r="AC415" s="14">
        <v>12.4</v>
      </c>
      <c r="AD415" s="20">
        <v>415.0</v>
      </c>
      <c r="AE415" s="20">
        <v>427.0</v>
      </c>
      <c r="AF415" s="20">
        <v>443.0</v>
      </c>
      <c r="AG415" s="20">
        <v>498.0</v>
      </c>
      <c r="AH415" s="20">
        <v>426.0</v>
      </c>
      <c r="AI415" s="14">
        <v>441.8</v>
      </c>
      <c r="AJ415" s="14">
        <v>6.86</v>
      </c>
      <c r="AK415" s="14">
        <v>6.49</v>
      </c>
      <c r="AL415" s="14">
        <v>6.38</v>
      </c>
      <c r="AM415" s="14">
        <v>6.26</v>
      </c>
      <c r="AN415" s="14">
        <v>6.32</v>
      </c>
      <c r="AO415" s="14">
        <v>6.462000000000001</v>
      </c>
      <c r="AP415" s="14">
        <v>46.0</v>
      </c>
      <c r="AQ415" s="14">
        <v>109.0</v>
      </c>
      <c r="AR415" s="14">
        <v>910.0</v>
      </c>
      <c r="AS415" s="14">
        <v>8.0</v>
      </c>
      <c r="AT415" s="14">
        <v>0.32</v>
      </c>
      <c r="AU415" s="14">
        <v>9330000.0</v>
      </c>
      <c r="AV415" s="14">
        <v>1.22</v>
      </c>
      <c r="AW415" s="14">
        <v>21.3</v>
      </c>
      <c r="AX415" s="14">
        <v>563000.0</v>
      </c>
      <c r="AY415" s="14">
        <v>0.8</v>
      </c>
      <c r="AZ415" s="14">
        <v>0.187</v>
      </c>
      <c r="BA415" s="14">
        <f t="shared" si="1"/>
        <v>22.287</v>
      </c>
    </row>
    <row r="416" ht="14.25" customHeight="1">
      <c r="A416" s="10" t="s">
        <v>635</v>
      </c>
      <c r="B416" s="12" t="s">
        <v>106</v>
      </c>
      <c r="C416" s="12"/>
      <c r="D416" s="12"/>
      <c r="E416" s="44">
        <v>44418.0</v>
      </c>
      <c r="F416" s="29">
        <v>1.0</v>
      </c>
      <c r="G416" s="12" t="s">
        <v>636</v>
      </c>
      <c r="H416" s="45">
        <v>0.666666666667879</v>
      </c>
      <c r="I416" s="45">
        <v>0.75</v>
      </c>
      <c r="J416" s="12">
        <v>1.8</v>
      </c>
      <c r="K416" s="12">
        <v>0.14</v>
      </c>
      <c r="L416" s="14">
        <v>55.484</v>
      </c>
      <c r="M416" s="14">
        <v>55.223</v>
      </c>
      <c r="N416" s="14">
        <v>55.977</v>
      </c>
      <c r="O416" s="14">
        <v>53.544</v>
      </c>
      <c r="P416" s="14">
        <v>53.864</v>
      </c>
      <c r="Q416" s="14">
        <v>54.8184</v>
      </c>
      <c r="R416" s="20">
        <v>11.44</v>
      </c>
      <c r="S416" s="20">
        <v>12.36</v>
      </c>
      <c r="T416" s="20">
        <v>12.11</v>
      </c>
      <c r="U416" s="20">
        <v>12.47</v>
      </c>
      <c r="V416" s="20">
        <v>12.38</v>
      </c>
      <c r="W416" s="14">
        <v>12.152</v>
      </c>
      <c r="X416" s="14">
        <v>16.6</v>
      </c>
      <c r="Y416" s="14">
        <v>16.0</v>
      </c>
      <c r="Z416" s="14">
        <v>15.2</v>
      </c>
      <c r="AA416" s="14">
        <v>15.0</v>
      </c>
      <c r="AB416" s="14">
        <v>14.7</v>
      </c>
      <c r="AC416" s="14">
        <v>15.5</v>
      </c>
      <c r="AD416" s="20">
        <v>689.0</v>
      </c>
      <c r="AE416" s="20">
        <v>1639.0</v>
      </c>
      <c r="AF416" s="20">
        <v>808.0</v>
      </c>
      <c r="AG416" s="20">
        <v>1221.0</v>
      </c>
      <c r="AH416" s="20">
        <v>1045.0</v>
      </c>
      <c r="AI416" s="14">
        <v>1080.4</v>
      </c>
      <c r="AJ416" s="14">
        <v>7.69</v>
      </c>
      <c r="AK416" s="14">
        <v>7.25</v>
      </c>
      <c r="AL416" s="14">
        <v>7.09</v>
      </c>
      <c r="AM416" s="14">
        <v>7.46</v>
      </c>
      <c r="AN416" s="14">
        <v>7.25</v>
      </c>
      <c r="AO416" s="14">
        <v>7.348000000000001</v>
      </c>
      <c r="AP416" s="14">
        <v>34.0</v>
      </c>
      <c r="AQ416" s="14">
        <v>141.0</v>
      </c>
      <c r="AR416" s="14">
        <v>1112.0</v>
      </c>
      <c r="AS416" s="14">
        <v>1.6</v>
      </c>
      <c r="AT416" s="14">
        <v>0.15</v>
      </c>
      <c r="AU416" s="14">
        <v>708.0</v>
      </c>
      <c r="AV416" s="14">
        <v>0.44</v>
      </c>
      <c r="AW416" s="14">
        <v>11.2</v>
      </c>
      <c r="AX416" s="14">
        <v>496.0</v>
      </c>
      <c r="AY416" s="14">
        <v>1.4</v>
      </c>
      <c r="AZ416" s="14">
        <v>0.33</v>
      </c>
      <c r="BA416" s="14">
        <f t="shared" si="1"/>
        <v>12.93</v>
      </c>
    </row>
    <row r="417" ht="14.25" customHeight="1">
      <c r="A417" s="10" t="s">
        <v>637</v>
      </c>
      <c r="B417" s="12" t="s">
        <v>104</v>
      </c>
      <c r="C417" s="12"/>
      <c r="D417" s="12"/>
      <c r="E417" s="44">
        <v>44418.0</v>
      </c>
      <c r="F417" s="29">
        <v>1.0</v>
      </c>
      <c r="G417" s="12" t="s">
        <v>638</v>
      </c>
      <c r="H417" s="45">
        <v>0.5</v>
      </c>
      <c r="I417" s="45">
        <v>0.58333333333212</v>
      </c>
      <c r="J417" s="12">
        <v>0.9</v>
      </c>
      <c r="K417" s="12">
        <v>0.13</v>
      </c>
      <c r="L417" s="14">
        <v>36.822</v>
      </c>
      <c r="M417" s="14">
        <v>33.742</v>
      </c>
      <c r="N417" s="14">
        <v>34.233</v>
      </c>
      <c r="O417" s="14">
        <v>33.304</v>
      </c>
      <c r="P417" s="14">
        <v>28.903</v>
      </c>
      <c r="Q417" s="14">
        <v>33.4008</v>
      </c>
      <c r="R417" s="20">
        <v>12.3</v>
      </c>
      <c r="S417" s="20">
        <v>12.34</v>
      </c>
      <c r="T417" s="20">
        <v>12.32</v>
      </c>
      <c r="U417" s="20">
        <v>10.79</v>
      </c>
      <c r="V417" s="20">
        <v>9.7</v>
      </c>
      <c r="W417" s="14">
        <v>11.49</v>
      </c>
      <c r="X417" s="14">
        <v>16.7</v>
      </c>
      <c r="Y417" s="14">
        <v>18.1</v>
      </c>
      <c r="Z417" s="14">
        <v>18.3</v>
      </c>
      <c r="AA417" s="14">
        <v>17.1</v>
      </c>
      <c r="AB417" s="14">
        <v>16.4</v>
      </c>
      <c r="AC417" s="14">
        <v>17.32</v>
      </c>
      <c r="AD417" s="20">
        <v>2090.0</v>
      </c>
      <c r="AE417" s="20">
        <v>1643.0</v>
      </c>
      <c r="AF417" s="20">
        <v>784.0</v>
      </c>
      <c r="AG417" s="20">
        <v>306.0</v>
      </c>
      <c r="AH417" s="20">
        <v>347.0</v>
      </c>
      <c r="AI417" s="14">
        <v>1034.0</v>
      </c>
      <c r="AJ417" s="14">
        <v>6.93</v>
      </c>
      <c r="AK417" s="14">
        <v>6.83</v>
      </c>
      <c r="AL417" s="14">
        <v>6.01</v>
      </c>
      <c r="AM417" s="14">
        <v>6.52</v>
      </c>
      <c r="AN417" s="14">
        <v>5.82</v>
      </c>
      <c r="AO417" s="14">
        <v>6.422</v>
      </c>
      <c r="AP417" s="14">
        <v>50.0</v>
      </c>
      <c r="AQ417" s="14">
        <v>532.0</v>
      </c>
      <c r="AR417" s="14">
        <v>6700.0</v>
      </c>
      <c r="AS417" s="14">
        <v>5.2</v>
      </c>
      <c r="AT417" s="14">
        <v>0.78</v>
      </c>
      <c r="AU417" s="14">
        <v>496.0</v>
      </c>
      <c r="AV417" s="14">
        <v>0.26</v>
      </c>
      <c r="AW417" s="14">
        <v>9.5</v>
      </c>
      <c r="AX417" s="14">
        <v>437.0</v>
      </c>
      <c r="AY417" s="14">
        <v>1.2</v>
      </c>
      <c r="AZ417" s="14">
        <v>0.714</v>
      </c>
      <c r="BA417" s="14">
        <f t="shared" si="1"/>
        <v>11.414</v>
      </c>
    </row>
    <row r="418" ht="14.25" customHeight="1">
      <c r="A418" s="10" t="s">
        <v>639</v>
      </c>
      <c r="B418" s="16" t="s">
        <v>79</v>
      </c>
      <c r="C418" s="12"/>
      <c r="D418" s="12"/>
      <c r="E418" s="46">
        <v>44404.0</v>
      </c>
      <c r="F418" s="47">
        <v>1.0</v>
      </c>
      <c r="G418" s="18" t="s">
        <v>640</v>
      </c>
      <c r="H418" s="13">
        <v>0.25</v>
      </c>
      <c r="I418" s="13">
        <v>0.33333333333212</v>
      </c>
      <c r="J418" s="18">
        <v>1.3</v>
      </c>
      <c r="K418" s="18">
        <v>0.18</v>
      </c>
      <c r="L418" s="15">
        <v>61.639</v>
      </c>
      <c r="M418" s="15">
        <v>58.098</v>
      </c>
      <c r="N418" s="15">
        <v>74.056</v>
      </c>
      <c r="O418" s="15">
        <v>76.568</v>
      </c>
      <c r="P418" s="15">
        <v>72.673</v>
      </c>
      <c r="Q418" s="15">
        <v>68.60679999999999</v>
      </c>
      <c r="R418" s="20">
        <v>6.7</v>
      </c>
      <c r="S418" s="20">
        <v>6.64</v>
      </c>
      <c r="T418" s="20">
        <v>6.59</v>
      </c>
      <c r="U418" s="20">
        <v>6.41</v>
      </c>
      <c r="V418" s="20">
        <v>6.35</v>
      </c>
      <c r="W418" s="15">
        <v>6.537999999999999</v>
      </c>
      <c r="X418" s="15">
        <v>9.9</v>
      </c>
      <c r="Y418" s="15">
        <v>9.9</v>
      </c>
      <c r="Z418" s="15">
        <v>9.9</v>
      </c>
      <c r="AA418" s="15">
        <v>9.7</v>
      </c>
      <c r="AB418" s="15">
        <v>9.9</v>
      </c>
      <c r="AC418" s="15">
        <v>9.860000000000001</v>
      </c>
      <c r="AD418" s="20">
        <v>13.4</v>
      </c>
      <c r="AE418" s="20">
        <v>13.6</v>
      </c>
      <c r="AF418" s="20">
        <v>13.1</v>
      </c>
      <c r="AG418" s="20">
        <v>13.1</v>
      </c>
      <c r="AH418" s="20">
        <v>12.9</v>
      </c>
      <c r="AI418" s="15">
        <v>13.220000000000002</v>
      </c>
      <c r="AJ418" s="15">
        <v>5.42</v>
      </c>
      <c r="AK418" s="15">
        <v>5.5</v>
      </c>
      <c r="AL418" s="15">
        <v>5.36</v>
      </c>
      <c r="AM418" s="15">
        <v>5.55</v>
      </c>
      <c r="AN418" s="15">
        <v>5.46</v>
      </c>
      <c r="AO418" s="15">
        <v>5.458</v>
      </c>
      <c r="AP418" s="15">
        <v>2.0</v>
      </c>
      <c r="AQ418" s="15">
        <v>10.0</v>
      </c>
      <c r="AR418" s="15">
        <v>5.0</v>
      </c>
      <c r="AS418" s="15">
        <v>1.2</v>
      </c>
      <c r="AT418" s="15">
        <v>0.11</v>
      </c>
      <c r="AU418" s="15">
        <v>5380.0</v>
      </c>
      <c r="AV418" s="15">
        <v>0.07</v>
      </c>
      <c r="AW418" s="15">
        <v>1.0</v>
      </c>
      <c r="AX418" s="15">
        <v>417.0</v>
      </c>
      <c r="AY418" s="15">
        <v>0.2</v>
      </c>
      <c r="AZ418" s="15">
        <v>0.007</v>
      </c>
      <c r="BA418" s="15">
        <f t="shared" si="1"/>
        <v>1.207</v>
      </c>
    </row>
    <row r="419" ht="14.25" customHeight="1">
      <c r="A419" s="10" t="s">
        <v>641</v>
      </c>
      <c r="B419" s="12" t="s">
        <v>87</v>
      </c>
      <c r="C419" s="12"/>
      <c r="D419" s="12"/>
      <c r="E419" s="44">
        <v>44414.0</v>
      </c>
      <c r="F419" s="29">
        <v>1.0</v>
      </c>
      <c r="G419" s="12" t="s">
        <v>642</v>
      </c>
      <c r="H419" s="45">
        <v>0.5</v>
      </c>
      <c r="I419" s="45">
        <v>0.58333333333212</v>
      </c>
      <c r="J419" s="12">
        <v>9.218</v>
      </c>
      <c r="K419" s="12">
        <v>0.588</v>
      </c>
      <c r="L419" s="14">
        <v>365.0</v>
      </c>
      <c r="M419" s="14">
        <v>414.0</v>
      </c>
      <c r="N419" s="14">
        <v>326.0</v>
      </c>
      <c r="O419" s="14">
        <v>399.0</v>
      </c>
      <c r="P419" s="14">
        <v>382.0</v>
      </c>
      <c r="Q419" s="14">
        <v>377.2</v>
      </c>
      <c r="R419" s="20">
        <v>7.49</v>
      </c>
      <c r="S419" s="20">
        <v>7.35</v>
      </c>
      <c r="T419" s="20">
        <v>7.54</v>
      </c>
      <c r="U419" s="20">
        <v>7.47</v>
      </c>
      <c r="V419" s="20">
        <v>7.56</v>
      </c>
      <c r="W419" s="14">
        <v>7.481999999999999</v>
      </c>
      <c r="X419" s="14">
        <v>17.4</v>
      </c>
      <c r="Y419" s="14">
        <v>17.2</v>
      </c>
      <c r="Z419" s="14">
        <v>17.4</v>
      </c>
      <c r="AA419" s="14">
        <v>17.8</v>
      </c>
      <c r="AB419" s="14">
        <v>18.1</v>
      </c>
      <c r="AC419" s="14">
        <v>17.580000000000002</v>
      </c>
      <c r="AD419" s="20">
        <v>415.0</v>
      </c>
      <c r="AE419" s="20">
        <v>414.0</v>
      </c>
      <c r="AF419" s="20">
        <v>473.0</v>
      </c>
      <c r="AG419" s="20">
        <v>456.0</v>
      </c>
      <c r="AH419" s="20">
        <v>487.0</v>
      </c>
      <c r="AI419" s="14">
        <v>449.0</v>
      </c>
      <c r="AJ419" s="14">
        <v>1.71</v>
      </c>
      <c r="AK419" s="14">
        <v>1.78</v>
      </c>
      <c r="AL419" s="14">
        <v>1.56</v>
      </c>
      <c r="AM419" s="14">
        <v>1.26</v>
      </c>
      <c r="AN419" s="14">
        <v>1.66</v>
      </c>
      <c r="AO419" s="14">
        <v>1.594</v>
      </c>
      <c r="AP419" s="14">
        <v>81.0</v>
      </c>
      <c r="AQ419" s="14">
        <v>116.0</v>
      </c>
      <c r="AR419" s="14">
        <v>42.0</v>
      </c>
      <c r="AS419" s="14">
        <v>13.0</v>
      </c>
      <c r="AT419" s="14">
        <v>2.31</v>
      </c>
      <c r="AU419" s="14">
        <v>1842000.0</v>
      </c>
      <c r="AV419" s="14">
        <v>3.22</v>
      </c>
      <c r="AW419" s="14">
        <v>24.9</v>
      </c>
      <c r="AX419" s="14">
        <v>1455000.0</v>
      </c>
      <c r="AY419" s="14">
        <v>0.4</v>
      </c>
      <c r="AZ419" s="14">
        <v>0.007</v>
      </c>
      <c r="BA419" s="14">
        <f t="shared" si="1"/>
        <v>25.307</v>
      </c>
    </row>
    <row r="420" ht="14.25" customHeight="1">
      <c r="A420" s="10" t="s">
        <v>643</v>
      </c>
      <c r="B420" s="12" t="s">
        <v>83</v>
      </c>
      <c r="C420" s="12"/>
      <c r="D420" s="12"/>
      <c r="E420" s="44">
        <v>44419.0</v>
      </c>
      <c r="F420" s="29">
        <v>1.0</v>
      </c>
      <c r="G420" s="12" t="s">
        <v>644</v>
      </c>
      <c r="H420" s="45">
        <v>0.416666666667879</v>
      </c>
      <c r="I420" s="45">
        <v>0.5</v>
      </c>
      <c r="J420" s="12">
        <v>5.3</v>
      </c>
      <c r="K420" s="12">
        <v>0.5</v>
      </c>
      <c r="L420" s="14">
        <v>1027.496</v>
      </c>
      <c r="M420" s="14">
        <v>1065.592</v>
      </c>
      <c r="N420" s="14">
        <v>1018.46</v>
      </c>
      <c r="O420" s="14">
        <v>1020.659</v>
      </c>
      <c r="P420" s="14">
        <v>902.471</v>
      </c>
      <c r="Q420" s="14">
        <v>1006.9356</v>
      </c>
      <c r="R420" s="20">
        <v>8.08</v>
      </c>
      <c r="S420" s="20">
        <v>8.26</v>
      </c>
      <c r="T420" s="20">
        <v>8.18</v>
      </c>
      <c r="U420" s="20">
        <v>8.05</v>
      </c>
      <c r="V420" s="20">
        <v>8.09</v>
      </c>
      <c r="W420" s="14">
        <v>8.132</v>
      </c>
      <c r="X420" s="14">
        <v>13.2</v>
      </c>
      <c r="Y420" s="14">
        <v>13.4</v>
      </c>
      <c r="Z420" s="14">
        <v>13.3</v>
      </c>
      <c r="AA420" s="14">
        <v>13.5</v>
      </c>
      <c r="AB420" s="14">
        <v>14.2</v>
      </c>
      <c r="AC420" s="14">
        <v>13.520000000000001</v>
      </c>
      <c r="AD420" s="20">
        <v>299.0</v>
      </c>
      <c r="AE420" s="20">
        <v>332.0</v>
      </c>
      <c r="AF420" s="20">
        <v>324.0</v>
      </c>
      <c r="AG420" s="20">
        <v>261.0</v>
      </c>
      <c r="AH420" s="20">
        <v>277.0</v>
      </c>
      <c r="AI420" s="14">
        <v>298.6</v>
      </c>
      <c r="AJ420" s="14">
        <v>5.6</v>
      </c>
      <c r="AK420" s="14">
        <v>5.88</v>
      </c>
      <c r="AL420" s="14">
        <v>5.39</v>
      </c>
      <c r="AM420" s="14">
        <v>6.07</v>
      </c>
      <c r="AN420" s="14">
        <v>6.16</v>
      </c>
      <c r="AO420" s="14">
        <v>5.82</v>
      </c>
      <c r="AP420" s="14">
        <v>106.0</v>
      </c>
      <c r="AQ420" s="14">
        <v>161.0</v>
      </c>
      <c r="AR420" s="14">
        <v>178.0</v>
      </c>
      <c r="AS420" s="14">
        <v>28.0</v>
      </c>
      <c r="AT420" s="14">
        <v>3.1</v>
      </c>
      <c r="AU420" s="14">
        <v>1.657E7</v>
      </c>
      <c r="AV420" s="14">
        <v>2.71</v>
      </c>
      <c r="AW420" s="14">
        <v>29.7</v>
      </c>
      <c r="AX420" s="14">
        <v>1.517E7</v>
      </c>
      <c r="AY420" s="14">
        <v>0.4</v>
      </c>
      <c r="AZ420" s="14">
        <v>0.007</v>
      </c>
      <c r="BA420" s="14">
        <f t="shared" si="1"/>
        <v>30.107</v>
      </c>
    </row>
    <row r="421" ht="14.25" customHeight="1">
      <c r="A421" s="10" t="s">
        <v>645</v>
      </c>
      <c r="B421" s="12" t="s">
        <v>61</v>
      </c>
      <c r="C421" s="12"/>
      <c r="D421" s="12"/>
      <c r="E421" s="44">
        <v>44419.0</v>
      </c>
      <c r="F421" s="29">
        <v>1.0</v>
      </c>
      <c r="G421" s="12" t="s">
        <v>646</v>
      </c>
      <c r="H421" s="45">
        <v>0.58333333333212</v>
      </c>
      <c r="I421" s="45">
        <v>0.666666666667879</v>
      </c>
      <c r="J421" s="12">
        <v>12.0</v>
      </c>
      <c r="K421" s="12">
        <v>0.87</v>
      </c>
      <c r="L421" s="14">
        <v>411.453</v>
      </c>
      <c r="M421" s="14">
        <v>523.013</v>
      </c>
      <c r="N421" s="14">
        <v>528.338</v>
      </c>
      <c r="O421" s="14">
        <v>522.273</v>
      </c>
      <c r="P421" s="14">
        <v>514.044</v>
      </c>
      <c r="Q421" s="14">
        <v>499.8242</v>
      </c>
      <c r="R421" s="20">
        <v>7.85</v>
      </c>
      <c r="S421" s="20">
        <v>7.85</v>
      </c>
      <c r="T421" s="20">
        <v>7.81</v>
      </c>
      <c r="U421" s="20">
        <v>7.78</v>
      </c>
      <c r="V421" s="20">
        <v>7.77</v>
      </c>
      <c r="W421" s="14">
        <v>7.812</v>
      </c>
      <c r="X421" s="14">
        <v>20.5</v>
      </c>
      <c r="Y421" s="14">
        <v>19.1</v>
      </c>
      <c r="Z421" s="14">
        <v>18.3</v>
      </c>
      <c r="AA421" s="14">
        <v>17.9</v>
      </c>
      <c r="AB421" s="14">
        <v>17.4</v>
      </c>
      <c r="AC421" s="14">
        <v>18.640000000000004</v>
      </c>
      <c r="AD421" s="20">
        <v>390.0</v>
      </c>
      <c r="AE421" s="20">
        <v>450.0</v>
      </c>
      <c r="AF421" s="20">
        <v>341.0</v>
      </c>
      <c r="AG421" s="20">
        <v>347.0</v>
      </c>
      <c r="AH421" s="20">
        <v>324.0</v>
      </c>
      <c r="AI421" s="14">
        <v>370.4</v>
      </c>
      <c r="AJ421" s="14">
        <v>3.3</v>
      </c>
      <c r="AK421" s="14">
        <v>2.44</v>
      </c>
      <c r="AL421" s="14">
        <v>2.83</v>
      </c>
      <c r="AM421" s="14">
        <v>2.59</v>
      </c>
      <c r="AN421" s="14">
        <v>2.63</v>
      </c>
      <c r="AO421" s="14">
        <v>2.758</v>
      </c>
      <c r="AP421" s="14">
        <v>70.0</v>
      </c>
      <c r="AQ421" s="14">
        <v>105.0</v>
      </c>
      <c r="AR421" s="14">
        <v>85.0</v>
      </c>
      <c r="AS421" s="14">
        <v>18.0</v>
      </c>
      <c r="AT421" s="14">
        <v>4.54</v>
      </c>
      <c r="AU421" s="14">
        <v>1.169E7</v>
      </c>
      <c r="AV421" s="14">
        <v>1.66</v>
      </c>
      <c r="AW421" s="14">
        <v>23.0</v>
      </c>
      <c r="AX421" s="14">
        <v>6700000.0</v>
      </c>
      <c r="AY421" s="14">
        <v>0.4</v>
      </c>
      <c r="AZ421" s="14">
        <v>0.007</v>
      </c>
      <c r="BA421" s="14">
        <f t="shared" si="1"/>
        <v>23.407</v>
      </c>
    </row>
    <row r="422" ht="14.25" customHeight="1">
      <c r="A422" s="10" t="s">
        <v>647</v>
      </c>
      <c r="B422" s="16" t="s">
        <v>79</v>
      </c>
      <c r="C422" s="12"/>
      <c r="D422" s="12"/>
      <c r="E422" s="46">
        <v>44419.0</v>
      </c>
      <c r="F422" s="47">
        <v>1.0</v>
      </c>
      <c r="G422" s="18" t="s">
        <v>648</v>
      </c>
      <c r="H422" s="13">
        <v>0.33333333333212</v>
      </c>
      <c r="I422" s="13">
        <v>0.416666666667879</v>
      </c>
      <c r="J422" s="18">
        <v>1.4</v>
      </c>
      <c r="K422" s="18">
        <v>0.28</v>
      </c>
      <c r="L422" s="15">
        <v>104.891</v>
      </c>
      <c r="M422" s="15">
        <v>102.127</v>
      </c>
      <c r="N422" s="15">
        <v>117.238</v>
      </c>
      <c r="O422" s="15">
        <v>118.673</v>
      </c>
      <c r="P422" s="15">
        <v>129.99</v>
      </c>
      <c r="Q422" s="15">
        <v>114.5838</v>
      </c>
      <c r="R422" s="20">
        <v>7.55</v>
      </c>
      <c r="S422" s="20">
        <v>8.0</v>
      </c>
      <c r="T422" s="20">
        <v>7.37</v>
      </c>
      <c r="U422" s="20">
        <v>8.22</v>
      </c>
      <c r="V422" s="20">
        <v>8.08</v>
      </c>
      <c r="W422" s="15">
        <v>7.843999999999999</v>
      </c>
      <c r="X422" s="15">
        <v>10.9</v>
      </c>
      <c r="Y422" s="15">
        <v>10.9</v>
      </c>
      <c r="Z422" s="15">
        <v>10.9</v>
      </c>
      <c r="AA422" s="15">
        <v>11.0</v>
      </c>
      <c r="AB422" s="15">
        <v>11.0</v>
      </c>
      <c r="AC422" s="15">
        <v>10.940000000000001</v>
      </c>
      <c r="AD422" s="20">
        <v>13.3</v>
      </c>
      <c r="AE422" s="20">
        <v>13.1</v>
      </c>
      <c r="AF422" s="20">
        <v>12.8</v>
      </c>
      <c r="AG422" s="20">
        <v>15.8</v>
      </c>
      <c r="AH422" s="20">
        <v>15.9</v>
      </c>
      <c r="AI422" s="15">
        <v>14.180000000000001</v>
      </c>
      <c r="AJ422" s="15">
        <v>7.9</v>
      </c>
      <c r="AK422" s="15">
        <v>6.25</v>
      </c>
      <c r="AL422" s="15">
        <v>7.89</v>
      </c>
      <c r="AM422" s="15">
        <v>6.63</v>
      </c>
      <c r="AN422" s="15">
        <v>6.55</v>
      </c>
      <c r="AO422" s="15">
        <v>7.044</v>
      </c>
      <c r="AP422" s="15">
        <v>2.0</v>
      </c>
      <c r="AQ422" s="15">
        <v>14.0</v>
      </c>
      <c r="AR422" s="15">
        <v>15.0</v>
      </c>
      <c r="AS422" s="15">
        <v>1.2</v>
      </c>
      <c r="AT422" s="15">
        <v>0.07</v>
      </c>
      <c r="AU422" s="15">
        <v>1.353E7</v>
      </c>
      <c r="AV422" s="15">
        <v>0.08</v>
      </c>
      <c r="AW422" s="15">
        <v>1.0</v>
      </c>
      <c r="AX422" s="15">
        <v>1.23E7</v>
      </c>
      <c r="AY422" s="15">
        <v>0.4</v>
      </c>
      <c r="AZ422" s="15">
        <v>0.007</v>
      </c>
      <c r="BA422" s="15">
        <f t="shared" si="1"/>
        <v>1.407</v>
      </c>
    </row>
    <row r="423" ht="14.25" customHeight="1">
      <c r="A423" s="10" t="s">
        <v>649</v>
      </c>
      <c r="B423" s="16" t="s">
        <v>93</v>
      </c>
      <c r="C423" s="12"/>
      <c r="D423" s="12"/>
      <c r="E423" s="44">
        <v>44419.0</v>
      </c>
      <c r="F423" s="29">
        <v>1.0</v>
      </c>
      <c r="G423" s="12" t="s">
        <v>650</v>
      </c>
      <c r="H423" s="45">
        <v>0.5</v>
      </c>
      <c r="I423" s="45">
        <v>0.58333333333212</v>
      </c>
      <c r="J423" s="12">
        <v>3.8</v>
      </c>
      <c r="K423" s="12">
        <v>0.26</v>
      </c>
      <c r="L423" s="14">
        <v>326.852</v>
      </c>
      <c r="M423" s="14">
        <v>337.935</v>
      </c>
      <c r="N423" s="14">
        <v>323.828</v>
      </c>
      <c r="O423" s="14">
        <v>287.695</v>
      </c>
      <c r="P423" s="14">
        <v>264.65</v>
      </c>
      <c r="Q423" s="14">
        <v>308.192</v>
      </c>
      <c r="R423" s="20">
        <v>7.92</v>
      </c>
      <c r="S423" s="20">
        <v>8.07</v>
      </c>
      <c r="T423" s="20">
        <v>8.15</v>
      </c>
      <c r="U423" s="20">
        <v>8.24</v>
      </c>
      <c r="V423" s="20">
        <v>8.21</v>
      </c>
      <c r="W423" s="14">
        <v>8.118</v>
      </c>
      <c r="X423" s="14">
        <v>14.9</v>
      </c>
      <c r="Y423" s="14">
        <v>15.5</v>
      </c>
      <c r="Z423" s="14">
        <v>15.9</v>
      </c>
      <c r="AA423" s="14">
        <v>15.7</v>
      </c>
      <c r="AB423" s="14">
        <v>15.8</v>
      </c>
      <c r="AC423" s="14">
        <v>15.559999999999999</v>
      </c>
      <c r="AD423" s="20">
        <v>229.0</v>
      </c>
      <c r="AE423" s="20">
        <v>261.0</v>
      </c>
      <c r="AF423" s="20">
        <v>240.0</v>
      </c>
      <c r="AG423" s="20">
        <v>237.0</v>
      </c>
      <c r="AH423" s="20">
        <v>231.0</v>
      </c>
      <c r="AI423" s="14">
        <v>239.6</v>
      </c>
      <c r="AJ423" s="14">
        <v>6.57</v>
      </c>
      <c r="AK423" s="14">
        <v>5.73</v>
      </c>
      <c r="AL423" s="14">
        <v>5.73</v>
      </c>
      <c r="AM423" s="14">
        <v>5.67</v>
      </c>
      <c r="AN423" s="14">
        <v>5.27</v>
      </c>
      <c r="AO423" s="14">
        <v>5.7940000000000005</v>
      </c>
      <c r="AP423" s="14">
        <v>70.0</v>
      </c>
      <c r="AQ423" s="14">
        <v>101.0</v>
      </c>
      <c r="AR423" s="14">
        <v>97.0</v>
      </c>
      <c r="AS423" s="14">
        <v>33.0</v>
      </c>
      <c r="AT423" s="14">
        <v>4.8</v>
      </c>
      <c r="AU423" s="14">
        <v>6630000.0</v>
      </c>
      <c r="AV423" s="14">
        <v>2.02</v>
      </c>
      <c r="AW423" s="14">
        <v>23.8</v>
      </c>
      <c r="AX423" s="14">
        <v>5040000.0</v>
      </c>
      <c r="AY423" s="14">
        <v>0.5</v>
      </c>
      <c r="AZ423" s="14">
        <v>0.007</v>
      </c>
      <c r="BA423" s="14">
        <f t="shared" si="1"/>
        <v>24.307</v>
      </c>
    </row>
    <row r="424" ht="14.25" customHeight="1">
      <c r="A424" s="10" t="s">
        <v>651</v>
      </c>
      <c r="B424" s="12" t="s">
        <v>65</v>
      </c>
      <c r="C424" s="12"/>
      <c r="D424" s="12"/>
      <c r="E424" s="44">
        <v>44420.0</v>
      </c>
      <c r="F424" s="29">
        <v>1.0</v>
      </c>
      <c r="G424" s="12" t="s">
        <v>652</v>
      </c>
      <c r="H424" s="45">
        <v>0.25</v>
      </c>
      <c r="I424" s="45">
        <v>0.33333333333212</v>
      </c>
      <c r="J424" s="12">
        <v>6.4</v>
      </c>
      <c r="K424" s="12">
        <v>0.15</v>
      </c>
      <c r="L424" s="14">
        <v>121.862</v>
      </c>
      <c r="M424" s="14">
        <v>127.137</v>
      </c>
      <c r="N424" s="14">
        <v>145.408</v>
      </c>
      <c r="O424" s="14">
        <v>153.184</v>
      </c>
      <c r="P424" s="14">
        <v>172.744</v>
      </c>
      <c r="Q424" s="14">
        <v>144.067</v>
      </c>
      <c r="R424" s="20">
        <v>7.54</v>
      </c>
      <c r="S424" s="20">
        <v>7.44</v>
      </c>
      <c r="T424" s="20">
        <v>7.6</v>
      </c>
      <c r="U424" s="20">
        <v>7.64</v>
      </c>
      <c r="V424" s="20">
        <v>7.99</v>
      </c>
      <c r="W424" s="14">
        <v>7.642</v>
      </c>
      <c r="X424" s="14">
        <v>13.3</v>
      </c>
      <c r="Y424" s="14">
        <v>13.0</v>
      </c>
      <c r="Z424" s="14">
        <v>13.3</v>
      </c>
      <c r="AA424" s="14">
        <v>14.0</v>
      </c>
      <c r="AB424" s="14">
        <v>15.2</v>
      </c>
      <c r="AC424" s="14">
        <v>13.76</v>
      </c>
      <c r="AD424" s="20">
        <v>211.0</v>
      </c>
      <c r="AE424" s="20">
        <v>209.0</v>
      </c>
      <c r="AF424" s="20">
        <v>211.0</v>
      </c>
      <c r="AG424" s="20">
        <v>219.0</v>
      </c>
      <c r="AH424" s="20">
        <v>232.0</v>
      </c>
      <c r="AI424" s="14">
        <v>216.4</v>
      </c>
      <c r="AJ424" s="14">
        <v>2.1</v>
      </c>
      <c r="AK424" s="14">
        <v>2.52</v>
      </c>
      <c r="AL424" s="14">
        <v>2.58</v>
      </c>
      <c r="AM424" s="14">
        <v>2.79</v>
      </c>
      <c r="AN424" s="14">
        <v>2.09</v>
      </c>
      <c r="AO424" s="14">
        <v>2.416</v>
      </c>
      <c r="AP424" s="14">
        <v>32.0</v>
      </c>
      <c r="AQ424" s="14">
        <v>55.0</v>
      </c>
      <c r="AR424" s="14">
        <v>23.0</v>
      </c>
      <c r="AS424" s="14">
        <v>3.0</v>
      </c>
      <c r="AT424" s="14">
        <v>0.3</v>
      </c>
      <c r="AU424" s="14">
        <v>1.198E7</v>
      </c>
      <c r="AV424" s="14">
        <v>1.01</v>
      </c>
      <c r="AW424" s="14">
        <v>12.6</v>
      </c>
      <c r="AX424" s="14">
        <v>93200.0</v>
      </c>
      <c r="AY424" s="14">
        <v>0.4</v>
      </c>
      <c r="AZ424" s="14">
        <v>0.007</v>
      </c>
      <c r="BA424" s="14">
        <f t="shared" si="1"/>
        <v>13.007</v>
      </c>
    </row>
    <row r="425" ht="14.25" customHeight="1">
      <c r="A425" s="10" t="s">
        <v>653</v>
      </c>
      <c r="B425" s="12" t="s">
        <v>145</v>
      </c>
      <c r="C425" s="12"/>
      <c r="D425" s="12"/>
      <c r="E425" s="44">
        <v>44418.0</v>
      </c>
      <c r="F425" s="29">
        <v>1.0</v>
      </c>
      <c r="G425" s="12" t="s">
        <v>654</v>
      </c>
      <c r="H425" s="45">
        <v>0.5</v>
      </c>
      <c r="I425" s="45">
        <v>0.58333333333212</v>
      </c>
      <c r="J425" s="12">
        <v>0.6</v>
      </c>
      <c r="K425" s="12">
        <v>0.08</v>
      </c>
      <c r="L425" s="14">
        <v>13.89</v>
      </c>
      <c r="M425" s="14">
        <v>13.23</v>
      </c>
      <c r="N425" s="14">
        <v>13.73</v>
      </c>
      <c r="O425" s="14">
        <v>13.672</v>
      </c>
      <c r="P425" s="14">
        <v>13.068</v>
      </c>
      <c r="Q425" s="14">
        <v>13.518</v>
      </c>
      <c r="R425" s="20">
        <v>8.11</v>
      </c>
      <c r="S425" s="20">
        <v>8.23</v>
      </c>
      <c r="T425" s="20">
        <v>8.33</v>
      </c>
      <c r="U425" s="20">
        <v>8.34</v>
      </c>
      <c r="V425" s="20">
        <v>8.15</v>
      </c>
      <c r="W425" s="14">
        <v>8.232000000000001</v>
      </c>
      <c r="X425" s="14">
        <v>16.2</v>
      </c>
      <c r="Y425" s="14">
        <v>16.9</v>
      </c>
      <c r="Z425" s="14">
        <v>16.9</v>
      </c>
      <c r="AA425" s="14">
        <v>17.0</v>
      </c>
      <c r="AB425" s="14">
        <v>17.3</v>
      </c>
      <c r="AC425" s="14">
        <v>16.86</v>
      </c>
      <c r="AD425" s="20">
        <v>283.0</v>
      </c>
      <c r="AE425" s="20">
        <v>167.3</v>
      </c>
      <c r="AF425" s="20">
        <v>262.0</v>
      </c>
      <c r="AG425" s="20">
        <v>260.0</v>
      </c>
      <c r="AH425" s="20">
        <v>210.0</v>
      </c>
      <c r="AI425" s="14">
        <v>236.45999999999998</v>
      </c>
      <c r="AJ425" s="14">
        <v>6.0</v>
      </c>
      <c r="AK425" s="14">
        <v>5.68</v>
      </c>
      <c r="AL425" s="14">
        <v>5.17</v>
      </c>
      <c r="AM425" s="14">
        <v>5.9</v>
      </c>
      <c r="AN425" s="14">
        <v>5.59</v>
      </c>
      <c r="AO425" s="14">
        <v>5.668</v>
      </c>
      <c r="AP425" s="14">
        <v>34.0</v>
      </c>
      <c r="AQ425" s="14">
        <v>117.0</v>
      </c>
      <c r="AR425" s="14">
        <v>107.0</v>
      </c>
      <c r="AS425" s="14">
        <v>14.0</v>
      </c>
      <c r="AT425" s="14">
        <v>0.28</v>
      </c>
      <c r="AU425" s="14">
        <v>705000.0</v>
      </c>
      <c r="AV425" s="14">
        <v>0.46</v>
      </c>
      <c r="AW425" s="14">
        <v>4.8</v>
      </c>
      <c r="AX425" s="14">
        <v>122300.0</v>
      </c>
      <c r="AY425" s="14">
        <v>2.3</v>
      </c>
      <c r="AZ425" s="14">
        <v>0.192</v>
      </c>
      <c r="BA425" s="14">
        <f t="shared" si="1"/>
        <v>7.292</v>
      </c>
    </row>
    <row r="426" ht="14.25" customHeight="1">
      <c r="A426" s="10" t="s">
        <v>655</v>
      </c>
      <c r="B426" s="12" t="s">
        <v>129</v>
      </c>
      <c r="C426" s="12"/>
      <c r="D426" s="12"/>
      <c r="E426" s="44">
        <v>44432.0</v>
      </c>
      <c r="F426" s="29">
        <v>1.0</v>
      </c>
      <c r="G426" s="12" t="s">
        <v>656</v>
      </c>
      <c r="H426" s="45">
        <v>0.25</v>
      </c>
      <c r="I426" s="45">
        <v>0.33333333333212</v>
      </c>
      <c r="J426" s="12">
        <v>3.6</v>
      </c>
      <c r="K426" s="12">
        <v>0.16</v>
      </c>
      <c r="L426" s="14">
        <v>105.734</v>
      </c>
      <c r="M426" s="14">
        <v>100.366</v>
      </c>
      <c r="N426" s="14">
        <v>108.943</v>
      </c>
      <c r="O426" s="14">
        <v>110.441</v>
      </c>
      <c r="P426" s="14">
        <v>112.422</v>
      </c>
      <c r="Q426" s="14">
        <v>107.58120000000001</v>
      </c>
      <c r="R426" s="20">
        <v>6.91</v>
      </c>
      <c r="S426" s="20">
        <v>6.99</v>
      </c>
      <c r="T426" s="20">
        <v>7.05</v>
      </c>
      <c r="U426" s="20">
        <v>7.01</v>
      </c>
      <c r="V426" s="20">
        <v>7.03</v>
      </c>
      <c r="W426" s="14">
        <v>6.998</v>
      </c>
      <c r="X426" s="14">
        <v>17.2</v>
      </c>
      <c r="Y426" s="14">
        <v>16.8</v>
      </c>
      <c r="Z426" s="14">
        <v>17.2</v>
      </c>
      <c r="AA426" s="14">
        <v>17.4</v>
      </c>
      <c r="AB426" s="14">
        <v>17.8</v>
      </c>
      <c r="AC426" s="14">
        <v>17.279999999999998</v>
      </c>
      <c r="AD426" s="20">
        <v>182.8</v>
      </c>
      <c r="AE426" s="20">
        <v>161.6</v>
      </c>
      <c r="AF426" s="20">
        <v>165.8</v>
      </c>
      <c r="AG426" s="20">
        <v>170.1</v>
      </c>
      <c r="AH426" s="20">
        <v>173.4</v>
      </c>
      <c r="AI426" s="14">
        <v>170.73999999999998</v>
      </c>
      <c r="AJ426" s="14">
        <v>3.42</v>
      </c>
      <c r="AK426" s="14">
        <v>3.66</v>
      </c>
      <c r="AL426" s="14">
        <v>3.72</v>
      </c>
      <c r="AM426" s="14">
        <v>3.8</v>
      </c>
      <c r="AN426" s="14">
        <v>3.81</v>
      </c>
      <c r="AO426" s="14">
        <v>3.682</v>
      </c>
      <c r="AP426" s="14">
        <v>14.0</v>
      </c>
      <c r="AQ426" s="14">
        <v>29.0</v>
      </c>
      <c r="AR426" s="14">
        <v>20.0</v>
      </c>
      <c r="AS426" s="14">
        <v>1.2</v>
      </c>
      <c r="AT426" s="14">
        <v>0.07</v>
      </c>
      <c r="AU426" s="14">
        <v>988000.0</v>
      </c>
      <c r="AV426" s="14">
        <v>0.46</v>
      </c>
      <c r="AW426" s="14">
        <v>7.3</v>
      </c>
      <c r="AX426" s="14">
        <v>90800.0</v>
      </c>
      <c r="AY426" s="14">
        <v>0.6</v>
      </c>
      <c r="AZ426" s="14">
        <v>0.1</v>
      </c>
      <c r="BA426" s="14">
        <f t="shared" si="1"/>
        <v>8</v>
      </c>
    </row>
    <row r="427" ht="14.25" customHeight="1">
      <c r="A427" s="10" t="s">
        <v>657</v>
      </c>
      <c r="B427" s="12" t="s">
        <v>77</v>
      </c>
      <c r="C427" s="12"/>
      <c r="D427" s="12"/>
      <c r="E427" s="44">
        <v>44420.0</v>
      </c>
      <c r="F427" s="29">
        <v>1.0</v>
      </c>
      <c r="G427" s="12" t="s">
        <v>658</v>
      </c>
      <c r="H427" s="45">
        <v>0.416666666667879</v>
      </c>
      <c r="I427" s="45">
        <v>0.5</v>
      </c>
      <c r="J427" s="12">
        <v>3.3</v>
      </c>
      <c r="K427" s="12">
        <v>0.15</v>
      </c>
      <c r="L427" s="14">
        <v>188.975</v>
      </c>
      <c r="M427" s="14">
        <v>173.874</v>
      </c>
      <c r="N427" s="14">
        <v>185.816</v>
      </c>
      <c r="O427" s="14">
        <v>151.249</v>
      </c>
      <c r="P427" s="14">
        <v>159.829</v>
      </c>
      <c r="Q427" s="14">
        <v>171.9486</v>
      </c>
      <c r="R427" s="20">
        <v>7.59</v>
      </c>
      <c r="S427" s="20">
        <v>7.65</v>
      </c>
      <c r="T427" s="20">
        <v>7.58</v>
      </c>
      <c r="U427" s="20">
        <v>7.55</v>
      </c>
      <c r="V427" s="20">
        <v>7.52</v>
      </c>
      <c r="W427" s="14">
        <v>7.578</v>
      </c>
      <c r="X427" s="14">
        <v>17.2</v>
      </c>
      <c r="Y427" s="14">
        <v>17.3</v>
      </c>
      <c r="Z427" s="14">
        <v>17.4</v>
      </c>
      <c r="AA427" s="14">
        <v>17.4</v>
      </c>
      <c r="AB427" s="14">
        <v>17.5</v>
      </c>
      <c r="AC427" s="14">
        <v>17.36</v>
      </c>
      <c r="AD427" s="20">
        <v>175.4</v>
      </c>
      <c r="AE427" s="20">
        <v>165.4</v>
      </c>
      <c r="AF427" s="20">
        <v>163.3</v>
      </c>
      <c r="AG427" s="20">
        <v>165.9</v>
      </c>
      <c r="AH427" s="20">
        <v>164.8</v>
      </c>
      <c r="AI427" s="14">
        <v>166.95999999999998</v>
      </c>
      <c r="AJ427" s="14">
        <v>5.9</v>
      </c>
      <c r="AK427" s="14">
        <v>5.31</v>
      </c>
      <c r="AL427" s="14">
        <v>5.63</v>
      </c>
      <c r="AM427" s="14">
        <v>5.51</v>
      </c>
      <c r="AN427" s="14">
        <v>4.78</v>
      </c>
      <c r="AO427" s="14">
        <v>5.426</v>
      </c>
      <c r="AP427" s="14">
        <v>11.0</v>
      </c>
      <c r="AQ427" s="14">
        <v>28.0</v>
      </c>
      <c r="AR427" s="14">
        <v>25.0</v>
      </c>
      <c r="AS427" s="14">
        <v>2.3</v>
      </c>
      <c r="AT427" s="14">
        <v>1.06</v>
      </c>
      <c r="AU427" s="14">
        <v>1483000.0</v>
      </c>
      <c r="AV427" s="14">
        <v>0.98</v>
      </c>
      <c r="AW427" s="14">
        <v>14.3</v>
      </c>
      <c r="AX427" s="14">
        <v>122300.0</v>
      </c>
      <c r="AY427" s="14">
        <v>0.2</v>
      </c>
      <c r="AZ427" s="14">
        <v>0.007</v>
      </c>
      <c r="BA427" s="14">
        <f t="shared" si="1"/>
        <v>14.507</v>
      </c>
    </row>
    <row r="428" ht="14.25" customHeight="1">
      <c r="A428" s="10" t="s">
        <v>659</v>
      </c>
      <c r="B428" s="12" t="s">
        <v>61</v>
      </c>
      <c r="C428" s="12"/>
      <c r="D428" s="12"/>
      <c r="E428" s="44">
        <v>44438.0</v>
      </c>
      <c r="F428" s="29">
        <v>1.0</v>
      </c>
      <c r="G428" s="12" t="s">
        <v>660</v>
      </c>
      <c r="H428" s="45">
        <v>0.33333333333212</v>
      </c>
      <c r="I428" s="45">
        <v>0.416666666667879</v>
      </c>
      <c r="J428" s="12">
        <v>12.0</v>
      </c>
      <c r="K428" s="12">
        <v>0.21</v>
      </c>
      <c r="L428" s="14">
        <v>349.003</v>
      </c>
      <c r="M428" s="14">
        <v>363.27</v>
      </c>
      <c r="N428" s="14">
        <v>379.189</v>
      </c>
      <c r="O428" s="14">
        <v>367.515</v>
      </c>
      <c r="P428" s="14">
        <v>379.977</v>
      </c>
      <c r="Q428" s="14">
        <v>367.79079999999993</v>
      </c>
      <c r="R428" s="20">
        <v>7.57</v>
      </c>
      <c r="S428" s="20">
        <v>7.43</v>
      </c>
      <c r="T428" s="20">
        <v>7.73</v>
      </c>
      <c r="U428" s="20">
        <v>7.44</v>
      </c>
      <c r="V428" s="20">
        <v>7.44</v>
      </c>
      <c r="W428" s="14">
        <v>7.522</v>
      </c>
      <c r="X428" s="14">
        <v>12.7</v>
      </c>
      <c r="Y428" s="14">
        <v>13.0</v>
      </c>
      <c r="Z428" s="14">
        <v>13.7</v>
      </c>
      <c r="AA428" s="14">
        <v>14.6</v>
      </c>
      <c r="AB428" s="14">
        <v>15.0</v>
      </c>
      <c r="AC428" s="14">
        <v>13.8</v>
      </c>
      <c r="AD428" s="20">
        <v>246.0</v>
      </c>
      <c r="AE428" s="20">
        <v>236.0</v>
      </c>
      <c r="AF428" s="20">
        <v>442.0</v>
      </c>
      <c r="AG428" s="20">
        <v>395.0</v>
      </c>
      <c r="AH428" s="20">
        <v>423.0</v>
      </c>
      <c r="AI428" s="14">
        <v>348.4</v>
      </c>
      <c r="AJ428" s="14">
        <v>2.05</v>
      </c>
      <c r="AK428" s="14">
        <v>1.85</v>
      </c>
      <c r="AL428" s="14">
        <v>1.75</v>
      </c>
      <c r="AM428" s="14">
        <v>1.66</v>
      </c>
      <c r="AN428" s="14">
        <v>1.23</v>
      </c>
      <c r="AO428" s="14">
        <v>1.7080000000000002</v>
      </c>
      <c r="AP428" s="14">
        <v>35.0</v>
      </c>
      <c r="AQ428" s="14">
        <v>58.0</v>
      </c>
      <c r="AR428" s="14">
        <v>21.0</v>
      </c>
      <c r="AS428" s="14">
        <v>1.2</v>
      </c>
      <c r="AT428" s="14">
        <v>0.88</v>
      </c>
      <c r="AU428" s="14">
        <v>1989000.0</v>
      </c>
      <c r="AV428" s="14">
        <v>3.36</v>
      </c>
      <c r="AW428" s="14">
        <v>29.4</v>
      </c>
      <c r="AX428" s="14">
        <v>73800.0</v>
      </c>
      <c r="AY428" s="14">
        <v>0.4</v>
      </c>
      <c r="AZ428" s="14">
        <v>0.007</v>
      </c>
      <c r="BA428" s="14">
        <f t="shared" si="1"/>
        <v>29.807</v>
      </c>
    </row>
    <row r="429" ht="14.25" customHeight="1">
      <c r="A429" s="10" t="s">
        <v>661</v>
      </c>
      <c r="B429" s="12" t="s">
        <v>67</v>
      </c>
      <c r="C429" s="12"/>
      <c r="D429" s="12"/>
      <c r="E429" s="44">
        <v>44420.0</v>
      </c>
      <c r="F429" s="29">
        <v>1.0</v>
      </c>
      <c r="G429" s="12" t="s">
        <v>662</v>
      </c>
      <c r="H429" s="45">
        <v>0.25</v>
      </c>
      <c r="I429" s="45">
        <v>0.33333333333212</v>
      </c>
      <c r="J429" s="12">
        <v>1.7</v>
      </c>
      <c r="K429" s="12">
        <v>0.16</v>
      </c>
      <c r="L429" s="14">
        <v>94.854</v>
      </c>
      <c r="M429" s="14">
        <v>80.285</v>
      </c>
      <c r="N429" s="14">
        <v>95.535</v>
      </c>
      <c r="O429" s="14">
        <v>120.231</v>
      </c>
      <c r="P429" s="14">
        <v>103.599</v>
      </c>
      <c r="Q429" s="14">
        <v>98.90079999999999</v>
      </c>
      <c r="R429" s="20">
        <v>6.43</v>
      </c>
      <c r="S429" s="20">
        <v>7.52</v>
      </c>
      <c r="T429" s="20">
        <v>7.66</v>
      </c>
      <c r="U429" s="20">
        <v>7.69</v>
      </c>
      <c r="V429" s="20">
        <v>7.88</v>
      </c>
      <c r="W429" s="14">
        <v>7.436</v>
      </c>
      <c r="X429" s="14">
        <v>13.5</v>
      </c>
      <c r="Y429" s="14">
        <v>13.1</v>
      </c>
      <c r="Z429" s="14">
        <v>13.3</v>
      </c>
      <c r="AA429" s="14">
        <v>13.3</v>
      </c>
      <c r="AB429" s="14">
        <v>13.3</v>
      </c>
      <c r="AC429" s="14">
        <v>13.3</v>
      </c>
      <c r="AD429" s="20">
        <v>123.8</v>
      </c>
      <c r="AE429" s="20">
        <v>125.5</v>
      </c>
      <c r="AF429" s="20">
        <v>122.0</v>
      </c>
      <c r="AG429" s="20">
        <v>124.1</v>
      </c>
      <c r="AH429" s="20">
        <v>138.1</v>
      </c>
      <c r="AI429" s="14">
        <v>126.7</v>
      </c>
      <c r="AJ429" s="14">
        <v>6.86</v>
      </c>
      <c r="AK429" s="14">
        <v>7.21</v>
      </c>
      <c r="AL429" s="14">
        <v>7.33</v>
      </c>
      <c r="AM429" s="14">
        <v>7.21</v>
      </c>
      <c r="AN429" s="14">
        <v>7.28</v>
      </c>
      <c r="AO429" s="14">
        <v>7.178</v>
      </c>
      <c r="AP429" s="14">
        <v>20.0</v>
      </c>
      <c r="AQ429" s="14">
        <v>34.0</v>
      </c>
      <c r="AR429" s="14">
        <v>29.0</v>
      </c>
      <c r="AS429" s="14">
        <v>1.2</v>
      </c>
      <c r="AT429" s="14">
        <v>0.09</v>
      </c>
      <c r="AU429" s="14">
        <v>987000.0</v>
      </c>
      <c r="AV429" s="14">
        <v>0.48</v>
      </c>
      <c r="AW429" s="14">
        <v>6.2</v>
      </c>
      <c r="AX429" s="14">
        <v>780000.0</v>
      </c>
      <c r="AY429" s="14">
        <v>1.3</v>
      </c>
      <c r="AZ429" s="14">
        <v>0.184</v>
      </c>
      <c r="BA429" s="14">
        <f t="shared" si="1"/>
        <v>7.684</v>
      </c>
    </row>
    <row r="430" ht="14.25" customHeight="1">
      <c r="A430" s="10" t="s">
        <v>663</v>
      </c>
      <c r="B430" s="12" t="s">
        <v>83</v>
      </c>
      <c r="C430" s="12"/>
      <c r="D430" s="12"/>
      <c r="E430" s="44">
        <v>44438.0</v>
      </c>
      <c r="F430" s="29">
        <v>1.0</v>
      </c>
      <c r="G430" s="12" t="s">
        <v>664</v>
      </c>
      <c r="H430" s="45">
        <v>0.5</v>
      </c>
      <c r="I430" s="45">
        <v>0.58333333333212</v>
      </c>
      <c r="J430" s="12">
        <v>4.5</v>
      </c>
      <c r="K430" s="12">
        <v>0.3</v>
      </c>
      <c r="L430" s="14">
        <v>445.601</v>
      </c>
      <c r="M430" s="14">
        <v>474.715</v>
      </c>
      <c r="N430" s="14">
        <v>482.603</v>
      </c>
      <c r="O430" s="14">
        <v>479.345</v>
      </c>
      <c r="P430" s="14">
        <v>481.645</v>
      </c>
      <c r="Q430" s="14">
        <v>472.78180000000003</v>
      </c>
      <c r="R430" s="20">
        <v>8.12</v>
      </c>
      <c r="S430" s="20">
        <v>8.1</v>
      </c>
      <c r="T430" s="20">
        <v>7.99</v>
      </c>
      <c r="U430" s="20">
        <v>7.81</v>
      </c>
      <c r="V430" s="20">
        <v>7.92</v>
      </c>
      <c r="W430" s="14">
        <v>7.988000000000001</v>
      </c>
      <c r="X430" s="14">
        <v>14.6</v>
      </c>
      <c r="Y430" s="14">
        <v>14.9</v>
      </c>
      <c r="Z430" s="14">
        <v>15.0</v>
      </c>
      <c r="AA430" s="14">
        <v>15.4</v>
      </c>
      <c r="AB430" s="14">
        <v>16.3</v>
      </c>
      <c r="AC430" s="14">
        <v>15.24</v>
      </c>
      <c r="AD430" s="20">
        <v>554.0</v>
      </c>
      <c r="AE430" s="20">
        <v>673.0</v>
      </c>
      <c r="AF430" s="20">
        <v>719.0</v>
      </c>
      <c r="AG430" s="20">
        <v>590.0</v>
      </c>
      <c r="AH430" s="20">
        <v>674.0</v>
      </c>
      <c r="AI430" s="14">
        <v>642.0</v>
      </c>
      <c r="AJ430" s="14">
        <v>2.17</v>
      </c>
      <c r="AK430" s="14">
        <v>2.32</v>
      </c>
      <c r="AL430" s="14">
        <v>2.29</v>
      </c>
      <c r="AM430" s="14">
        <v>2.09</v>
      </c>
      <c r="AN430" s="14">
        <v>2.12</v>
      </c>
      <c r="AO430" s="14">
        <v>2.1980000000000004</v>
      </c>
      <c r="AP430" s="14">
        <v>41.0</v>
      </c>
      <c r="AQ430" s="14">
        <v>59.0</v>
      </c>
      <c r="AR430" s="14">
        <v>77.0</v>
      </c>
      <c r="AS430" s="14">
        <v>1.2</v>
      </c>
      <c r="AT430" s="14">
        <v>5.4</v>
      </c>
      <c r="AU430" s="14">
        <v>8820000.0</v>
      </c>
      <c r="AV430" s="14">
        <v>4.26</v>
      </c>
      <c r="AW430" s="14">
        <v>42.0</v>
      </c>
      <c r="AX430" s="14">
        <v>448000.0</v>
      </c>
      <c r="AY430" s="14">
        <v>0.9</v>
      </c>
      <c r="AZ430" s="14">
        <v>0.007</v>
      </c>
      <c r="BA430" s="14">
        <f t="shared" si="1"/>
        <v>42.907</v>
      </c>
    </row>
    <row r="431" ht="14.25" customHeight="1">
      <c r="A431" s="10" t="s">
        <v>665</v>
      </c>
      <c r="B431" s="12" t="s">
        <v>116</v>
      </c>
      <c r="C431" s="12"/>
      <c r="D431" s="12"/>
      <c r="E431" s="44">
        <v>44432.0</v>
      </c>
      <c r="F431" s="29">
        <v>1.0</v>
      </c>
      <c r="G431" s="12" t="s">
        <v>666</v>
      </c>
      <c r="H431" s="45">
        <v>0.416666666667879</v>
      </c>
      <c r="I431" s="45">
        <v>0.5</v>
      </c>
      <c r="J431" s="12">
        <v>3.0</v>
      </c>
      <c r="K431" s="12">
        <v>0.09</v>
      </c>
      <c r="L431" s="14">
        <v>32.351</v>
      </c>
      <c r="M431" s="14">
        <v>35.766</v>
      </c>
      <c r="N431" s="14">
        <v>39.098</v>
      </c>
      <c r="O431" s="14">
        <v>42.059</v>
      </c>
      <c r="P431" s="14">
        <v>40.763</v>
      </c>
      <c r="Q431" s="14">
        <v>38.007400000000004</v>
      </c>
      <c r="R431" s="20">
        <v>8.48</v>
      </c>
      <c r="S431" s="20">
        <v>8.57</v>
      </c>
      <c r="T431" s="20">
        <v>8.58</v>
      </c>
      <c r="U431" s="20">
        <v>8.65</v>
      </c>
      <c r="V431" s="20">
        <v>7.81</v>
      </c>
      <c r="W431" s="14">
        <v>8.418000000000001</v>
      </c>
      <c r="X431" s="14">
        <v>21.6</v>
      </c>
      <c r="Y431" s="14">
        <v>21.8</v>
      </c>
      <c r="Z431" s="14">
        <v>21.5</v>
      </c>
      <c r="AA431" s="14">
        <v>20.8</v>
      </c>
      <c r="AB431" s="14">
        <v>21.5</v>
      </c>
      <c r="AC431" s="14">
        <v>21.44</v>
      </c>
      <c r="AD431" s="20">
        <v>214.0</v>
      </c>
      <c r="AE431" s="20">
        <v>221.0</v>
      </c>
      <c r="AF431" s="20">
        <v>214.0</v>
      </c>
      <c r="AG431" s="20">
        <v>216.0</v>
      </c>
      <c r="AH431" s="20">
        <v>224.0</v>
      </c>
      <c r="AI431" s="14">
        <v>217.8</v>
      </c>
      <c r="AJ431" s="14">
        <v>5.58</v>
      </c>
      <c r="AK431" s="14">
        <v>5.77</v>
      </c>
      <c r="AL431" s="14">
        <v>5.72</v>
      </c>
      <c r="AM431" s="14">
        <v>5.67</v>
      </c>
      <c r="AN431" s="14">
        <v>5.7</v>
      </c>
      <c r="AO431" s="14">
        <v>5.688000000000001</v>
      </c>
      <c r="AP431" s="14">
        <v>8.0</v>
      </c>
      <c r="AQ431" s="14">
        <v>27.0</v>
      </c>
      <c r="AR431" s="14">
        <v>17.0</v>
      </c>
      <c r="AS431" s="14">
        <v>1.2</v>
      </c>
      <c r="AT431" s="14">
        <v>0.08</v>
      </c>
      <c r="AU431" s="14">
        <v>985000.0</v>
      </c>
      <c r="AV431" s="14">
        <v>0.42</v>
      </c>
      <c r="AW431" s="14">
        <v>6.2</v>
      </c>
      <c r="AX431" s="14">
        <v>83900.0</v>
      </c>
      <c r="AY431" s="14">
        <v>1.4</v>
      </c>
      <c r="AZ431" s="14">
        <v>0.192</v>
      </c>
      <c r="BA431" s="14">
        <f t="shared" si="1"/>
        <v>7.792</v>
      </c>
    </row>
    <row r="432" ht="14.25" customHeight="1">
      <c r="A432" s="10" t="s">
        <v>667</v>
      </c>
      <c r="B432" s="16" t="s">
        <v>93</v>
      </c>
      <c r="C432" s="12"/>
      <c r="D432" s="12"/>
      <c r="E432" s="44">
        <v>44438.0</v>
      </c>
      <c r="F432" s="29">
        <v>1.0</v>
      </c>
      <c r="G432" s="12" t="s">
        <v>668</v>
      </c>
      <c r="H432" s="45">
        <v>0.25</v>
      </c>
      <c r="I432" s="45">
        <v>0.33333333333212</v>
      </c>
      <c r="J432" s="12">
        <v>3.2</v>
      </c>
      <c r="K432" s="12">
        <v>0.4</v>
      </c>
      <c r="L432" s="14">
        <v>156.394</v>
      </c>
      <c r="M432" s="14">
        <v>181.983</v>
      </c>
      <c r="N432" s="14">
        <v>188.829</v>
      </c>
      <c r="O432" s="14">
        <v>195.863</v>
      </c>
      <c r="P432" s="14">
        <v>200.367</v>
      </c>
      <c r="Q432" s="14">
        <v>184.6872</v>
      </c>
      <c r="R432" s="20">
        <v>7.02</v>
      </c>
      <c r="S432" s="20">
        <v>7.89</v>
      </c>
      <c r="T432" s="20">
        <v>8.0</v>
      </c>
      <c r="U432" s="20">
        <v>8.07</v>
      </c>
      <c r="V432" s="20">
        <v>8.1</v>
      </c>
      <c r="W432" s="14">
        <v>7.816</v>
      </c>
      <c r="X432" s="14">
        <v>14.4</v>
      </c>
      <c r="Y432" s="14">
        <v>14.4</v>
      </c>
      <c r="Z432" s="14">
        <v>14.6</v>
      </c>
      <c r="AA432" s="14">
        <v>14.8</v>
      </c>
      <c r="AB432" s="14">
        <v>14.9</v>
      </c>
      <c r="AC432" s="14">
        <v>14.620000000000001</v>
      </c>
      <c r="AD432" s="20">
        <v>289.0</v>
      </c>
      <c r="AE432" s="20">
        <v>287.0</v>
      </c>
      <c r="AF432" s="20">
        <v>291.0</v>
      </c>
      <c r="AG432" s="20">
        <v>440.0</v>
      </c>
      <c r="AH432" s="20">
        <v>463.0</v>
      </c>
      <c r="AI432" s="14">
        <v>354.0</v>
      </c>
      <c r="AJ432" s="14">
        <v>5.29</v>
      </c>
      <c r="AK432" s="14">
        <v>5.27</v>
      </c>
      <c r="AL432" s="14">
        <v>5.0</v>
      </c>
      <c r="AM432" s="14">
        <v>5.07</v>
      </c>
      <c r="AN432" s="14">
        <v>5.02</v>
      </c>
      <c r="AO432" s="14">
        <v>5.13</v>
      </c>
      <c r="AP432" s="14">
        <v>77.0</v>
      </c>
      <c r="AQ432" s="14">
        <v>107.0</v>
      </c>
      <c r="AR432" s="14">
        <v>38.0</v>
      </c>
      <c r="AS432" s="14">
        <v>1.2</v>
      </c>
      <c r="AT432" s="14">
        <v>2.36</v>
      </c>
      <c r="AU432" s="14">
        <v>9320000.0</v>
      </c>
      <c r="AV432" s="14">
        <v>4.12</v>
      </c>
      <c r="AW432" s="14">
        <v>46.2</v>
      </c>
      <c r="AX432" s="14">
        <v>5630.0</v>
      </c>
      <c r="AY432" s="14">
        <v>0.7</v>
      </c>
      <c r="AZ432" s="14">
        <v>0.007</v>
      </c>
      <c r="BA432" s="14">
        <f t="shared" si="1"/>
        <v>46.907</v>
      </c>
    </row>
    <row r="433" ht="14.25" customHeight="1">
      <c r="A433" s="10" t="s">
        <v>669</v>
      </c>
      <c r="B433" s="12" t="s">
        <v>135</v>
      </c>
      <c r="C433" s="12"/>
      <c r="D433" s="12"/>
      <c r="E433" s="44">
        <v>44426.0</v>
      </c>
      <c r="F433" s="29">
        <v>1.0</v>
      </c>
      <c r="G433" s="12" t="s">
        <v>670</v>
      </c>
      <c r="H433" s="45">
        <v>0.666666666667879</v>
      </c>
      <c r="I433" s="45">
        <v>0.75</v>
      </c>
      <c r="J433" s="12">
        <v>4.0</v>
      </c>
      <c r="K433" s="12">
        <v>0.45</v>
      </c>
      <c r="L433" s="14">
        <v>761.714</v>
      </c>
      <c r="M433" s="14">
        <v>768.341</v>
      </c>
      <c r="N433" s="14">
        <v>767.994</v>
      </c>
      <c r="O433" s="14">
        <v>776.231</v>
      </c>
      <c r="P433" s="14">
        <v>770.656</v>
      </c>
      <c r="Q433" s="14">
        <v>768.9871999999999</v>
      </c>
      <c r="R433" s="20">
        <v>7.29</v>
      </c>
      <c r="S433" s="20">
        <v>7.38</v>
      </c>
      <c r="T433" s="20">
        <v>7.37</v>
      </c>
      <c r="U433" s="20">
        <v>7.34</v>
      </c>
      <c r="V433" s="20">
        <v>7.36</v>
      </c>
      <c r="W433" s="14">
        <v>7.348000000000001</v>
      </c>
      <c r="X433" s="14">
        <v>15.2</v>
      </c>
      <c r="Y433" s="14">
        <v>16.0</v>
      </c>
      <c r="Z433" s="14">
        <v>15.0</v>
      </c>
      <c r="AA433" s="14">
        <v>14.5</v>
      </c>
      <c r="AB433" s="14">
        <v>14.4</v>
      </c>
      <c r="AC433" s="14">
        <v>15.020000000000001</v>
      </c>
      <c r="AD433" s="20">
        <v>91.8</v>
      </c>
      <c r="AE433" s="20">
        <v>91.4</v>
      </c>
      <c r="AF433" s="20">
        <v>94.3</v>
      </c>
      <c r="AG433" s="20">
        <v>92.6</v>
      </c>
      <c r="AH433" s="20">
        <v>91.7</v>
      </c>
      <c r="AI433" s="14">
        <v>92.36</v>
      </c>
      <c r="AJ433" s="14">
        <v>5.31</v>
      </c>
      <c r="AK433" s="14">
        <v>5.72</v>
      </c>
      <c r="AL433" s="14">
        <v>5.77</v>
      </c>
      <c r="AM433" s="14">
        <v>5.69</v>
      </c>
      <c r="AN433" s="14">
        <v>5.73</v>
      </c>
      <c r="AO433" s="14">
        <v>5.644</v>
      </c>
      <c r="AP433" s="14">
        <v>24.0</v>
      </c>
      <c r="AQ433" s="14">
        <v>32.0</v>
      </c>
      <c r="AR433" s="14">
        <v>98.0</v>
      </c>
      <c r="AS433" s="14">
        <v>1.2</v>
      </c>
      <c r="AT433" s="14">
        <v>0.43</v>
      </c>
      <c r="AU433" s="14">
        <v>935000.0</v>
      </c>
      <c r="AV433" s="14">
        <v>0.26</v>
      </c>
      <c r="AW433" s="14">
        <v>5.3</v>
      </c>
      <c r="AX433" s="14">
        <v>83200.0</v>
      </c>
      <c r="AY433" s="14">
        <v>0.6</v>
      </c>
      <c r="AZ433" s="14">
        <v>0.112</v>
      </c>
      <c r="BA433" s="14">
        <f t="shared" si="1"/>
        <v>6.012</v>
      </c>
    </row>
    <row r="434" ht="14.25" customHeight="1">
      <c r="A434" s="10" t="s">
        <v>671</v>
      </c>
      <c r="B434" s="16" t="s">
        <v>79</v>
      </c>
      <c r="C434" s="12"/>
      <c r="D434" s="12"/>
      <c r="E434" s="46">
        <v>44438.0</v>
      </c>
      <c r="F434" s="47">
        <v>1.0</v>
      </c>
      <c r="G434" s="18" t="s">
        <v>672</v>
      </c>
      <c r="H434" s="13">
        <v>0.416666666667879</v>
      </c>
      <c r="I434" s="13">
        <v>0.5</v>
      </c>
      <c r="J434" s="18">
        <v>0.8</v>
      </c>
      <c r="K434" s="18">
        <v>0.13</v>
      </c>
      <c r="L434" s="15">
        <v>27.979</v>
      </c>
      <c r="M434" s="15">
        <v>28.043</v>
      </c>
      <c r="N434" s="15">
        <v>29.131</v>
      </c>
      <c r="O434" s="15">
        <v>27.351</v>
      </c>
      <c r="P434" s="15">
        <v>30.918</v>
      </c>
      <c r="Q434" s="15">
        <v>28.6844</v>
      </c>
      <c r="R434" s="20">
        <v>7.76</v>
      </c>
      <c r="S434" s="20">
        <v>6.68</v>
      </c>
      <c r="T434" s="20">
        <v>6.37</v>
      </c>
      <c r="U434" s="20">
        <v>6.01</v>
      </c>
      <c r="V434" s="20">
        <v>6.01</v>
      </c>
      <c r="W434" s="15">
        <v>6.566</v>
      </c>
      <c r="X434" s="15">
        <v>11.3</v>
      </c>
      <c r="Y434" s="15">
        <v>11.1</v>
      </c>
      <c r="Z434" s="15">
        <v>11.1</v>
      </c>
      <c r="AA434" s="15">
        <v>11.8</v>
      </c>
      <c r="AB434" s="15">
        <v>11.8</v>
      </c>
      <c r="AC434" s="15">
        <v>11.419999999999998</v>
      </c>
      <c r="AD434" s="20">
        <v>16.0</v>
      </c>
      <c r="AE434" s="20">
        <v>15.1</v>
      </c>
      <c r="AF434" s="20">
        <v>14.7</v>
      </c>
      <c r="AG434" s="20">
        <v>15.2</v>
      </c>
      <c r="AH434" s="20">
        <v>15.0</v>
      </c>
      <c r="AI434" s="15">
        <v>15.2</v>
      </c>
      <c r="AJ434" s="15">
        <v>6.5</v>
      </c>
      <c r="AK434" s="15">
        <v>6.27</v>
      </c>
      <c r="AL434" s="15">
        <v>6.43</v>
      </c>
      <c r="AM434" s="15">
        <v>6.97</v>
      </c>
      <c r="AN434" s="15">
        <v>6.05</v>
      </c>
      <c r="AO434" s="15">
        <v>6.444</v>
      </c>
      <c r="AP434" s="15">
        <v>3.0</v>
      </c>
      <c r="AQ434" s="15">
        <v>7.0</v>
      </c>
      <c r="AR434" s="15">
        <v>11.0</v>
      </c>
      <c r="AS434" s="15">
        <v>1.2</v>
      </c>
      <c r="AT434" s="15">
        <v>0.07</v>
      </c>
      <c r="AU434" s="15">
        <v>6440.0</v>
      </c>
      <c r="AV434" s="15">
        <v>0.59</v>
      </c>
      <c r="AW434" s="15">
        <v>1.0</v>
      </c>
      <c r="AX434" s="15">
        <v>12.1</v>
      </c>
      <c r="AY434" s="15">
        <v>0.3</v>
      </c>
      <c r="AZ434" s="15">
        <v>0.007</v>
      </c>
      <c r="BA434" s="15">
        <f t="shared" si="1"/>
        <v>1.307</v>
      </c>
    </row>
    <row r="435" ht="14.25" customHeight="1">
      <c r="A435" s="10" t="s">
        <v>673</v>
      </c>
      <c r="B435" s="12" t="s">
        <v>85</v>
      </c>
      <c r="C435" s="12"/>
      <c r="D435" s="12"/>
      <c r="E435" s="44">
        <v>44428.0</v>
      </c>
      <c r="F435" s="29">
        <v>1.0</v>
      </c>
      <c r="G435" s="12" t="s">
        <v>674</v>
      </c>
      <c r="H435" s="45">
        <v>0.416666666667879</v>
      </c>
      <c r="I435" s="45">
        <v>0.5</v>
      </c>
      <c r="J435" s="12">
        <v>5.8</v>
      </c>
      <c r="K435" s="12">
        <v>0.22</v>
      </c>
      <c r="L435" s="14">
        <v>415.845</v>
      </c>
      <c r="M435" s="14">
        <v>431.772</v>
      </c>
      <c r="N435" s="14">
        <v>382.903</v>
      </c>
      <c r="O435" s="14">
        <v>362.487</v>
      </c>
      <c r="P435" s="14">
        <v>312.682</v>
      </c>
      <c r="Q435" s="14">
        <v>381.1378</v>
      </c>
      <c r="R435" s="20">
        <v>8.0</v>
      </c>
      <c r="S435" s="20">
        <v>7.76</v>
      </c>
      <c r="T435" s="20">
        <v>7.68</v>
      </c>
      <c r="U435" s="20">
        <v>7.78</v>
      </c>
      <c r="V435" s="20">
        <v>7.73</v>
      </c>
      <c r="W435" s="14">
        <v>7.790000000000001</v>
      </c>
      <c r="X435" s="14">
        <v>20.1</v>
      </c>
      <c r="Y435" s="14">
        <v>20.1</v>
      </c>
      <c r="Z435" s="14">
        <v>20.0</v>
      </c>
      <c r="AA435" s="14">
        <v>19.3</v>
      </c>
      <c r="AB435" s="14">
        <v>19.9</v>
      </c>
      <c r="AC435" s="14">
        <v>19.880000000000003</v>
      </c>
      <c r="AD435" s="20">
        <v>287.0</v>
      </c>
      <c r="AE435" s="20">
        <v>282.0</v>
      </c>
      <c r="AF435" s="20">
        <v>283.0</v>
      </c>
      <c r="AG435" s="20">
        <v>287.0</v>
      </c>
      <c r="AH435" s="20">
        <v>290.0</v>
      </c>
      <c r="AI435" s="14">
        <v>285.8</v>
      </c>
      <c r="AJ435" s="14">
        <v>2.96</v>
      </c>
      <c r="AK435" s="14">
        <v>3.02</v>
      </c>
      <c r="AL435" s="14">
        <v>3.06</v>
      </c>
      <c r="AM435" s="14">
        <v>2.98</v>
      </c>
      <c r="AN435" s="14">
        <v>2.79</v>
      </c>
      <c r="AO435" s="14">
        <v>2.9620000000000006</v>
      </c>
      <c r="AP435" s="14">
        <v>154.0</v>
      </c>
      <c r="AQ435" s="14">
        <v>220.0</v>
      </c>
      <c r="AR435" s="14">
        <v>97.0</v>
      </c>
      <c r="AS435" s="14">
        <v>64.0</v>
      </c>
      <c r="AT435" s="14">
        <v>4.44</v>
      </c>
      <c r="AU435" s="14">
        <v>9140000.0</v>
      </c>
      <c r="AV435" s="14">
        <v>3.15</v>
      </c>
      <c r="AW435" s="14">
        <v>30.5</v>
      </c>
      <c r="AX435" s="14">
        <v>871000.0</v>
      </c>
      <c r="AY435" s="14">
        <v>0.4</v>
      </c>
      <c r="AZ435" s="14">
        <v>0.007</v>
      </c>
      <c r="BA435" s="14">
        <f t="shared" si="1"/>
        <v>30.907</v>
      </c>
    </row>
    <row r="436" ht="14.25" customHeight="1">
      <c r="A436" s="10" t="s">
        <v>675</v>
      </c>
      <c r="B436" s="12" t="s">
        <v>133</v>
      </c>
      <c r="C436" s="12"/>
      <c r="D436" s="12"/>
      <c r="E436" s="44">
        <v>44439.0</v>
      </c>
      <c r="F436" s="29">
        <v>1.0</v>
      </c>
      <c r="G436" s="12" t="s">
        <v>676</v>
      </c>
      <c r="H436" s="45">
        <v>0.416666666667879</v>
      </c>
      <c r="I436" s="45">
        <v>0.5</v>
      </c>
      <c r="J436" s="12">
        <v>5.0</v>
      </c>
      <c r="K436" s="12">
        <v>0.35</v>
      </c>
      <c r="L436" s="14">
        <v>306.228</v>
      </c>
      <c r="M436" s="14">
        <v>304.395</v>
      </c>
      <c r="N436" s="14">
        <v>305.934</v>
      </c>
      <c r="O436" s="14">
        <v>315.543</v>
      </c>
      <c r="P436" s="14">
        <v>317.474</v>
      </c>
      <c r="Q436" s="14">
        <v>309.91479999999996</v>
      </c>
      <c r="R436" s="20">
        <v>7.17</v>
      </c>
      <c r="S436" s="20">
        <v>7.12</v>
      </c>
      <c r="T436" s="20">
        <v>7.19</v>
      </c>
      <c r="U436" s="20">
        <v>7.13</v>
      </c>
      <c r="V436" s="20">
        <v>7.03</v>
      </c>
      <c r="W436" s="14">
        <v>7.128</v>
      </c>
      <c r="X436" s="14">
        <v>12.4</v>
      </c>
      <c r="Y436" s="14">
        <v>11.9</v>
      </c>
      <c r="Z436" s="14">
        <v>12.1</v>
      </c>
      <c r="AA436" s="14">
        <v>12.3</v>
      </c>
      <c r="AB436" s="14">
        <v>12.3</v>
      </c>
      <c r="AC436" s="14">
        <v>12.2</v>
      </c>
      <c r="AD436" s="20">
        <v>48.7</v>
      </c>
      <c r="AE436" s="20">
        <v>49.3</v>
      </c>
      <c r="AF436" s="20">
        <v>49.6</v>
      </c>
      <c r="AG436" s="20">
        <v>51.1</v>
      </c>
      <c r="AH436" s="20">
        <v>51.2</v>
      </c>
      <c r="AI436" s="14">
        <v>49.98</v>
      </c>
      <c r="AJ436" s="14">
        <v>6.16</v>
      </c>
      <c r="AK436" s="14">
        <v>6.35</v>
      </c>
      <c r="AL436" s="14">
        <v>6.0</v>
      </c>
      <c r="AM436" s="14">
        <v>5.98</v>
      </c>
      <c r="AN436" s="14">
        <v>6.42</v>
      </c>
      <c r="AO436" s="14">
        <v>6.1819999999999995</v>
      </c>
      <c r="AP436" s="14">
        <v>10.0</v>
      </c>
      <c r="AQ436" s="14">
        <v>15.0</v>
      </c>
      <c r="AR436" s="14">
        <v>11.0</v>
      </c>
      <c r="AS436" s="14">
        <v>1.2</v>
      </c>
      <c r="AT436" s="14">
        <v>0.07</v>
      </c>
      <c r="AU436" s="14">
        <v>193500.0</v>
      </c>
      <c r="AV436" s="14">
        <v>0.16</v>
      </c>
      <c r="AW436" s="14">
        <v>2.5</v>
      </c>
      <c r="AX436" s="14">
        <v>6160.0</v>
      </c>
      <c r="AY436" s="14">
        <v>0.7</v>
      </c>
      <c r="AZ436" s="14">
        <v>0.036</v>
      </c>
      <c r="BA436" s="14">
        <f t="shared" si="1"/>
        <v>3.236</v>
      </c>
    </row>
    <row r="437" ht="14.25" customHeight="1">
      <c r="A437" s="10" t="s">
        <v>677</v>
      </c>
      <c r="B437" s="12" t="s">
        <v>100</v>
      </c>
      <c r="C437" s="12"/>
      <c r="D437" s="12"/>
      <c r="E437" s="44">
        <v>44427.0</v>
      </c>
      <c r="F437" s="29">
        <v>1.0</v>
      </c>
      <c r="G437" s="12" t="s">
        <v>678</v>
      </c>
      <c r="H437" s="45">
        <v>0.25</v>
      </c>
      <c r="I437" s="45">
        <v>0.33333333333212</v>
      </c>
      <c r="J437" s="12">
        <v>1.8</v>
      </c>
      <c r="K437" s="12">
        <v>0.41</v>
      </c>
      <c r="L437" s="14">
        <v>107.253</v>
      </c>
      <c r="M437" s="14">
        <v>112.999</v>
      </c>
      <c r="N437" s="14">
        <v>119.528</v>
      </c>
      <c r="O437" s="14">
        <v>109.913</v>
      </c>
      <c r="P437" s="14">
        <v>113.359</v>
      </c>
      <c r="Q437" s="14">
        <v>112.6104</v>
      </c>
      <c r="R437" s="20">
        <v>7.7</v>
      </c>
      <c r="S437" s="20">
        <v>7.68</v>
      </c>
      <c r="T437" s="20">
        <v>7.71</v>
      </c>
      <c r="U437" s="20">
        <v>7.66</v>
      </c>
      <c r="V437" s="20">
        <v>7.75</v>
      </c>
      <c r="W437" s="14">
        <v>7.7</v>
      </c>
      <c r="X437" s="14">
        <v>11.8</v>
      </c>
      <c r="Y437" s="14">
        <v>12.0</v>
      </c>
      <c r="Z437" s="14">
        <v>11.9</v>
      </c>
      <c r="AA437" s="14">
        <v>11.9</v>
      </c>
      <c r="AB437" s="14">
        <v>12.1</v>
      </c>
      <c r="AC437" s="14">
        <v>11.940000000000001</v>
      </c>
      <c r="AD437" s="20">
        <v>244.0</v>
      </c>
      <c r="AE437" s="20">
        <v>241.0</v>
      </c>
      <c r="AF437" s="20">
        <v>239.0</v>
      </c>
      <c r="AG437" s="20">
        <v>243.0</v>
      </c>
      <c r="AH437" s="20">
        <v>247.0</v>
      </c>
      <c r="AI437" s="14">
        <v>242.8</v>
      </c>
      <c r="AJ437" s="14">
        <v>4.07</v>
      </c>
      <c r="AK437" s="14">
        <v>3.76</v>
      </c>
      <c r="AL437" s="14">
        <v>3.67</v>
      </c>
      <c r="AM437" s="14">
        <v>3.54</v>
      </c>
      <c r="AN437" s="14">
        <v>3.34</v>
      </c>
      <c r="AO437" s="14">
        <v>3.6759999999999997</v>
      </c>
      <c r="AP437" s="14">
        <v>28.0</v>
      </c>
      <c r="AQ437" s="14">
        <v>49.0</v>
      </c>
      <c r="AR437" s="14">
        <v>123.0</v>
      </c>
      <c r="AS437" s="14">
        <v>1.2</v>
      </c>
      <c r="AT437" s="14">
        <v>0.2</v>
      </c>
      <c r="AU437" s="14">
        <v>7220000.0</v>
      </c>
      <c r="AV437" s="14">
        <v>0.63</v>
      </c>
      <c r="AW437" s="14">
        <v>8.1</v>
      </c>
      <c r="AX437" s="14">
        <v>345000.0</v>
      </c>
      <c r="AY437" s="14">
        <v>0.9</v>
      </c>
      <c r="AZ437" s="14">
        <v>0.163</v>
      </c>
      <c r="BA437" s="14">
        <f t="shared" si="1"/>
        <v>9.163</v>
      </c>
    </row>
    <row r="438" ht="14.25" customHeight="1">
      <c r="A438" s="10" t="s">
        <v>679</v>
      </c>
      <c r="B438" s="12" t="s">
        <v>131</v>
      </c>
      <c r="C438" s="12"/>
      <c r="D438" s="12"/>
      <c r="E438" s="44">
        <v>44439.0</v>
      </c>
      <c r="F438" s="29">
        <v>1.0</v>
      </c>
      <c r="G438" s="12" t="s">
        <v>680</v>
      </c>
      <c r="H438" s="45">
        <v>0.58333333333212</v>
      </c>
      <c r="I438" s="45">
        <v>0.666666666667879</v>
      </c>
      <c r="J438" s="12">
        <v>3.0</v>
      </c>
      <c r="K438" s="12">
        <v>0.58</v>
      </c>
      <c r="L438" s="14">
        <v>353.616</v>
      </c>
      <c r="M438" s="14">
        <v>363.34</v>
      </c>
      <c r="N438" s="14">
        <v>359.596</v>
      </c>
      <c r="O438" s="14">
        <v>346.492</v>
      </c>
      <c r="P438" s="14">
        <v>342.683</v>
      </c>
      <c r="Q438" s="14">
        <v>353.1454</v>
      </c>
      <c r="R438" s="20">
        <v>7.25</v>
      </c>
      <c r="S438" s="20">
        <v>7.24</v>
      </c>
      <c r="T438" s="20">
        <v>7.14</v>
      </c>
      <c r="U438" s="20">
        <v>7.24</v>
      </c>
      <c r="V438" s="20">
        <v>7.21</v>
      </c>
      <c r="W438" s="14">
        <v>7.215999999999999</v>
      </c>
      <c r="X438" s="14">
        <v>14.6</v>
      </c>
      <c r="Y438" s="14">
        <v>14.9</v>
      </c>
      <c r="Z438" s="14">
        <v>14.4</v>
      </c>
      <c r="AA438" s="14">
        <v>14.4</v>
      </c>
      <c r="AB438" s="14">
        <v>14.0</v>
      </c>
      <c r="AC438" s="14">
        <v>14.459999999999999</v>
      </c>
      <c r="AD438" s="20">
        <v>103.5</v>
      </c>
      <c r="AE438" s="20">
        <v>105.2</v>
      </c>
      <c r="AF438" s="20">
        <v>106.2</v>
      </c>
      <c r="AG438" s="20">
        <v>102.4</v>
      </c>
      <c r="AH438" s="20">
        <v>108.0</v>
      </c>
      <c r="AI438" s="14">
        <v>105.05999999999999</v>
      </c>
      <c r="AJ438" s="14">
        <v>5.43</v>
      </c>
      <c r="AK438" s="14">
        <v>5.06</v>
      </c>
      <c r="AL438" s="14">
        <v>4.67</v>
      </c>
      <c r="AM438" s="14">
        <v>4.91</v>
      </c>
      <c r="AN438" s="14">
        <v>4.95</v>
      </c>
      <c r="AO438" s="14">
        <v>5.004</v>
      </c>
      <c r="AP438" s="14">
        <v>25.0</v>
      </c>
      <c r="AQ438" s="14">
        <v>34.0</v>
      </c>
      <c r="AR438" s="14">
        <v>19.0</v>
      </c>
      <c r="AS438" s="14">
        <v>1.2</v>
      </c>
      <c r="AT438" s="14">
        <v>0.33</v>
      </c>
      <c r="AU438" s="14">
        <v>8360000.0</v>
      </c>
      <c r="AV438" s="14">
        <v>0.3</v>
      </c>
      <c r="AW438" s="14">
        <v>5.6</v>
      </c>
      <c r="AX438" s="14">
        <v>6020.0</v>
      </c>
      <c r="AY438" s="14">
        <v>0.3</v>
      </c>
      <c r="AZ438" s="14">
        <v>0.037</v>
      </c>
      <c r="BA438" s="14">
        <f t="shared" si="1"/>
        <v>5.937</v>
      </c>
    </row>
    <row r="439" ht="14.25" customHeight="1">
      <c r="A439" s="10" t="s">
        <v>681</v>
      </c>
      <c r="B439" s="12" t="s">
        <v>135</v>
      </c>
      <c r="C439" s="12"/>
      <c r="D439" s="12"/>
      <c r="E439" s="44">
        <v>44439.0</v>
      </c>
      <c r="F439" s="29">
        <v>1.0</v>
      </c>
      <c r="G439" s="12" t="s">
        <v>682</v>
      </c>
      <c r="H439" s="45">
        <v>0.25</v>
      </c>
      <c r="I439" s="45">
        <v>0.33333333333212</v>
      </c>
      <c r="J439" s="12">
        <v>4.4</v>
      </c>
      <c r="K439" s="12">
        <v>0.34</v>
      </c>
      <c r="L439" s="14">
        <v>450.101</v>
      </c>
      <c r="M439" s="14">
        <v>460.754</v>
      </c>
      <c r="N439" s="14">
        <v>481.21</v>
      </c>
      <c r="O439" s="14">
        <v>478.548</v>
      </c>
      <c r="P439" s="14">
        <v>477.291</v>
      </c>
      <c r="Q439" s="14">
        <v>469.5808</v>
      </c>
      <c r="R439" s="20">
        <v>7.24</v>
      </c>
      <c r="S439" s="20">
        <v>7.31</v>
      </c>
      <c r="T439" s="20">
        <v>7.37</v>
      </c>
      <c r="U439" s="20">
        <v>7.42</v>
      </c>
      <c r="V439" s="20">
        <v>7.44</v>
      </c>
      <c r="W439" s="14">
        <v>7.356</v>
      </c>
      <c r="X439" s="14">
        <v>12.4</v>
      </c>
      <c r="Y439" s="14">
        <v>12.2</v>
      </c>
      <c r="Z439" s="14">
        <v>12.7</v>
      </c>
      <c r="AA439" s="14">
        <v>12.8</v>
      </c>
      <c r="AB439" s="14">
        <v>12.9</v>
      </c>
      <c r="AC439" s="14">
        <v>12.599999999999998</v>
      </c>
      <c r="AD439" s="20">
        <v>88.4</v>
      </c>
      <c r="AE439" s="20">
        <v>97.2</v>
      </c>
      <c r="AF439" s="20">
        <v>104.3</v>
      </c>
      <c r="AG439" s="20">
        <v>120.5</v>
      </c>
      <c r="AH439" s="20">
        <v>125.5</v>
      </c>
      <c r="AI439" s="14">
        <v>107.18000000000002</v>
      </c>
      <c r="AJ439" s="14">
        <v>5.69</v>
      </c>
      <c r="AK439" s="14">
        <v>5.41</v>
      </c>
      <c r="AL439" s="14">
        <v>5.46</v>
      </c>
      <c r="AM439" s="14">
        <v>5.26</v>
      </c>
      <c r="AN439" s="14">
        <v>5.3</v>
      </c>
      <c r="AO439" s="14">
        <v>5.424</v>
      </c>
      <c r="AP439" s="14">
        <v>17.0</v>
      </c>
      <c r="AQ439" s="14">
        <v>29.0</v>
      </c>
      <c r="AR439" s="14">
        <v>20.0</v>
      </c>
      <c r="AS439" s="14">
        <v>1.2</v>
      </c>
      <c r="AT439" s="14">
        <v>0.07</v>
      </c>
      <c r="AU439" s="14">
        <v>9590000.0</v>
      </c>
      <c r="AV439" s="14">
        <v>0.73</v>
      </c>
      <c r="AW439" s="14">
        <v>8.4</v>
      </c>
      <c r="AX439" s="14">
        <v>703000.0</v>
      </c>
      <c r="AY439" s="14">
        <v>0.5</v>
      </c>
      <c r="AZ439" s="14">
        <v>0.081</v>
      </c>
      <c r="BA439" s="14">
        <f t="shared" si="1"/>
        <v>8.981</v>
      </c>
    </row>
    <row r="440" ht="14.25" customHeight="1">
      <c r="A440" s="10" t="s">
        <v>683</v>
      </c>
      <c r="B440" s="12" t="s">
        <v>95</v>
      </c>
      <c r="C440" s="12"/>
      <c r="D440" s="12"/>
      <c r="E440" s="44">
        <v>44428.0</v>
      </c>
      <c r="F440" s="29">
        <v>1.0</v>
      </c>
      <c r="G440" s="12" t="s">
        <v>684</v>
      </c>
      <c r="H440" s="45">
        <v>0.416666666667879</v>
      </c>
      <c r="I440" s="45">
        <v>0.5</v>
      </c>
      <c r="J440" s="12">
        <v>1.65</v>
      </c>
      <c r="K440" s="12">
        <v>0.04</v>
      </c>
      <c r="L440" s="14">
        <v>7.171</v>
      </c>
      <c r="M440" s="14">
        <v>7.036</v>
      </c>
      <c r="N440" s="14">
        <v>7.306</v>
      </c>
      <c r="O440" s="14">
        <v>7.036</v>
      </c>
      <c r="P440" s="14">
        <v>7.238</v>
      </c>
      <c r="Q440" s="14">
        <v>7.1574</v>
      </c>
      <c r="R440" s="20">
        <v>7.94</v>
      </c>
      <c r="S440" s="20">
        <v>7.89</v>
      </c>
      <c r="T440" s="20">
        <v>7.83</v>
      </c>
      <c r="U440" s="20">
        <v>7.9</v>
      </c>
      <c r="V440" s="20">
        <v>7.8</v>
      </c>
      <c r="W440" s="14">
        <v>7.872</v>
      </c>
      <c r="X440" s="14">
        <v>15.3</v>
      </c>
      <c r="Y440" s="14">
        <v>15.1</v>
      </c>
      <c r="Z440" s="14">
        <v>15.0</v>
      </c>
      <c r="AA440" s="14">
        <v>14.9</v>
      </c>
      <c r="AB440" s="14">
        <v>14.7</v>
      </c>
      <c r="AC440" s="14">
        <v>15.0</v>
      </c>
      <c r="AD440" s="20">
        <v>307.0</v>
      </c>
      <c r="AE440" s="20">
        <v>367.0</v>
      </c>
      <c r="AF440" s="20">
        <v>277.0</v>
      </c>
      <c r="AG440" s="20">
        <v>285.0</v>
      </c>
      <c r="AH440" s="20">
        <v>357.0</v>
      </c>
      <c r="AI440" s="14">
        <v>318.6</v>
      </c>
      <c r="AJ440" s="14">
        <v>4.01</v>
      </c>
      <c r="AK440" s="14">
        <v>4.05</v>
      </c>
      <c r="AL440" s="14">
        <v>4.14</v>
      </c>
      <c r="AM440" s="14">
        <v>4.12</v>
      </c>
      <c r="AN440" s="14">
        <v>4.38</v>
      </c>
      <c r="AO440" s="14">
        <v>4.14</v>
      </c>
      <c r="AP440" s="14">
        <v>99.0</v>
      </c>
      <c r="AQ440" s="14">
        <v>128.0</v>
      </c>
      <c r="AR440" s="14">
        <v>32.0</v>
      </c>
      <c r="AS440" s="14">
        <v>6.1</v>
      </c>
      <c r="AT440" s="14">
        <v>5.0</v>
      </c>
      <c r="AU440" s="14">
        <v>1.372E7</v>
      </c>
      <c r="AV440" s="14">
        <v>1.22</v>
      </c>
      <c r="AW440" s="14">
        <v>3.6</v>
      </c>
      <c r="AX440" s="14">
        <v>1254000.0</v>
      </c>
      <c r="AY440" s="14">
        <v>0.3</v>
      </c>
      <c r="AZ440" s="14">
        <v>0.007</v>
      </c>
      <c r="BA440" s="14">
        <f t="shared" si="1"/>
        <v>3.907</v>
      </c>
    </row>
    <row r="441" ht="14.25" customHeight="1">
      <c r="A441" s="10" t="s">
        <v>685</v>
      </c>
      <c r="B441" s="12" t="s">
        <v>63</v>
      </c>
      <c r="C441" s="12"/>
      <c r="D441" s="12"/>
      <c r="E441" s="44">
        <v>44429.0</v>
      </c>
      <c r="F441" s="29">
        <v>1.0</v>
      </c>
      <c r="G441" s="12" t="s">
        <v>686</v>
      </c>
      <c r="H441" s="45">
        <v>0.25</v>
      </c>
      <c r="I441" s="45">
        <v>0.33333333333212</v>
      </c>
      <c r="J441" s="12">
        <v>4.1</v>
      </c>
      <c r="K441" s="12">
        <v>0.18</v>
      </c>
      <c r="L441" s="14">
        <v>151.387</v>
      </c>
      <c r="M441" s="14">
        <v>149.846</v>
      </c>
      <c r="N441" s="14">
        <v>130.151</v>
      </c>
      <c r="O441" s="14">
        <v>138.98</v>
      </c>
      <c r="P441" s="14">
        <v>150.222</v>
      </c>
      <c r="Q441" s="14">
        <v>144.1172</v>
      </c>
      <c r="R441" s="20">
        <v>7.44</v>
      </c>
      <c r="S441" s="20">
        <v>7.31</v>
      </c>
      <c r="T441" s="20">
        <v>7.26</v>
      </c>
      <c r="U441" s="20">
        <v>7.23</v>
      </c>
      <c r="V441" s="20">
        <v>7.25</v>
      </c>
      <c r="W441" s="14">
        <v>7.297999999999999</v>
      </c>
      <c r="X441" s="14">
        <v>17.4</v>
      </c>
      <c r="Y441" s="14">
        <v>16.5</v>
      </c>
      <c r="Z441" s="14">
        <v>16.5</v>
      </c>
      <c r="AA441" s="14">
        <v>17.2</v>
      </c>
      <c r="AB441" s="14">
        <v>17.7</v>
      </c>
      <c r="AC441" s="14">
        <v>17.06</v>
      </c>
      <c r="AD441" s="20">
        <v>209.0</v>
      </c>
      <c r="AE441" s="20">
        <v>233.0</v>
      </c>
      <c r="AF441" s="20">
        <v>212.0</v>
      </c>
      <c r="AG441" s="20">
        <v>204.0</v>
      </c>
      <c r="AH441" s="20">
        <v>208.0</v>
      </c>
      <c r="AI441" s="14">
        <v>213.2</v>
      </c>
      <c r="AJ441" s="14">
        <v>4.58</v>
      </c>
      <c r="AK441" s="14">
        <v>4.14</v>
      </c>
      <c r="AL441" s="14">
        <v>3.64</v>
      </c>
      <c r="AM441" s="14">
        <v>3.72</v>
      </c>
      <c r="AN441" s="14">
        <v>4.09</v>
      </c>
      <c r="AO441" s="14">
        <v>4.034</v>
      </c>
      <c r="AP441" s="14">
        <v>25.0</v>
      </c>
      <c r="AQ441" s="14">
        <v>35.0</v>
      </c>
      <c r="AR441" s="14">
        <v>15.0</v>
      </c>
      <c r="AS441" s="14">
        <v>1.6</v>
      </c>
      <c r="AT441" s="14">
        <v>0.64</v>
      </c>
      <c r="AU441" s="14">
        <v>1.126E7</v>
      </c>
      <c r="AV441" s="14">
        <v>0.95</v>
      </c>
      <c r="AW441" s="14">
        <v>13.4</v>
      </c>
      <c r="AX441" s="14">
        <v>1098000.0</v>
      </c>
      <c r="AY441" s="14">
        <v>0.2</v>
      </c>
      <c r="AZ441" s="14">
        <v>0.007</v>
      </c>
      <c r="BA441" s="14">
        <f t="shared" si="1"/>
        <v>13.607</v>
      </c>
    </row>
    <row r="442" ht="14.25" customHeight="1">
      <c r="A442" s="10" t="s">
        <v>687</v>
      </c>
      <c r="B442" s="12" t="s">
        <v>106</v>
      </c>
      <c r="C442" s="12"/>
      <c r="D442" s="12"/>
      <c r="E442" s="44">
        <v>44435.0</v>
      </c>
      <c r="F442" s="29">
        <v>1.0</v>
      </c>
      <c r="G442" s="12" t="s">
        <v>688</v>
      </c>
      <c r="H442" s="45">
        <v>0.33333333333212</v>
      </c>
      <c r="I442" s="45">
        <v>0.416666666667879</v>
      </c>
      <c r="J442" s="12">
        <v>1.0</v>
      </c>
      <c r="K442" s="12">
        <v>0.24</v>
      </c>
      <c r="L442" s="14">
        <v>28.834</v>
      </c>
      <c r="M442" s="14">
        <v>31.022</v>
      </c>
      <c r="N442" s="14">
        <v>34.543</v>
      </c>
      <c r="O442" s="14">
        <v>41.266</v>
      </c>
      <c r="P442" s="14">
        <v>43.659</v>
      </c>
      <c r="Q442" s="14">
        <v>35.864799999999995</v>
      </c>
      <c r="R442" s="20">
        <v>8.23</v>
      </c>
      <c r="S442" s="20">
        <v>8.22</v>
      </c>
      <c r="T442" s="20">
        <v>9.24</v>
      </c>
      <c r="U442" s="20">
        <v>11.08</v>
      </c>
      <c r="V442" s="20">
        <v>11.11</v>
      </c>
      <c r="W442" s="14">
        <v>9.576</v>
      </c>
      <c r="X442" s="14">
        <v>14.9</v>
      </c>
      <c r="Y442" s="14">
        <v>15.5</v>
      </c>
      <c r="Z442" s="14">
        <v>15.4</v>
      </c>
      <c r="AA442" s="14">
        <v>15.5</v>
      </c>
      <c r="AB442" s="14">
        <v>15.8</v>
      </c>
      <c r="AC442" s="14">
        <v>15.419999999999998</v>
      </c>
      <c r="AD442" s="20">
        <v>282.0</v>
      </c>
      <c r="AE442" s="20">
        <v>287.0</v>
      </c>
      <c r="AF442" s="20">
        <v>289.0</v>
      </c>
      <c r="AG442" s="20">
        <v>296.0</v>
      </c>
      <c r="AH442" s="20">
        <v>467.0</v>
      </c>
      <c r="AI442" s="14">
        <v>324.2</v>
      </c>
      <c r="AJ442" s="14">
        <v>4.51</v>
      </c>
      <c r="AK442" s="14">
        <v>5.31</v>
      </c>
      <c r="AL442" s="14">
        <v>5.16</v>
      </c>
      <c r="AM442" s="14">
        <v>5.6</v>
      </c>
      <c r="AN442" s="14">
        <v>5.57</v>
      </c>
      <c r="AO442" s="14">
        <v>5.2299999999999995</v>
      </c>
      <c r="AP442" s="14">
        <v>129.0</v>
      </c>
      <c r="AQ442" s="14">
        <v>223.0</v>
      </c>
      <c r="AR442" s="14">
        <v>1172.0</v>
      </c>
      <c r="AS442" s="14">
        <v>10.2</v>
      </c>
      <c r="AT442" s="14">
        <v>0.81</v>
      </c>
      <c r="AU442" s="14">
        <v>8860000.0</v>
      </c>
      <c r="AV442" s="14">
        <v>0.52</v>
      </c>
      <c r="AW442" s="14">
        <v>22.4</v>
      </c>
      <c r="AX442" s="14">
        <v>4670.0</v>
      </c>
      <c r="AY442" s="14">
        <v>0.4</v>
      </c>
      <c r="AZ442" s="14">
        <v>0.657</v>
      </c>
      <c r="BA442" s="14">
        <f t="shared" si="1"/>
        <v>23.457</v>
      </c>
    </row>
    <row r="443" ht="14.25" customHeight="1">
      <c r="A443" s="10" t="s">
        <v>689</v>
      </c>
      <c r="B443" s="12" t="s">
        <v>81</v>
      </c>
      <c r="C443" s="12"/>
      <c r="D443" s="12"/>
      <c r="E443" s="44">
        <v>44436.0</v>
      </c>
      <c r="F443" s="29">
        <v>1.0</v>
      </c>
      <c r="G443" s="12" t="s">
        <v>690</v>
      </c>
      <c r="H443" s="45">
        <v>0.416666666667879</v>
      </c>
      <c r="I443" s="45">
        <v>0.5</v>
      </c>
      <c r="J443" s="12">
        <v>3.3</v>
      </c>
      <c r="K443" s="12">
        <v>0.13</v>
      </c>
      <c r="L443" s="14">
        <v>136.172</v>
      </c>
      <c r="M443" s="14">
        <v>136.582</v>
      </c>
      <c r="N443" s="14">
        <v>136.623</v>
      </c>
      <c r="O443" s="14">
        <v>136.924</v>
      </c>
      <c r="P443" s="14">
        <v>137.441</v>
      </c>
      <c r="Q443" s="14">
        <v>136.7484</v>
      </c>
      <c r="R443" s="20">
        <v>8.77</v>
      </c>
      <c r="S443" s="20">
        <v>9.01</v>
      </c>
      <c r="T443" s="20">
        <v>9.19</v>
      </c>
      <c r="U443" s="20">
        <v>9.24</v>
      </c>
      <c r="V443" s="20">
        <v>9.28</v>
      </c>
      <c r="W443" s="14">
        <v>9.098</v>
      </c>
      <c r="X443" s="14">
        <v>20.2</v>
      </c>
      <c r="Y443" s="14">
        <v>21.9</v>
      </c>
      <c r="Z443" s="14">
        <v>21.6</v>
      </c>
      <c r="AA443" s="14">
        <v>22.7</v>
      </c>
      <c r="AB443" s="14">
        <v>23.5</v>
      </c>
      <c r="AC443" s="14">
        <v>21.979999999999997</v>
      </c>
      <c r="AD443" s="20">
        <v>241.0</v>
      </c>
      <c r="AE443" s="20">
        <v>253.0</v>
      </c>
      <c r="AF443" s="20">
        <v>283.0</v>
      </c>
      <c r="AG443" s="20">
        <v>319.0</v>
      </c>
      <c r="AH443" s="20">
        <v>334.0</v>
      </c>
      <c r="AI443" s="14">
        <v>286.0</v>
      </c>
      <c r="AJ443" s="14">
        <v>8.35</v>
      </c>
      <c r="AK443" s="14">
        <v>8.63</v>
      </c>
      <c r="AL443" s="14">
        <v>10.16</v>
      </c>
      <c r="AM443" s="14">
        <v>11.26</v>
      </c>
      <c r="AN443" s="14">
        <v>10.84</v>
      </c>
      <c r="AO443" s="14">
        <v>9.847999999999999</v>
      </c>
      <c r="AP443" s="14">
        <v>10.0</v>
      </c>
      <c r="AQ443" s="14">
        <v>39.0</v>
      </c>
      <c r="AR443" s="14">
        <v>24.0</v>
      </c>
      <c r="AS443" s="14">
        <v>1.2</v>
      </c>
      <c r="AT443" s="14">
        <v>0.12</v>
      </c>
      <c r="AU443" s="14">
        <v>1274000.0</v>
      </c>
      <c r="AV443" s="14">
        <v>0.4</v>
      </c>
      <c r="AW443" s="14">
        <v>5.3</v>
      </c>
      <c r="AX443" s="14">
        <v>49500.0</v>
      </c>
      <c r="AY443" s="14">
        <v>2.1</v>
      </c>
      <c r="AZ443" s="14">
        <v>0.316</v>
      </c>
      <c r="BA443" s="14">
        <f t="shared" si="1"/>
        <v>7.716</v>
      </c>
    </row>
    <row r="444" ht="14.25" customHeight="1">
      <c r="A444" s="10" t="s">
        <v>691</v>
      </c>
      <c r="B444" s="12" t="s">
        <v>87</v>
      </c>
      <c r="C444" s="12"/>
      <c r="D444" s="12"/>
      <c r="E444" s="44">
        <v>44436.0</v>
      </c>
      <c r="F444" s="29">
        <v>1.0</v>
      </c>
      <c r="G444" s="12" t="s">
        <v>692</v>
      </c>
      <c r="H444" s="45">
        <v>0.25</v>
      </c>
      <c r="I444" s="45">
        <v>0.33333333333212</v>
      </c>
      <c r="J444" s="12">
        <v>9.99</v>
      </c>
      <c r="K444" s="12">
        <v>1.159</v>
      </c>
      <c r="L444" s="14">
        <v>2353.0</v>
      </c>
      <c r="M444" s="14">
        <v>2375.0</v>
      </c>
      <c r="N444" s="14">
        <v>2147.0</v>
      </c>
      <c r="O444" s="14">
        <v>1947.0</v>
      </c>
      <c r="P444" s="14">
        <v>1912.0</v>
      </c>
      <c r="Q444" s="14">
        <v>2146.8</v>
      </c>
      <c r="R444" s="20">
        <v>7.13</v>
      </c>
      <c r="S444" s="20">
        <v>7.17</v>
      </c>
      <c r="T444" s="20">
        <v>7.21</v>
      </c>
      <c r="U444" s="20">
        <v>7.22</v>
      </c>
      <c r="V444" s="20">
        <v>7.17</v>
      </c>
      <c r="W444" s="14">
        <v>7.18</v>
      </c>
      <c r="X444" s="14">
        <v>16.4</v>
      </c>
      <c r="Y444" s="14">
        <v>16.7</v>
      </c>
      <c r="Z444" s="14">
        <v>16.9</v>
      </c>
      <c r="AA444" s="14">
        <v>17.1</v>
      </c>
      <c r="AB444" s="14">
        <v>17.5</v>
      </c>
      <c r="AC444" s="14">
        <v>16.919999999999998</v>
      </c>
      <c r="AD444" s="20">
        <v>116.5</v>
      </c>
      <c r="AE444" s="20">
        <v>113.0</v>
      </c>
      <c r="AF444" s="20">
        <v>138.0</v>
      </c>
      <c r="AG444" s="20">
        <v>137.8</v>
      </c>
      <c r="AH444" s="20">
        <v>146.5</v>
      </c>
      <c r="AI444" s="14">
        <v>130.35999999999999</v>
      </c>
      <c r="AJ444" s="14">
        <v>3.46</v>
      </c>
      <c r="AK444" s="14">
        <v>3.3</v>
      </c>
      <c r="AL444" s="14">
        <v>3.43</v>
      </c>
      <c r="AM444" s="14">
        <v>3.13</v>
      </c>
      <c r="AN444" s="14">
        <v>3.05</v>
      </c>
      <c r="AO444" s="14">
        <v>3.274</v>
      </c>
      <c r="AP444" s="14">
        <v>17.0</v>
      </c>
      <c r="AQ444" s="14">
        <v>34.0</v>
      </c>
      <c r="AR444" s="14">
        <v>36.0</v>
      </c>
      <c r="AS444" s="14">
        <v>3.7</v>
      </c>
      <c r="AT444" s="14">
        <v>0.16</v>
      </c>
      <c r="AU444" s="14">
        <v>1178000.0</v>
      </c>
      <c r="AV444" s="14">
        <v>0.3</v>
      </c>
      <c r="AW444" s="14">
        <v>2.5</v>
      </c>
      <c r="AX444" s="14">
        <v>46200.0</v>
      </c>
      <c r="AY444" s="14">
        <v>0.3</v>
      </c>
      <c r="AZ444" s="14">
        <v>0.14</v>
      </c>
      <c r="BA444" s="14">
        <f t="shared" si="1"/>
        <v>2.94</v>
      </c>
    </row>
    <row r="445" ht="14.25" customHeight="1">
      <c r="A445" s="10" t="s">
        <v>693</v>
      </c>
      <c r="B445" s="12" t="s">
        <v>118</v>
      </c>
      <c r="C445" s="12"/>
      <c r="D445" s="12"/>
      <c r="E445" s="44">
        <v>44412.0</v>
      </c>
      <c r="F445" s="29">
        <v>1.0</v>
      </c>
      <c r="G445" s="12" t="s">
        <v>604</v>
      </c>
      <c r="H445" s="45">
        <v>0.33333333333212</v>
      </c>
      <c r="I445" s="45">
        <v>0.416666666667879</v>
      </c>
      <c r="J445" s="12">
        <v>1.1</v>
      </c>
      <c r="K445" s="12">
        <v>0.07</v>
      </c>
      <c r="L445" s="14">
        <v>2.988</v>
      </c>
      <c r="M445" s="14">
        <v>2.287</v>
      </c>
      <c r="N445" s="14">
        <v>2.897</v>
      </c>
      <c r="O445" s="14">
        <v>2.612</v>
      </c>
      <c r="P445" s="14">
        <v>2.732</v>
      </c>
      <c r="Q445" s="14">
        <v>2.7032000000000003</v>
      </c>
      <c r="R445" s="20">
        <v>6.67</v>
      </c>
      <c r="S445" s="20">
        <v>6.49</v>
      </c>
      <c r="T445" s="20">
        <v>6.54</v>
      </c>
      <c r="U445" s="20">
        <v>7.39</v>
      </c>
      <c r="V445" s="20">
        <v>7.54</v>
      </c>
      <c r="W445" s="14">
        <v>6.926</v>
      </c>
      <c r="X445" s="14">
        <v>14.4</v>
      </c>
      <c r="Y445" s="14">
        <v>16.1</v>
      </c>
      <c r="Z445" s="14">
        <v>16.0</v>
      </c>
      <c r="AA445" s="14">
        <v>15.9</v>
      </c>
      <c r="AB445" s="14">
        <v>16.1</v>
      </c>
      <c r="AC445" s="14">
        <v>15.7</v>
      </c>
      <c r="AD445" s="20">
        <v>282.0</v>
      </c>
      <c r="AE445" s="20">
        <v>248.0</v>
      </c>
      <c r="AF445" s="20">
        <v>234.0</v>
      </c>
      <c r="AG445" s="20">
        <v>258.0</v>
      </c>
      <c r="AH445" s="20">
        <v>265.0</v>
      </c>
      <c r="AI445" s="14">
        <v>257.4</v>
      </c>
      <c r="AJ445" s="14">
        <v>1.87</v>
      </c>
      <c r="AK445" s="14">
        <v>1.16</v>
      </c>
      <c r="AL445" s="14">
        <v>1.16</v>
      </c>
      <c r="AM445" s="14">
        <v>1.65</v>
      </c>
      <c r="AN445" s="14">
        <v>2.35</v>
      </c>
      <c r="AO445" s="14">
        <v>1.638</v>
      </c>
      <c r="AP445" s="14">
        <v>2.0</v>
      </c>
      <c r="AQ445" s="14">
        <v>14.0</v>
      </c>
      <c r="AR445" s="14">
        <v>6.0</v>
      </c>
      <c r="AS445" s="14">
        <v>1.2</v>
      </c>
      <c r="AT445" s="14">
        <v>0.2</v>
      </c>
      <c r="AU445" s="14">
        <v>1847000.0</v>
      </c>
      <c r="AV445" s="14">
        <v>1.03</v>
      </c>
      <c r="AW445" s="14">
        <v>11.8</v>
      </c>
      <c r="AX445" s="14">
        <v>1044000.0</v>
      </c>
      <c r="AY445" s="14">
        <v>0.3</v>
      </c>
      <c r="AZ445" s="14">
        <v>0.059</v>
      </c>
      <c r="BA445" s="14">
        <f t="shared" si="1"/>
        <v>12.159</v>
      </c>
    </row>
    <row r="446" ht="14.25" customHeight="1">
      <c r="A446" s="10" t="s">
        <v>694</v>
      </c>
      <c r="B446" s="12" t="s">
        <v>74</v>
      </c>
      <c r="C446" s="12"/>
      <c r="D446" s="12"/>
      <c r="E446" s="44">
        <v>44412.0</v>
      </c>
      <c r="F446" s="29">
        <v>1.0</v>
      </c>
      <c r="G446" s="12" t="s">
        <v>695</v>
      </c>
      <c r="H446" s="45">
        <v>0.25</v>
      </c>
      <c r="I446" s="45">
        <v>0.33333333333212</v>
      </c>
      <c r="J446" s="12">
        <v>2.0</v>
      </c>
      <c r="K446" s="12">
        <v>0.14</v>
      </c>
      <c r="L446" s="14">
        <v>48.294</v>
      </c>
      <c r="M446" s="14">
        <v>50.022</v>
      </c>
      <c r="N446" s="14">
        <v>46.306</v>
      </c>
      <c r="O446" s="14">
        <v>50.194</v>
      </c>
      <c r="P446" s="14">
        <v>50.981</v>
      </c>
      <c r="Q446" s="14">
        <v>49.159400000000005</v>
      </c>
      <c r="R446" s="20">
        <v>7.74</v>
      </c>
      <c r="S446" s="20">
        <v>7.74</v>
      </c>
      <c r="T446" s="20">
        <v>8.04</v>
      </c>
      <c r="U446" s="20">
        <v>7.91</v>
      </c>
      <c r="V446" s="20">
        <v>7.65</v>
      </c>
      <c r="W446" s="14">
        <v>7.816</v>
      </c>
      <c r="X446" s="14">
        <v>8.6</v>
      </c>
      <c r="Y446" s="14">
        <v>8.7</v>
      </c>
      <c r="Z446" s="14">
        <v>8.8</v>
      </c>
      <c r="AA446" s="14">
        <v>9.0</v>
      </c>
      <c r="AB446" s="14">
        <v>9.0</v>
      </c>
      <c r="AC446" s="14">
        <v>8.819999999999999</v>
      </c>
      <c r="AD446" s="20">
        <v>101.0</v>
      </c>
      <c r="AE446" s="20">
        <v>107.0</v>
      </c>
      <c r="AF446" s="20">
        <v>111.0</v>
      </c>
      <c r="AG446" s="20">
        <v>108.0</v>
      </c>
      <c r="AH446" s="20">
        <v>108.0</v>
      </c>
      <c r="AI446" s="14">
        <v>107.0</v>
      </c>
      <c r="AJ446" s="14">
        <v>7.05</v>
      </c>
      <c r="AK446" s="14">
        <v>6.72</v>
      </c>
      <c r="AL446" s="14">
        <v>6.8</v>
      </c>
      <c r="AM446" s="14">
        <v>7.07</v>
      </c>
      <c r="AN446" s="14">
        <v>6.81</v>
      </c>
      <c r="AO446" s="14">
        <v>6.890000000000001</v>
      </c>
      <c r="AP446" s="14">
        <v>5.0</v>
      </c>
      <c r="AQ446" s="14">
        <v>13.0</v>
      </c>
      <c r="AR446" s="14">
        <v>108.0</v>
      </c>
      <c r="AS446" s="14">
        <v>1.2</v>
      </c>
      <c r="AT446" s="14">
        <v>0.17</v>
      </c>
      <c r="AU446" s="14">
        <v>5520.0</v>
      </c>
      <c r="AV446" s="14">
        <v>0.18</v>
      </c>
      <c r="AW446" s="14">
        <v>1.7</v>
      </c>
      <c r="AX446" s="14">
        <v>487.0</v>
      </c>
      <c r="AY446" s="14">
        <v>0.3</v>
      </c>
      <c r="AZ446" s="14">
        <v>0.05</v>
      </c>
      <c r="BA446" s="14">
        <f t="shared" si="1"/>
        <v>2.05</v>
      </c>
    </row>
    <row r="447" ht="14.25" customHeight="1">
      <c r="A447" s="10" t="s">
        <v>696</v>
      </c>
      <c r="B447" s="12" t="s">
        <v>77</v>
      </c>
      <c r="C447" s="12"/>
      <c r="D447" s="12"/>
      <c r="E447" s="44">
        <v>44433.0</v>
      </c>
      <c r="F447" s="29">
        <v>1.0</v>
      </c>
      <c r="G447" s="12" t="s">
        <v>697</v>
      </c>
      <c r="H447" s="45">
        <v>0.25</v>
      </c>
      <c r="I447" s="45">
        <v>0.33333333333212</v>
      </c>
      <c r="J447" s="12">
        <v>3.3</v>
      </c>
      <c r="K447" s="12">
        <v>0.16</v>
      </c>
      <c r="L447" s="14">
        <v>126.705</v>
      </c>
      <c r="M447" s="14">
        <v>120.744</v>
      </c>
      <c r="N447" s="14">
        <v>136.025</v>
      </c>
      <c r="O447" s="14">
        <v>135.665</v>
      </c>
      <c r="P447" s="14">
        <v>133.316</v>
      </c>
      <c r="Q447" s="14">
        <v>130.491</v>
      </c>
      <c r="R447" s="20">
        <v>7.65</v>
      </c>
      <c r="S447" s="20">
        <v>7.01</v>
      </c>
      <c r="T447" s="20">
        <v>7.07</v>
      </c>
      <c r="U447" s="20">
        <v>7.08</v>
      </c>
      <c r="V447" s="20">
        <v>7.12</v>
      </c>
      <c r="W447" s="14">
        <v>7.186</v>
      </c>
      <c r="X447" s="14">
        <v>15.7</v>
      </c>
      <c r="Y447" s="14">
        <v>15.8</v>
      </c>
      <c r="Z447" s="14">
        <v>15.7</v>
      </c>
      <c r="AA447" s="14">
        <v>16.3</v>
      </c>
      <c r="AB447" s="14">
        <v>16.1</v>
      </c>
      <c r="AC447" s="14">
        <v>15.919999999999998</v>
      </c>
      <c r="AD447" s="20">
        <v>240.0</v>
      </c>
      <c r="AE447" s="20">
        <v>242.0</v>
      </c>
      <c r="AF447" s="20">
        <v>249.0</v>
      </c>
      <c r="AG447" s="20">
        <v>263.0</v>
      </c>
      <c r="AH447" s="20">
        <v>266.0</v>
      </c>
      <c r="AI447" s="14">
        <v>252.0</v>
      </c>
      <c r="AJ447" s="14">
        <v>2.43</v>
      </c>
      <c r="AK447" s="14">
        <v>2.63</v>
      </c>
      <c r="AL447" s="14">
        <v>2.93</v>
      </c>
      <c r="AM447" s="14">
        <v>2.57</v>
      </c>
      <c r="AN447" s="14">
        <v>2.32</v>
      </c>
      <c r="AO447" s="14">
        <v>2.576</v>
      </c>
      <c r="AP447" s="14">
        <v>51.0</v>
      </c>
      <c r="AQ447" s="14">
        <v>60.0</v>
      </c>
      <c r="AR447" s="14">
        <v>21.0</v>
      </c>
      <c r="AS447" s="14">
        <v>1.2</v>
      </c>
      <c r="AT447" s="14">
        <v>1.11</v>
      </c>
      <c r="AU447" s="14">
        <v>1.674E8</v>
      </c>
      <c r="AV447" s="14">
        <v>1.59</v>
      </c>
      <c r="AW447" s="14">
        <v>17.4</v>
      </c>
      <c r="AX447" s="14">
        <v>1430000.0</v>
      </c>
      <c r="AY447" s="14">
        <v>0.4</v>
      </c>
      <c r="AZ447" s="14">
        <v>0.007</v>
      </c>
      <c r="BA447" s="14">
        <f t="shared" si="1"/>
        <v>17.807</v>
      </c>
    </row>
    <row r="448" ht="14.25" customHeight="1">
      <c r="A448" s="10" t="s">
        <v>698</v>
      </c>
      <c r="B448" s="12" t="s">
        <v>138</v>
      </c>
      <c r="C448" s="12"/>
      <c r="D448" s="12"/>
      <c r="E448" s="44">
        <v>44418.0</v>
      </c>
      <c r="F448" s="29">
        <v>1.0</v>
      </c>
      <c r="G448" s="12" t="s">
        <v>699</v>
      </c>
      <c r="H448" s="45">
        <v>0.666666666667879</v>
      </c>
      <c r="I448" s="45">
        <v>0.75</v>
      </c>
      <c r="J448" s="12">
        <v>0.94</v>
      </c>
      <c r="K448" s="12">
        <v>0.45</v>
      </c>
      <c r="L448" s="14">
        <v>89.207</v>
      </c>
      <c r="M448" s="14">
        <v>69.087</v>
      </c>
      <c r="N448" s="14">
        <v>74.669</v>
      </c>
      <c r="O448" s="14">
        <v>57.313</v>
      </c>
      <c r="P448" s="14">
        <v>65.821</v>
      </c>
      <c r="Q448" s="14">
        <v>71.2194</v>
      </c>
      <c r="R448" s="20">
        <v>8.18</v>
      </c>
      <c r="S448" s="20">
        <v>8.17</v>
      </c>
      <c r="T448" s="20">
        <v>7.24</v>
      </c>
      <c r="U448" s="20">
        <v>8.11</v>
      </c>
      <c r="V448" s="20">
        <v>8.12</v>
      </c>
      <c r="W448" s="14">
        <v>7.964</v>
      </c>
      <c r="X448" s="14">
        <v>17.3</v>
      </c>
      <c r="Y448" s="14">
        <v>17.2</v>
      </c>
      <c r="Z448" s="14">
        <v>17.2</v>
      </c>
      <c r="AA448" s="14">
        <v>17.0</v>
      </c>
      <c r="AB448" s="14">
        <v>16.9</v>
      </c>
      <c r="AC448" s="14">
        <v>17.119999999999997</v>
      </c>
      <c r="AD448" s="20">
        <v>271.0</v>
      </c>
      <c r="AE448" s="20">
        <v>281.0</v>
      </c>
      <c r="AF448" s="20">
        <v>268.0</v>
      </c>
      <c r="AG448" s="20">
        <v>267.0</v>
      </c>
      <c r="AH448" s="20">
        <v>269.0</v>
      </c>
      <c r="AI448" s="14">
        <v>271.2</v>
      </c>
      <c r="AJ448" s="14">
        <v>5.73</v>
      </c>
      <c r="AK448" s="14">
        <v>5.71</v>
      </c>
      <c r="AL448" s="14">
        <v>5.82</v>
      </c>
      <c r="AM448" s="14">
        <v>5.66</v>
      </c>
      <c r="AN448" s="14">
        <v>5.8</v>
      </c>
      <c r="AO448" s="14">
        <v>5.744000000000001</v>
      </c>
      <c r="AP448" s="14">
        <v>201.0</v>
      </c>
      <c r="AQ448" s="14">
        <v>335.0</v>
      </c>
      <c r="AR448" s="14">
        <v>168.0</v>
      </c>
      <c r="AS448" s="14">
        <v>121.0</v>
      </c>
      <c r="AT448" s="14">
        <v>6.3</v>
      </c>
      <c r="AU448" s="14">
        <v>1.046E7</v>
      </c>
      <c r="AV448" s="14">
        <v>3.35</v>
      </c>
      <c r="AW448" s="14">
        <v>32.2</v>
      </c>
      <c r="AX448" s="14">
        <v>1722000.0</v>
      </c>
      <c r="AY448" s="14">
        <v>0.9</v>
      </c>
      <c r="AZ448" s="14">
        <v>0.007</v>
      </c>
      <c r="BA448" s="14">
        <f t="shared" si="1"/>
        <v>33.107</v>
      </c>
    </row>
    <row r="449" ht="14.25" customHeight="1">
      <c r="A449" s="10" t="s">
        <v>700</v>
      </c>
      <c r="B449" s="12" t="s">
        <v>70</v>
      </c>
      <c r="C449" s="12"/>
      <c r="D449" s="12"/>
      <c r="E449" s="44">
        <v>44420.0</v>
      </c>
      <c r="F449" s="29">
        <v>1.0</v>
      </c>
      <c r="G449" s="12" t="s">
        <v>701</v>
      </c>
      <c r="H449" s="45">
        <v>0.416666666667879</v>
      </c>
      <c r="I449" s="45">
        <v>0.5</v>
      </c>
      <c r="J449" s="12">
        <v>7.2</v>
      </c>
      <c r="K449" s="12">
        <v>0.16</v>
      </c>
      <c r="L449" s="14">
        <v>222.571</v>
      </c>
      <c r="M449" s="14">
        <v>220.33</v>
      </c>
      <c r="N449" s="14">
        <v>215.617</v>
      </c>
      <c r="O449" s="14">
        <v>219.365</v>
      </c>
      <c r="P449" s="14">
        <v>244.202</v>
      </c>
      <c r="Q449" s="14">
        <v>224.417</v>
      </c>
      <c r="R449" s="20">
        <v>8.22</v>
      </c>
      <c r="S449" s="20">
        <v>8.03</v>
      </c>
      <c r="T449" s="20">
        <v>8.1</v>
      </c>
      <c r="U449" s="20">
        <v>7.95</v>
      </c>
      <c r="V449" s="20">
        <v>7.89</v>
      </c>
      <c r="W449" s="14">
        <v>8.038</v>
      </c>
      <c r="X449" s="14">
        <v>17.2</v>
      </c>
      <c r="Y449" s="14">
        <v>17.9</v>
      </c>
      <c r="Z449" s="14">
        <v>17.9</v>
      </c>
      <c r="AA449" s="14">
        <v>18.1</v>
      </c>
      <c r="AB449" s="14">
        <v>18.9</v>
      </c>
      <c r="AC449" s="14">
        <v>18.0</v>
      </c>
      <c r="AD449" s="20">
        <v>385.0</v>
      </c>
      <c r="AE449" s="20">
        <v>268.0</v>
      </c>
      <c r="AF449" s="20">
        <v>353.0</v>
      </c>
      <c r="AG449" s="20">
        <v>342.0</v>
      </c>
      <c r="AH449" s="20">
        <v>331.0</v>
      </c>
      <c r="AI449" s="14">
        <v>335.8</v>
      </c>
      <c r="AJ449" s="14">
        <v>1.28</v>
      </c>
      <c r="AK449" s="14">
        <v>1.52</v>
      </c>
      <c r="AL449" s="14">
        <v>1.64</v>
      </c>
      <c r="AM449" s="14">
        <v>1.32</v>
      </c>
      <c r="AN449" s="14">
        <v>1.56</v>
      </c>
      <c r="AO449" s="14">
        <v>1.464</v>
      </c>
      <c r="AP449" s="14">
        <v>46.0</v>
      </c>
      <c r="AQ449" s="14">
        <v>80.0</v>
      </c>
      <c r="AR449" s="14">
        <v>38.0</v>
      </c>
      <c r="AS449" s="14">
        <v>1.2</v>
      </c>
      <c r="AT449" s="14">
        <v>2.87</v>
      </c>
      <c r="AU449" s="14">
        <v>8360000.0</v>
      </c>
      <c r="AV449" s="14">
        <v>2.29</v>
      </c>
      <c r="AW449" s="14">
        <v>23.0</v>
      </c>
      <c r="AX449" s="14">
        <v>448000.0</v>
      </c>
      <c r="AY449" s="14">
        <v>0.4</v>
      </c>
      <c r="AZ449" s="14">
        <v>0.007</v>
      </c>
      <c r="BA449" s="14">
        <f t="shared" si="1"/>
        <v>23.407</v>
      </c>
    </row>
    <row r="450" ht="14.25" customHeight="1">
      <c r="A450" s="10" t="s">
        <v>702</v>
      </c>
      <c r="B450" s="12" t="s">
        <v>145</v>
      </c>
      <c r="C450" s="12"/>
      <c r="D450" s="12"/>
      <c r="E450" s="44">
        <v>44439.0</v>
      </c>
      <c r="F450" s="29">
        <v>1.0</v>
      </c>
      <c r="G450" s="12" t="s">
        <v>703</v>
      </c>
      <c r="H450" s="45">
        <v>0.33333333333212</v>
      </c>
      <c r="I450" s="45">
        <v>0.416666666667879</v>
      </c>
      <c r="J450" s="12">
        <v>0.1</v>
      </c>
      <c r="K450" s="12">
        <v>0.02</v>
      </c>
      <c r="L450" s="14">
        <v>1.233</v>
      </c>
      <c r="M450" s="14">
        <v>0.784</v>
      </c>
      <c r="N450" s="14">
        <v>0.731</v>
      </c>
      <c r="O450" s="14">
        <v>1.044</v>
      </c>
      <c r="P450" s="14">
        <v>0.639</v>
      </c>
      <c r="Q450" s="14">
        <v>0.8862</v>
      </c>
      <c r="R450" s="20">
        <v>8.4</v>
      </c>
      <c r="S450" s="20">
        <v>8.38</v>
      </c>
      <c r="T450" s="20">
        <v>8.44</v>
      </c>
      <c r="U450" s="20">
        <v>8.25</v>
      </c>
      <c r="V450" s="20">
        <v>8.55</v>
      </c>
      <c r="W450" s="14">
        <v>8.404</v>
      </c>
      <c r="X450" s="14">
        <v>13.8</v>
      </c>
      <c r="Y450" s="14">
        <v>13.8</v>
      </c>
      <c r="Z450" s="14">
        <v>13.3</v>
      </c>
      <c r="AA450" s="14">
        <v>13.7</v>
      </c>
      <c r="AB450" s="14">
        <v>13.7</v>
      </c>
      <c r="AC450" s="14">
        <v>13.660000000000002</v>
      </c>
      <c r="AD450" s="20">
        <v>767.0</v>
      </c>
      <c r="AE450" s="20">
        <v>770.0</v>
      </c>
      <c r="AF450" s="20">
        <v>690.0</v>
      </c>
      <c r="AG450" s="20">
        <v>748.0</v>
      </c>
      <c r="AH450" s="20">
        <v>795.0</v>
      </c>
      <c r="AI450" s="14">
        <v>754.0</v>
      </c>
      <c r="AJ450" s="14">
        <v>4.84</v>
      </c>
      <c r="AK450" s="14">
        <v>5.1</v>
      </c>
      <c r="AL450" s="14">
        <v>4.63</v>
      </c>
      <c r="AM450" s="14">
        <v>5.99</v>
      </c>
      <c r="AN450" s="14">
        <v>4.74</v>
      </c>
      <c r="AO450" s="14">
        <v>5.0600000000000005</v>
      </c>
      <c r="AP450" s="14">
        <v>15.0</v>
      </c>
      <c r="AQ450" s="14">
        <v>48.0</v>
      </c>
      <c r="AR450" s="14">
        <v>17.0</v>
      </c>
      <c r="AS450" s="14">
        <v>1.2</v>
      </c>
      <c r="AT450" s="14">
        <v>0.47</v>
      </c>
      <c r="AU450" s="14">
        <v>179300.0</v>
      </c>
      <c r="AV450" s="14">
        <v>0.18</v>
      </c>
      <c r="AW450" s="14">
        <v>5.9</v>
      </c>
      <c r="AX450" s="14">
        <v>8090.0</v>
      </c>
      <c r="AY450" s="14">
        <v>3.1</v>
      </c>
      <c r="AZ450" s="14">
        <v>0.182</v>
      </c>
      <c r="BA450" s="14">
        <f t="shared" si="1"/>
        <v>9.182</v>
      </c>
    </row>
    <row r="451" ht="14.25" customHeight="1">
      <c r="A451" s="10" t="s">
        <v>704</v>
      </c>
      <c r="B451" s="12" t="s">
        <v>53</v>
      </c>
      <c r="C451" s="12"/>
      <c r="D451" s="12"/>
      <c r="E451" s="44">
        <v>44425.0</v>
      </c>
      <c r="F451" s="29">
        <v>1.0</v>
      </c>
      <c r="G451" s="12" t="s">
        <v>705</v>
      </c>
      <c r="H451" s="45">
        <v>0.25</v>
      </c>
      <c r="I451" s="45">
        <v>0.33333333333212</v>
      </c>
      <c r="J451" s="12">
        <v>2.0</v>
      </c>
      <c r="K451" s="12">
        <v>0.28</v>
      </c>
      <c r="L451" s="14">
        <v>201.435</v>
      </c>
      <c r="M451" s="14">
        <v>210.345</v>
      </c>
      <c r="N451" s="14">
        <v>240.688</v>
      </c>
      <c r="O451" s="14">
        <v>231.107</v>
      </c>
      <c r="P451" s="14">
        <v>220.469</v>
      </c>
      <c r="Q451" s="14">
        <v>220.80879999999996</v>
      </c>
      <c r="R451" s="20">
        <v>7.25</v>
      </c>
      <c r="S451" s="20">
        <v>7.38</v>
      </c>
      <c r="T451" s="20">
        <v>7.63</v>
      </c>
      <c r="U451" s="20">
        <v>7.27</v>
      </c>
      <c r="V451" s="20">
        <v>7.59</v>
      </c>
      <c r="W451" s="14">
        <v>7.4239999999999995</v>
      </c>
      <c r="X451" s="14">
        <v>13.6</v>
      </c>
      <c r="Y451" s="14">
        <v>13.5</v>
      </c>
      <c r="Z451" s="14">
        <v>13.5</v>
      </c>
      <c r="AA451" s="14">
        <v>13.6</v>
      </c>
      <c r="AB451" s="14">
        <v>13.7</v>
      </c>
      <c r="AC451" s="14">
        <v>13.580000000000002</v>
      </c>
      <c r="AD451" s="20">
        <v>171.6</v>
      </c>
      <c r="AE451" s="20">
        <v>144.5</v>
      </c>
      <c r="AF451" s="20">
        <v>151.8</v>
      </c>
      <c r="AG451" s="20">
        <v>134.8</v>
      </c>
      <c r="AH451" s="20">
        <v>130.1</v>
      </c>
      <c r="AI451" s="14">
        <v>146.56</v>
      </c>
      <c r="AJ451" s="14">
        <v>7.11</v>
      </c>
      <c r="AK451" s="14">
        <v>7.33</v>
      </c>
      <c r="AL451" s="14">
        <v>7.44</v>
      </c>
      <c r="AM451" s="14">
        <v>7.48</v>
      </c>
      <c r="AN451" s="14">
        <v>7.07</v>
      </c>
      <c r="AO451" s="14">
        <v>7.286000000000001</v>
      </c>
      <c r="AP451" s="14">
        <v>23.0</v>
      </c>
      <c r="AQ451" s="14">
        <v>39.0</v>
      </c>
      <c r="AR451" s="14">
        <v>382.0</v>
      </c>
      <c r="AS451" s="14">
        <v>12.9</v>
      </c>
      <c r="AT451" s="14">
        <v>0.07</v>
      </c>
      <c r="AU451" s="14">
        <v>1259000.0</v>
      </c>
      <c r="AV451" s="14">
        <v>0.27</v>
      </c>
      <c r="AW451" s="14">
        <v>7.6</v>
      </c>
      <c r="AX451" s="14">
        <v>54600.0</v>
      </c>
      <c r="AY451" s="14">
        <v>1.9</v>
      </c>
      <c r="AZ451" s="14">
        <v>0.036</v>
      </c>
      <c r="BA451" s="14">
        <f t="shared" si="1"/>
        <v>9.536</v>
      </c>
    </row>
    <row r="452" ht="14.25" customHeight="1">
      <c r="A452" s="10" t="s">
        <v>706</v>
      </c>
      <c r="B452" s="12" t="s">
        <v>120</v>
      </c>
      <c r="C452" s="12"/>
      <c r="D452" s="12"/>
      <c r="E452" s="44">
        <v>44432.0</v>
      </c>
      <c r="F452" s="29">
        <v>1.0</v>
      </c>
      <c r="G452" s="12" t="s">
        <v>707</v>
      </c>
      <c r="H452" s="45">
        <v>0.25</v>
      </c>
      <c r="I452" s="45">
        <v>0.33333333333212</v>
      </c>
      <c r="J452" s="12">
        <v>3.2</v>
      </c>
      <c r="K452" s="12">
        <v>0.07</v>
      </c>
      <c r="L452" s="14">
        <v>20.478</v>
      </c>
      <c r="M452" s="14">
        <v>19.247</v>
      </c>
      <c r="N452" s="14">
        <v>13.473</v>
      </c>
      <c r="O452" s="14">
        <v>14.271</v>
      </c>
      <c r="P452" s="14">
        <v>15.327</v>
      </c>
      <c r="Q452" s="14">
        <v>16.559199999999997</v>
      </c>
      <c r="R452" s="20">
        <v>7.09</v>
      </c>
      <c r="S452" s="20">
        <v>7.09</v>
      </c>
      <c r="T452" s="20">
        <v>6.86</v>
      </c>
      <c r="U452" s="20">
        <v>7.28</v>
      </c>
      <c r="V452" s="20">
        <v>7.37</v>
      </c>
      <c r="W452" s="14">
        <v>7.138</v>
      </c>
      <c r="X452" s="14">
        <v>14.0</v>
      </c>
      <c r="Y452" s="14">
        <v>14.2</v>
      </c>
      <c r="Z452" s="14">
        <v>14.3</v>
      </c>
      <c r="AA452" s="14">
        <v>14.4</v>
      </c>
      <c r="AB452" s="14">
        <v>14.6</v>
      </c>
      <c r="AC452" s="14">
        <v>14.3</v>
      </c>
      <c r="AD452" s="20">
        <v>240.0</v>
      </c>
      <c r="AE452" s="20">
        <v>241.0</v>
      </c>
      <c r="AF452" s="20">
        <v>242.0</v>
      </c>
      <c r="AG452" s="20">
        <v>244.0</v>
      </c>
      <c r="AH452" s="20">
        <v>245.0</v>
      </c>
      <c r="AI452" s="14">
        <v>242.4</v>
      </c>
      <c r="AJ452" s="14">
        <v>2.7</v>
      </c>
      <c r="AK452" s="14">
        <v>3.05</v>
      </c>
      <c r="AL452" s="14">
        <v>3.43</v>
      </c>
      <c r="AM452" s="14">
        <v>4.73</v>
      </c>
      <c r="AN452" s="14">
        <v>4.75</v>
      </c>
      <c r="AO452" s="14">
        <v>3.732</v>
      </c>
      <c r="AP452" s="14">
        <v>13.0</v>
      </c>
      <c r="AQ452" s="14">
        <v>21.0</v>
      </c>
      <c r="AR452" s="14">
        <v>24.0</v>
      </c>
      <c r="AS452" s="14">
        <v>1.2</v>
      </c>
      <c r="AT452" s="14">
        <v>0.13</v>
      </c>
      <c r="AU452" s="14">
        <v>1374000.0</v>
      </c>
      <c r="AV452" s="14">
        <v>0.3</v>
      </c>
      <c r="AW452" s="14">
        <v>5.9</v>
      </c>
      <c r="AX452" s="14">
        <v>103900.0</v>
      </c>
      <c r="AY452" s="14">
        <v>1.0</v>
      </c>
      <c r="AZ452" s="14">
        <v>0.123</v>
      </c>
      <c r="BA452" s="14">
        <f t="shared" si="1"/>
        <v>7.023</v>
      </c>
    </row>
    <row r="453" ht="14.25" customHeight="1">
      <c r="A453" s="10" t="s">
        <v>708</v>
      </c>
      <c r="B453" s="12" t="s">
        <v>57</v>
      </c>
      <c r="C453" s="12"/>
      <c r="D453" s="12"/>
      <c r="E453" s="44">
        <v>44425.0</v>
      </c>
      <c r="F453" s="29">
        <v>1.0</v>
      </c>
      <c r="G453" s="12" t="s">
        <v>709</v>
      </c>
      <c r="H453" s="45">
        <v>0.416666666667879</v>
      </c>
      <c r="I453" s="45">
        <v>0.5</v>
      </c>
      <c r="J453" s="12">
        <v>0.7</v>
      </c>
      <c r="K453" s="12">
        <v>0.27</v>
      </c>
      <c r="L453" s="14">
        <v>57.197</v>
      </c>
      <c r="M453" s="14">
        <v>55.468</v>
      </c>
      <c r="N453" s="14">
        <v>53.088</v>
      </c>
      <c r="O453" s="14">
        <v>53.656</v>
      </c>
      <c r="P453" s="14">
        <v>48.329</v>
      </c>
      <c r="Q453" s="14">
        <v>53.5476</v>
      </c>
      <c r="R453" s="20">
        <v>7.05</v>
      </c>
      <c r="S453" s="20">
        <v>7.1</v>
      </c>
      <c r="T453" s="20">
        <v>7.55</v>
      </c>
      <c r="U453" s="20">
        <v>7.48</v>
      </c>
      <c r="V453" s="20">
        <v>7.32</v>
      </c>
      <c r="W453" s="14">
        <v>7.3</v>
      </c>
      <c r="X453" s="14">
        <v>13.6</v>
      </c>
      <c r="Y453" s="14">
        <v>13.6</v>
      </c>
      <c r="Z453" s="14">
        <v>13.9</v>
      </c>
      <c r="AA453" s="14">
        <v>13.9</v>
      </c>
      <c r="AB453" s="14">
        <v>17.9</v>
      </c>
      <c r="AC453" s="14">
        <v>14.580000000000002</v>
      </c>
      <c r="AD453" s="20">
        <v>116.4</v>
      </c>
      <c r="AE453" s="20">
        <v>120.5</v>
      </c>
      <c r="AF453" s="20">
        <v>127.5</v>
      </c>
      <c r="AG453" s="20">
        <v>120.5</v>
      </c>
      <c r="AH453" s="20">
        <v>114.3</v>
      </c>
      <c r="AI453" s="14">
        <v>119.83999999999999</v>
      </c>
      <c r="AJ453" s="14">
        <v>7.15</v>
      </c>
      <c r="AK453" s="14">
        <v>6.89</v>
      </c>
      <c r="AL453" s="14">
        <v>7.52</v>
      </c>
      <c r="AM453" s="14">
        <v>7.59</v>
      </c>
      <c r="AN453" s="14">
        <v>7.11</v>
      </c>
      <c r="AO453" s="14">
        <v>7.252</v>
      </c>
      <c r="AP453" s="14">
        <v>27.0</v>
      </c>
      <c r="AQ453" s="14">
        <v>58.0</v>
      </c>
      <c r="AR453" s="14">
        <v>193.0</v>
      </c>
      <c r="AS453" s="14">
        <v>13.2</v>
      </c>
      <c r="AT453" s="14">
        <v>0.1</v>
      </c>
      <c r="AU453" s="14">
        <v>9590000.0</v>
      </c>
      <c r="AV453" s="14">
        <v>0.26</v>
      </c>
      <c r="AW453" s="14">
        <v>3.6</v>
      </c>
      <c r="AX453" s="14">
        <v>54600.0</v>
      </c>
      <c r="AY453" s="14">
        <v>1.1</v>
      </c>
      <c r="AZ453" s="14">
        <v>0.015</v>
      </c>
      <c r="BA453" s="14">
        <f t="shared" si="1"/>
        <v>4.715</v>
      </c>
    </row>
    <row r="454" ht="14.25" customHeight="1">
      <c r="A454" s="10" t="s">
        <v>710</v>
      </c>
      <c r="B454" s="12" t="s">
        <v>102</v>
      </c>
      <c r="C454" s="12"/>
      <c r="D454" s="12"/>
      <c r="E454" s="44">
        <v>44425.0</v>
      </c>
      <c r="F454" s="29">
        <v>1.0</v>
      </c>
      <c r="G454" s="12" t="s">
        <v>711</v>
      </c>
      <c r="H454" s="45">
        <v>0.33333333333212</v>
      </c>
      <c r="I454" s="45">
        <v>0.416666666667879</v>
      </c>
      <c r="J454" s="12">
        <v>3.6</v>
      </c>
      <c r="K454" s="12">
        <v>0.22</v>
      </c>
      <c r="L454" s="14">
        <v>517.63</v>
      </c>
      <c r="M454" s="14">
        <v>527.695</v>
      </c>
      <c r="N454" s="14">
        <v>523.818</v>
      </c>
      <c r="O454" s="14">
        <v>543.538</v>
      </c>
      <c r="P454" s="14">
        <v>531.42</v>
      </c>
      <c r="Q454" s="14">
        <v>528.8202</v>
      </c>
      <c r="R454" s="20">
        <v>7.22</v>
      </c>
      <c r="S454" s="20">
        <v>7.46</v>
      </c>
      <c r="T454" s="20">
        <v>7.52</v>
      </c>
      <c r="U454" s="20">
        <v>7.73</v>
      </c>
      <c r="V454" s="20">
        <v>7.74</v>
      </c>
      <c r="W454" s="14">
        <v>7.534000000000001</v>
      </c>
      <c r="X454" s="14">
        <v>12.1</v>
      </c>
      <c r="Y454" s="14">
        <v>12.0</v>
      </c>
      <c r="Z454" s="14">
        <v>12.1</v>
      </c>
      <c r="AA454" s="14">
        <v>12.2</v>
      </c>
      <c r="AB454" s="14">
        <v>12.2</v>
      </c>
      <c r="AC454" s="14">
        <v>12.120000000000001</v>
      </c>
      <c r="AD454" s="20">
        <v>178.4</v>
      </c>
      <c r="AE454" s="20">
        <v>182.9</v>
      </c>
      <c r="AF454" s="20">
        <v>192.2</v>
      </c>
      <c r="AG454" s="20">
        <v>211.0</v>
      </c>
      <c r="AH454" s="20">
        <v>193.2</v>
      </c>
      <c r="AI454" s="14">
        <v>191.54000000000002</v>
      </c>
      <c r="AJ454" s="14">
        <v>7.12</v>
      </c>
      <c r="AK454" s="14">
        <v>7.61</v>
      </c>
      <c r="AL454" s="14">
        <v>7.43</v>
      </c>
      <c r="AM454" s="14">
        <v>7.33</v>
      </c>
      <c r="AN454" s="14">
        <v>7.03</v>
      </c>
      <c r="AO454" s="14">
        <v>7.304</v>
      </c>
      <c r="AP454" s="14">
        <v>22.0</v>
      </c>
      <c r="AQ454" s="14">
        <v>47.0</v>
      </c>
      <c r="AR454" s="14">
        <v>483.0</v>
      </c>
      <c r="AS454" s="14">
        <v>6.1</v>
      </c>
      <c r="AT454" s="14">
        <v>0.07</v>
      </c>
      <c r="AU454" s="14">
        <v>1374000.0</v>
      </c>
      <c r="AV454" s="14">
        <v>0.19</v>
      </c>
      <c r="AW454" s="14">
        <v>9.2</v>
      </c>
      <c r="AX454" s="14">
        <v>129600.0</v>
      </c>
      <c r="AY454" s="14">
        <v>1.2</v>
      </c>
      <c r="AZ454" s="14">
        <v>0.058</v>
      </c>
      <c r="BA454" s="14">
        <f t="shared" si="1"/>
        <v>10.458</v>
      </c>
    </row>
    <row r="455" ht="14.25" customHeight="1">
      <c r="A455" s="10" t="s">
        <v>712</v>
      </c>
      <c r="B455" s="12" t="s">
        <v>91</v>
      </c>
      <c r="C455" s="12"/>
      <c r="D455" s="12"/>
      <c r="E455" s="44">
        <v>44433.0</v>
      </c>
      <c r="F455" s="29">
        <v>1.0</v>
      </c>
      <c r="G455" s="12" t="s">
        <v>713</v>
      </c>
      <c r="H455" s="45">
        <v>0.58333333333212</v>
      </c>
      <c r="I455" s="45">
        <v>0.666666666667879</v>
      </c>
      <c r="J455" s="12">
        <v>6.3</v>
      </c>
      <c r="K455" s="12">
        <v>0.52</v>
      </c>
      <c r="L455" s="14">
        <v>245.904</v>
      </c>
      <c r="M455" s="14">
        <v>254.375</v>
      </c>
      <c r="N455" s="14">
        <v>249.447</v>
      </c>
      <c r="O455" s="14">
        <v>247.722</v>
      </c>
      <c r="P455" s="14">
        <v>245.819</v>
      </c>
      <c r="Q455" s="14">
        <v>248.6534</v>
      </c>
      <c r="R455" s="20">
        <v>7.23</v>
      </c>
      <c r="S455" s="20">
        <v>7.28</v>
      </c>
      <c r="T455" s="20">
        <v>7.26</v>
      </c>
      <c r="U455" s="20">
        <v>7.23</v>
      </c>
      <c r="V455" s="20">
        <v>7.23</v>
      </c>
      <c r="W455" s="14">
        <v>7.246</v>
      </c>
      <c r="X455" s="14">
        <v>15.7</v>
      </c>
      <c r="Y455" s="14">
        <v>15.4</v>
      </c>
      <c r="Z455" s="14">
        <v>15.4</v>
      </c>
      <c r="AA455" s="14">
        <v>15.3</v>
      </c>
      <c r="AB455" s="14">
        <v>15.1</v>
      </c>
      <c r="AC455" s="14">
        <v>15.379999999999999</v>
      </c>
      <c r="AD455" s="20">
        <v>374.0</v>
      </c>
      <c r="AE455" s="20">
        <v>390.0</v>
      </c>
      <c r="AF455" s="20">
        <v>360.0</v>
      </c>
      <c r="AG455" s="20">
        <v>370.0</v>
      </c>
      <c r="AH455" s="20">
        <v>358.0</v>
      </c>
      <c r="AI455" s="14">
        <v>370.4</v>
      </c>
      <c r="AJ455" s="14">
        <v>0.55</v>
      </c>
      <c r="AK455" s="14">
        <v>0.69</v>
      </c>
      <c r="AL455" s="14">
        <v>0.51</v>
      </c>
      <c r="AM455" s="14">
        <v>0.61</v>
      </c>
      <c r="AN455" s="14">
        <v>0.55</v>
      </c>
      <c r="AO455" s="14">
        <v>0.5820000000000001</v>
      </c>
      <c r="AP455" s="14">
        <v>42.0</v>
      </c>
      <c r="AQ455" s="14">
        <v>133.0</v>
      </c>
      <c r="AR455" s="14">
        <v>12.0</v>
      </c>
      <c r="AS455" s="14">
        <v>1.2</v>
      </c>
      <c r="AT455" s="14">
        <v>0.31</v>
      </c>
      <c r="AU455" s="14">
        <v>1860000.0</v>
      </c>
      <c r="AV455" s="14">
        <v>1.11</v>
      </c>
      <c r="AW455" s="14">
        <v>13.2</v>
      </c>
      <c r="AX455" s="14">
        <v>98500.0</v>
      </c>
      <c r="AY455" s="14">
        <v>0.4</v>
      </c>
      <c r="AZ455" s="14">
        <v>0.007</v>
      </c>
      <c r="BA455" s="14">
        <f t="shared" si="1"/>
        <v>13.607</v>
      </c>
    </row>
    <row r="456" ht="14.25" customHeight="1">
      <c r="A456" s="10" t="s">
        <v>714</v>
      </c>
      <c r="B456" s="12" t="s">
        <v>74</v>
      </c>
      <c r="C456" s="12"/>
      <c r="D456" s="12"/>
      <c r="E456" s="44">
        <v>44425.0</v>
      </c>
      <c r="F456" s="29">
        <v>1.0</v>
      </c>
      <c r="G456" s="12" t="s">
        <v>715</v>
      </c>
      <c r="H456" s="45">
        <v>0.5</v>
      </c>
      <c r="I456" s="45">
        <v>0.58333333333212</v>
      </c>
      <c r="J456" s="12">
        <v>1.5</v>
      </c>
      <c r="K456" s="12">
        <v>0.31</v>
      </c>
      <c r="L456" s="14">
        <v>305.245</v>
      </c>
      <c r="M456" s="14">
        <v>307.366</v>
      </c>
      <c r="N456" s="14">
        <v>311.729</v>
      </c>
      <c r="O456" s="14">
        <v>344.607</v>
      </c>
      <c r="P456" s="14">
        <v>349.522</v>
      </c>
      <c r="Q456" s="14">
        <v>323.69379999999995</v>
      </c>
      <c r="R456" s="20">
        <v>7.73</v>
      </c>
      <c r="S456" s="20">
        <v>7.9</v>
      </c>
      <c r="T456" s="20">
        <v>7.69</v>
      </c>
      <c r="U456" s="20">
        <v>7.97</v>
      </c>
      <c r="V456" s="20">
        <v>7.93</v>
      </c>
      <c r="W456" s="14">
        <v>7.843999999999999</v>
      </c>
      <c r="X456" s="14">
        <v>12.2</v>
      </c>
      <c r="Y456" s="14">
        <v>12.4</v>
      </c>
      <c r="Z456" s="14">
        <v>12.6</v>
      </c>
      <c r="AA456" s="14">
        <v>12.7</v>
      </c>
      <c r="AB456" s="14">
        <v>12.9</v>
      </c>
      <c r="AC456" s="14">
        <v>12.56</v>
      </c>
      <c r="AD456" s="20">
        <v>233.0</v>
      </c>
      <c r="AE456" s="20">
        <v>243.0</v>
      </c>
      <c r="AF456" s="20">
        <v>249.0</v>
      </c>
      <c r="AG456" s="20">
        <v>255.0</v>
      </c>
      <c r="AH456" s="20">
        <v>249.0</v>
      </c>
      <c r="AI456" s="14">
        <v>245.8</v>
      </c>
      <c r="AJ456" s="14">
        <v>6.03</v>
      </c>
      <c r="AK456" s="14">
        <v>6.3</v>
      </c>
      <c r="AL456" s="14">
        <v>6.23</v>
      </c>
      <c r="AM456" s="14">
        <v>6.47</v>
      </c>
      <c r="AN456" s="14">
        <v>6.7</v>
      </c>
      <c r="AO456" s="14">
        <v>6.346</v>
      </c>
      <c r="AP456" s="14">
        <v>20.0</v>
      </c>
      <c r="AQ456" s="14">
        <v>41.0</v>
      </c>
      <c r="AR456" s="14">
        <v>291.0</v>
      </c>
      <c r="AS456" s="14">
        <v>1.2</v>
      </c>
      <c r="AT456" s="14">
        <v>0.07</v>
      </c>
      <c r="AU456" s="14">
        <v>1414000.0</v>
      </c>
      <c r="AV456" s="14">
        <v>0.09</v>
      </c>
      <c r="AW456" s="14">
        <v>7.3</v>
      </c>
      <c r="AX456" s="14">
        <v>114500.0</v>
      </c>
      <c r="AY456" s="14">
        <v>1.5</v>
      </c>
      <c r="AZ456" s="14">
        <v>0.053</v>
      </c>
      <c r="BA456" s="14">
        <f t="shared" si="1"/>
        <v>8.853</v>
      </c>
    </row>
    <row r="457" ht="14.25" customHeight="1">
      <c r="A457" s="10" t="s">
        <v>716</v>
      </c>
      <c r="B457" s="12" t="s">
        <v>138</v>
      </c>
      <c r="C457" s="12"/>
      <c r="D457" s="12"/>
      <c r="E457" s="44">
        <v>44439.0</v>
      </c>
      <c r="F457" s="29">
        <v>1.0</v>
      </c>
      <c r="G457" s="12" t="s">
        <v>717</v>
      </c>
      <c r="H457" s="45">
        <v>0.5</v>
      </c>
      <c r="I457" s="45">
        <v>0.58333333333212</v>
      </c>
      <c r="J457" s="12">
        <v>0.9</v>
      </c>
      <c r="K457" s="12">
        <v>0.14</v>
      </c>
      <c r="L457" s="14">
        <v>78.289</v>
      </c>
      <c r="M457" s="14">
        <v>76.961</v>
      </c>
      <c r="N457" s="14">
        <v>77.043</v>
      </c>
      <c r="O457" s="14">
        <v>73.644</v>
      </c>
      <c r="P457" s="14">
        <v>77.122</v>
      </c>
      <c r="Q457" s="14">
        <v>76.6118</v>
      </c>
      <c r="R457" s="20">
        <v>8.35</v>
      </c>
      <c r="S457" s="20">
        <v>7.99</v>
      </c>
      <c r="T457" s="20">
        <v>7.63</v>
      </c>
      <c r="U457" s="20">
        <v>7.76</v>
      </c>
      <c r="V457" s="20">
        <v>7.44</v>
      </c>
      <c r="W457" s="14">
        <v>7.833999999999999</v>
      </c>
      <c r="X457" s="14">
        <v>15.2</v>
      </c>
      <c r="Y457" s="14">
        <v>14.8</v>
      </c>
      <c r="Z457" s="14">
        <v>15.0</v>
      </c>
      <c r="AA457" s="14">
        <v>15.0</v>
      </c>
      <c r="AB457" s="14">
        <v>15.6</v>
      </c>
      <c r="AC457" s="14">
        <v>15.12</v>
      </c>
      <c r="AD457" s="20">
        <v>721.0</v>
      </c>
      <c r="AE457" s="20">
        <v>743.0</v>
      </c>
      <c r="AF457" s="20">
        <v>706.0</v>
      </c>
      <c r="AG457" s="20">
        <v>724.0</v>
      </c>
      <c r="AH457" s="20">
        <v>685.0</v>
      </c>
      <c r="AI457" s="14">
        <v>715.8</v>
      </c>
      <c r="AJ457" s="14">
        <v>4.72</v>
      </c>
      <c r="AK457" s="14">
        <v>4.92</v>
      </c>
      <c r="AL457" s="14">
        <v>4.35</v>
      </c>
      <c r="AM457" s="14">
        <v>5.04</v>
      </c>
      <c r="AN457" s="14">
        <v>6.33</v>
      </c>
      <c r="AO457" s="14">
        <v>5.072</v>
      </c>
      <c r="AP457" s="14">
        <v>272.0</v>
      </c>
      <c r="AQ457" s="14">
        <v>362.0</v>
      </c>
      <c r="AR457" s="14">
        <v>190.0</v>
      </c>
      <c r="AS457" s="14">
        <v>87.0</v>
      </c>
      <c r="AT457" s="14">
        <v>8.78</v>
      </c>
      <c r="AU457" s="14">
        <v>1.989E7</v>
      </c>
      <c r="AV457" s="14">
        <v>4.98</v>
      </c>
      <c r="AW457" s="14">
        <v>44.0</v>
      </c>
      <c r="AX457" s="14">
        <v>8.67E7</v>
      </c>
      <c r="AY457" s="14">
        <v>1.1</v>
      </c>
      <c r="AZ457" s="14">
        <v>0.007</v>
      </c>
      <c r="BA457" s="14">
        <f t="shared" si="1"/>
        <v>45.107</v>
      </c>
    </row>
    <row r="458" ht="14.25" customHeight="1">
      <c r="A458" s="10" t="s">
        <v>718</v>
      </c>
      <c r="B458" s="12" t="s">
        <v>59</v>
      </c>
      <c r="C458" s="12"/>
      <c r="D458" s="12"/>
      <c r="E458" s="44">
        <v>44425.0</v>
      </c>
      <c r="F458" s="29">
        <v>1.0</v>
      </c>
      <c r="G458" s="12" t="s">
        <v>719</v>
      </c>
      <c r="H458" s="45">
        <v>0.416666666667879</v>
      </c>
      <c r="I458" s="45">
        <v>0.5</v>
      </c>
      <c r="J458" s="12">
        <v>2.2</v>
      </c>
      <c r="K458" s="12">
        <v>0.21</v>
      </c>
      <c r="L458" s="14">
        <v>220.983</v>
      </c>
      <c r="M458" s="14">
        <v>219.319</v>
      </c>
      <c r="N458" s="14">
        <v>218.681</v>
      </c>
      <c r="O458" s="14">
        <v>201.707</v>
      </c>
      <c r="P458" s="14">
        <v>212.584</v>
      </c>
      <c r="Q458" s="14">
        <v>214.65480000000002</v>
      </c>
      <c r="R458" s="20">
        <v>8.01</v>
      </c>
      <c r="S458" s="20">
        <v>7.99</v>
      </c>
      <c r="T458" s="20">
        <v>8.06</v>
      </c>
      <c r="U458" s="20">
        <v>8.07</v>
      </c>
      <c r="V458" s="20">
        <v>8.05</v>
      </c>
      <c r="W458" s="14">
        <v>8.036000000000001</v>
      </c>
      <c r="X458" s="14">
        <v>12.6</v>
      </c>
      <c r="Y458" s="14">
        <v>12.9</v>
      </c>
      <c r="Z458" s="14">
        <v>13.2</v>
      </c>
      <c r="AA458" s="14">
        <v>12.9</v>
      </c>
      <c r="AB458" s="14">
        <v>13.3</v>
      </c>
      <c r="AC458" s="14">
        <v>12.98</v>
      </c>
      <c r="AD458" s="20">
        <v>247.0</v>
      </c>
      <c r="AE458" s="20">
        <v>250.0</v>
      </c>
      <c r="AF458" s="20">
        <v>256.0</v>
      </c>
      <c r="AG458" s="20">
        <v>254.0</v>
      </c>
      <c r="AH458" s="20">
        <v>259.0</v>
      </c>
      <c r="AI458" s="14">
        <v>253.2</v>
      </c>
      <c r="AJ458" s="14">
        <v>6.5</v>
      </c>
      <c r="AK458" s="14">
        <v>6.12</v>
      </c>
      <c r="AL458" s="14">
        <v>6.1</v>
      </c>
      <c r="AM458" s="14">
        <v>6.18</v>
      </c>
      <c r="AN458" s="14">
        <v>6.16</v>
      </c>
      <c r="AO458" s="14">
        <v>6.212</v>
      </c>
      <c r="AP458" s="14">
        <v>53.0</v>
      </c>
      <c r="AQ458" s="14">
        <v>112.0</v>
      </c>
      <c r="AR458" s="14">
        <v>280.0</v>
      </c>
      <c r="AS458" s="14">
        <v>13.0</v>
      </c>
      <c r="AT458" s="14">
        <v>0.1</v>
      </c>
      <c r="AU458" s="14">
        <v>1.664E7</v>
      </c>
      <c r="AV458" s="14">
        <v>0.63</v>
      </c>
      <c r="AW458" s="14">
        <v>13.7</v>
      </c>
      <c r="AX458" s="14">
        <v>683000.0</v>
      </c>
      <c r="AY458" s="14">
        <v>0.6</v>
      </c>
      <c r="AZ458" s="14">
        <v>0.109</v>
      </c>
      <c r="BA458" s="14">
        <f t="shared" si="1"/>
        <v>14.409</v>
      </c>
    </row>
    <row r="459" ht="14.25" customHeight="1">
      <c r="A459" s="10" t="s">
        <v>720</v>
      </c>
      <c r="B459" s="12" t="s">
        <v>57</v>
      </c>
      <c r="C459" s="12"/>
      <c r="D459" s="12"/>
      <c r="E459" s="44">
        <v>44440.0</v>
      </c>
      <c r="F459" s="29">
        <v>1.0</v>
      </c>
      <c r="G459" s="12" t="s">
        <v>721</v>
      </c>
      <c r="H459" s="45">
        <v>0.33333333333212</v>
      </c>
      <c r="I459" s="45">
        <v>0.416666666667879</v>
      </c>
      <c r="J459" s="12">
        <v>0.95</v>
      </c>
      <c r="K459" s="12">
        <v>0.3</v>
      </c>
      <c r="L459" s="14">
        <v>45.763</v>
      </c>
      <c r="M459" s="14">
        <v>46.243</v>
      </c>
      <c r="N459" s="14">
        <v>54.595</v>
      </c>
      <c r="O459" s="14">
        <v>56.673</v>
      </c>
      <c r="P459" s="14">
        <v>57.664</v>
      </c>
      <c r="Q459" s="14">
        <v>52.187599999999996</v>
      </c>
      <c r="R459" s="20">
        <v>7.69</v>
      </c>
      <c r="S459" s="20">
        <v>7.41</v>
      </c>
      <c r="T459" s="20">
        <v>7.31</v>
      </c>
      <c r="U459" s="20">
        <v>7.33</v>
      </c>
      <c r="V459" s="20">
        <v>7.31</v>
      </c>
      <c r="W459" s="14">
        <v>7.410000000000001</v>
      </c>
      <c r="X459" s="14">
        <v>13.5</v>
      </c>
      <c r="Y459" s="14">
        <v>13.7</v>
      </c>
      <c r="Z459" s="14">
        <v>13.7</v>
      </c>
      <c r="AA459" s="14">
        <v>13.9</v>
      </c>
      <c r="AB459" s="14">
        <v>14.3</v>
      </c>
      <c r="AC459" s="14">
        <v>13.819999999999999</v>
      </c>
      <c r="AD459" s="20">
        <v>121.3</v>
      </c>
      <c r="AE459" s="20">
        <v>119.5</v>
      </c>
      <c r="AF459" s="20">
        <v>116.9</v>
      </c>
      <c r="AG459" s="20">
        <v>118.4</v>
      </c>
      <c r="AH459" s="20">
        <v>122.0</v>
      </c>
      <c r="AI459" s="14">
        <v>119.62</v>
      </c>
      <c r="AJ459" s="14">
        <v>5.51</v>
      </c>
      <c r="AK459" s="14">
        <v>6.27</v>
      </c>
      <c r="AL459" s="14">
        <v>6.09</v>
      </c>
      <c r="AM459" s="14">
        <v>5.99</v>
      </c>
      <c r="AN459" s="14">
        <v>5.89</v>
      </c>
      <c r="AO459" s="14">
        <v>5.95</v>
      </c>
      <c r="AP459" s="14">
        <v>6.0</v>
      </c>
      <c r="AQ459" s="14">
        <v>33.0</v>
      </c>
      <c r="AR459" s="14">
        <v>33.0</v>
      </c>
      <c r="AS459" s="14">
        <v>1.2</v>
      </c>
      <c r="AT459" s="14">
        <v>0.07</v>
      </c>
      <c r="AU459" s="14">
        <v>783000.0</v>
      </c>
      <c r="AV459" s="14">
        <v>0.49</v>
      </c>
      <c r="AW459" s="14">
        <v>7.8</v>
      </c>
      <c r="AX459" s="14">
        <v>65700.0</v>
      </c>
      <c r="AY459" s="14">
        <v>0.8</v>
      </c>
      <c r="AZ459" s="14">
        <v>0.081</v>
      </c>
      <c r="BA459" s="14">
        <f t="shared" si="1"/>
        <v>8.681</v>
      </c>
    </row>
    <row r="460" ht="14.25" customHeight="1">
      <c r="A460" s="10" t="s">
        <v>722</v>
      </c>
      <c r="B460" s="12" t="s">
        <v>59</v>
      </c>
      <c r="C460" s="12"/>
      <c r="D460" s="12"/>
      <c r="E460" s="44">
        <v>44440.0</v>
      </c>
      <c r="F460" s="29">
        <v>1.0</v>
      </c>
      <c r="G460" s="12" t="s">
        <v>723</v>
      </c>
      <c r="H460" s="45">
        <v>0.33333333333212</v>
      </c>
      <c r="I460" s="45">
        <v>0.416666666667879</v>
      </c>
      <c r="J460" s="12">
        <v>2.1</v>
      </c>
      <c r="K460" s="12">
        <v>0.22</v>
      </c>
      <c r="L460" s="14">
        <v>75.233</v>
      </c>
      <c r="M460" s="14">
        <v>79.978</v>
      </c>
      <c r="N460" s="14">
        <v>79.695</v>
      </c>
      <c r="O460" s="14">
        <v>84.05</v>
      </c>
      <c r="P460" s="14">
        <v>81.864</v>
      </c>
      <c r="Q460" s="14">
        <v>80.16400000000002</v>
      </c>
      <c r="R460" s="20">
        <v>7.82</v>
      </c>
      <c r="S460" s="20">
        <v>7.24</v>
      </c>
      <c r="T460" s="20">
        <v>7.19</v>
      </c>
      <c r="U460" s="20">
        <v>7.15</v>
      </c>
      <c r="V460" s="20">
        <v>7.92</v>
      </c>
      <c r="W460" s="14">
        <v>7.464</v>
      </c>
      <c r="X460" s="14">
        <v>12.4</v>
      </c>
      <c r="Y460" s="14">
        <v>12.8</v>
      </c>
      <c r="Z460" s="14">
        <v>12.6</v>
      </c>
      <c r="AA460" s="14">
        <v>12.8</v>
      </c>
      <c r="AB460" s="14">
        <v>13.4</v>
      </c>
      <c r="AC460" s="14">
        <v>12.800000000000002</v>
      </c>
      <c r="AD460" s="20">
        <v>259.0</v>
      </c>
      <c r="AE460" s="20">
        <v>267.0</v>
      </c>
      <c r="AF460" s="20">
        <v>280.0</v>
      </c>
      <c r="AG460" s="20">
        <v>427.0</v>
      </c>
      <c r="AH460" s="20">
        <v>419.0</v>
      </c>
      <c r="AI460" s="14">
        <v>330.4</v>
      </c>
      <c r="AJ460" s="14">
        <v>6.94</v>
      </c>
      <c r="AK460" s="14">
        <v>6.9</v>
      </c>
      <c r="AL460" s="14">
        <v>7.19</v>
      </c>
      <c r="AM460" s="14">
        <v>6.57</v>
      </c>
      <c r="AN460" s="14">
        <v>7.11</v>
      </c>
      <c r="AO460" s="14">
        <v>6.942</v>
      </c>
      <c r="AP460" s="14">
        <v>10.0</v>
      </c>
      <c r="AQ460" s="14">
        <v>34.0</v>
      </c>
      <c r="AR460" s="14">
        <v>44.0</v>
      </c>
      <c r="AS460" s="14">
        <v>1.2</v>
      </c>
      <c r="AT460" s="14">
        <v>0.07</v>
      </c>
      <c r="AU460" s="14">
        <v>913000.0</v>
      </c>
      <c r="AV460" s="14">
        <v>1.38</v>
      </c>
      <c r="AW460" s="14">
        <v>20.4</v>
      </c>
      <c r="AX460" s="14">
        <v>889000.0</v>
      </c>
      <c r="AY460" s="14">
        <v>0.4</v>
      </c>
      <c r="AZ460" s="14">
        <v>0.105</v>
      </c>
      <c r="BA460" s="14">
        <f t="shared" si="1"/>
        <v>20.905</v>
      </c>
    </row>
    <row r="461" ht="14.25" customHeight="1">
      <c r="A461" s="10" t="s">
        <v>724</v>
      </c>
      <c r="B461" s="12" t="s">
        <v>53</v>
      </c>
      <c r="C461" s="12"/>
      <c r="D461" s="12"/>
      <c r="E461" s="44">
        <v>44440.0</v>
      </c>
      <c r="F461" s="29">
        <v>1.0</v>
      </c>
      <c r="G461" s="12" t="s">
        <v>725</v>
      </c>
      <c r="H461" s="45">
        <v>0.5</v>
      </c>
      <c r="I461" s="45">
        <v>0.58333333333212</v>
      </c>
      <c r="J461" s="12">
        <v>1.9</v>
      </c>
      <c r="K461" s="12">
        <v>0.1</v>
      </c>
      <c r="L461" s="14">
        <v>62.503</v>
      </c>
      <c r="M461" s="14">
        <v>64.121</v>
      </c>
      <c r="N461" s="14">
        <v>68.348</v>
      </c>
      <c r="O461" s="14">
        <v>71.818</v>
      </c>
      <c r="P461" s="14">
        <v>75.558</v>
      </c>
      <c r="Q461" s="14">
        <v>68.46959999999999</v>
      </c>
      <c r="R461" s="20">
        <v>7.49</v>
      </c>
      <c r="S461" s="20">
        <v>7.55</v>
      </c>
      <c r="T461" s="20">
        <v>7.47</v>
      </c>
      <c r="U461" s="20">
        <v>7.59</v>
      </c>
      <c r="V461" s="20">
        <v>7.2</v>
      </c>
      <c r="W461" s="14">
        <v>7.459999999999999</v>
      </c>
      <c r="X461" s="14">
        <v>17.2</v>
      </c>
      <c r="Y461" s="14">
        <v>16.5</v>
      </c>
      <c r="Z461" s="14">
        <v>16.5</v>
      </c>
      <c r="AA461" s="14">
        <v>16.1</v>
      </c>
      <c r="AB461" s="14">
        <v>16.2</v>
      </c>
      <c r="AC461" s="14">
        <v>16.500000000000004</v>
      </c>
      <c r="AD461" s="20">
        <v>159.5</v>
      </c>
      <c r="AE461" s="20">
        <v>160.2</v>
      </c>
      <c r="AF461" s="20">
        <v>167.7</v>
      </c>
      <c r="AG461" s="20">
        <v>171.0</v>
      </c>
      <c r="AH461" s="20">
        <v>172.6</v>
      </c>
      <c r="AI461" s="14">
        <v>166.2</v>
      </c>
      <c r="AJ461" s="14">
        <v>5.31</v>
      </c>
      <c r="AK461" s="14">
        <v>5.85</v>
      </c>
      <c r="AL461" s="14">
        <v>5.83</v>
      </c>
      <c r="AM461" s="14">
        <v>5.65</v>
      </c>
      <c r="AN461" s="14">
        <v>5.42</v>
      </c>
      <c r="AO461" s="14">
        <v>5.612</v>
      </c>
      <c r="AP461" s="14">
        <v>6.0</v>
      </c>
      <c r="AQ461" s="14">
        <v>29.0</v>
      </c>
      <c r="AR461" s="14">
        <v>50.0</v>
      </c>
      <c r="AS461" s="14">
        <v>1.2</v>
      </c>
      <c r="AT461" s="14">
        <v>0.07</v>
      </c>
      <c r="AU461" s="14">
        <v>714.0</v>
      </c>
      <c r="AV461" s="14">
        <v>0.53</v>
      </c>
      <c r="AW461" s="14">
        <v>7.3</v>
      </c>
      <c r="AX461" s="14">
        <v>63.1</v>
      </c>
      <c r="AY461" s="14">
        <v>2.1</v>
      </c>
      <c r="AZ461" s="14">
        <v>0.208</v>
      </c>
      <c r="BA461" s="14">
        <f t="shared" si="1"/>
        <v>9.608</v>
      </c>
    </row>
    <row r="462" ht="14.25" customHeight="1">
      <c r="A462" s="10" t="s">
        <v>726</v>
      </c>
      <c r="B462" s="12" t="s">
        <v>131</v>
      </c>
      <c r="C462" s="12"/>
      <c r="D462" s="12"/>
      <c r="E462" s="44">
        <v>44426.0</v>
      </c>
      <c r="F462" s="29">
        <v>1.0</v>
      </c>
      <c r="G462" s="12" t="s">
        <v>727</v>
      </c>
      <c r="H462" s="45">
        <v>0.5</v>
      </c>
      <c r="I462" s="45">
        <v>0.58333333333212</v>
      </c>
      <c r="J462" s="12">
        <v>3.2</v>
      </c>
      <c r="K462" s="12">
        <v>0.48</v>
      </c>
      <c r="L462" s="14">
        <v>720.98</v>
      </c>
      <c r="M462" s="14">
        <v>717.893</v>
      </c>
      <c r="N462" s="14">
        <v>732.657</v>
      </c>
      <c r="O462" s="14">
        <v>733.123</v>
      </c>
      <c r="P462" s="14">
        <v>734.201</v>
      </c>
      <c r="Q462" s="14">
        <v>727.7708</v>
      </c>
      <c r="R462" s="20">
        <v>6.96</v>
      </c>
      <c r="S462" s="20">
        <v>6.83</v>
      </c>
      <c r="T462" s="20">
        <v>7.2</v>
      </c>
      <c r="U462" s="20">
        <v>7.36</v>
      </c>
      <c r="V462" s="20">
        <v>7.27</v>
      </c>
      <c r="W462" s="14">
        <v>7.124</v>
      </c>
      <c r="X462" s="14">
        <v>13.3</v>
      </c>
      <c r="Y462" s="14">
        <v>13.3</v>
      </c>
      <c r="Z462" s="14">
        <v>13.5</v>
      </c>
      <c r="AA462" s="14">
        <v>13.7</v>
      </c>
      <c r="AB462" s="14">
        <v>14.5</v>
      </c>
      <c r="AC462" s="14">
        <v>13.66</v>
      </c>
      <c r="AD462" s="20">
        <v>61.6</v>
      </c>
      <c r="AE462" s="20">
        <v>68.3</v>
      </c>
      <c r="AF462" s="20">
        <v>68.6</v>
      </c>
      <c r="AG462" s="20">
        <v>65.5</v>
      </c>
      <c r="AH462" s="20">
        <v>65.8</v>
      </c>
      <c r="AI462" s="14">
        <v>65.96000000000001</v>
      </c>
      <c r="AJ462" s="14">
        <v>6.48</v>
      </c>
      <c r="AK462" s="14">
        <v>6.25</v>
      </c>
      <c r="AL462" s="14">
        <v>6.65</v>
      </c>
      <c r="AM462" s="14">
        <v>6.4</v>
      </c>
      <c r="AN462" s="14">
        <v>6.07</v>
      </c>
      <c r="AO462" s="14">
        <v>6.37</v>
      </c>
      <c r="AP462" s="14">
        <v>22.0</v>
      </c>
      <c r="AQ462" s="14">
        <v>31.0</v>
      </c>
      <c r="AR462" s="14">
        <v>112.0</v>
      </c>
      <c r="AS462" s="14">
        <v>1.2</v>
      </c>
      <c r="AT462" s="14">
        <v>0.15</v>
      </c>
      <c r="AU462" s="14">
        <v>7940000.0</v>
      </c>
      <c r="AV462" s="14">
        <v>0.74</v>
      </c>
      <c r="AW462" s="14">
        <v>2.8</v>
      </c>
      <c r="AX462" s="14">
        <v>6050000.0</v>
      </c>
      <c r="AY462" s="14">
        <v>0.7</v>
      </c>
      <c r="AZ462" s="14">
        <v>0.096</v>
      </c>
      <c r="BA462" s="14">
        <f t="shared" si="1"/>
        <v>3.596</v>
      </c>
    </row>
    <row r="463" ht="14.25" customHeight="1">
      <c r="A463" s="10" t="s">
        <v>728</v>
      </c>
      <c r="B463" s="12" t="s">
        <v>133</v>
      </c>
      <c r="C463" s="12"/>
      <c r="D463" s="12"/>
      <c r="E463" s="44">
        <v>44426.0</v>
      </c>
      <c r="F463" s="29">
        <v>1.0</v>
      </c>
      <c r="G463" s="12" t="s">
        <v>729</v>
      </c>
      <c r="H463" s="45">
        <v>0.33333333333212</v>
      </c>
      <c r="I463" s="45">
        <v>0.416666666667879</v>
      </c>
      <c r="J463" s="12">
        <v>4.2</v>
      </c>
      <c r="K463" s="12">
        <v>0.45</v>
      </c>
      <c r="L463" s="14">
        <v>691.328</v>
      </c>
      <c r="M463" s="14">
        <v>682.455</v>
      </c>
      <c r="N463" s="14">
        <v>699.957</v>
      </c>
      <c r="O463" s="14">
        <v>702.401</v>
      </c>
      <c r="P463" s="14">
        <v>706.711</v>
      </c>
      <c r="Q463" s="14">
        <v>696.5704</v>
      </c>
      <c r="R463" s="20">
        <v>7.11</v>
      </c>
      <c r="S463" s="20">
        <v>7.0</v>
      </c>
      <c r="T463" s="20">
        <v>7.13</v>
      </c>
      <c r="U463" s="20">
        <v>7.05</v>
      </c>
      <c r="V463" s="20">
        <v>7.21</v>
      </c>
      <c r="W463" s="14">
        <v>7.1</v>
      </c>
      <c r="X463" s="14">
        <v>12.1</v>
      </c>
      <c r="Y463" s="14">
        <v>12.3</v>
      </c>
      <c r="Z463" s="14">
        <v>12.9</v>
      </c>
      <c r="AA463" s="14">
        <v>12.8</v>
      </c>
      <c r="AB463" s="14">
        <v>12.8</v>
      </c>
      <c r="AC463" s="14">
        <v>12.579999999999998</v>
      </c>
      <c r="AD463" s="20">
        <v>40.7</v>
      </c>
      <c r="AE463" s="20">
        <v>38.8</v>
      </c>
      <c r="AF463" s="20">
        <v>37.6</v>
      </c>
      <c r="AG463" s="20">
        <v>35.1</v>
      </c>
      <c r="AH463" s="20">
        <v>36.7</v>
      </c>
      <c r="AI463" s="14">
        <v>37.779999999999994</v>
      </c>
      <c r="AJ463" s="14">
        <v>6.52</v>
      </c>
      <c r="AK463" s="14">
        <v>6.61</v>
      </c>
      <c r="AL463" s="14">
        <v>6.66</v>
      </c>
      <c r="AM463" s="14">
        <v>6.88</v>
      </c>
      <c r="AN463" s="14">
        <v>6.98</v>
      </c>
      <c r="AO463" s="14">
        <v>6.7299999999999995</v>
      </c>
      <c r="AP463" s="14">
        <v>2.0</v>
      </c>
      <c r="AQ463" s="14">
        <v>7.0</v>
      </c>
      <c r="AR463" s="14">
        <v>44.0</v>
      </c>
      <c r="AS463" s="14">
        <v>1.2</v>
      </c>
      <c r="AT463" s="14">
        <v>0.2</v>
      </c>
      <c r="AU463" s="14">
        <v>109.5</v>
      </c>
      <c r="AV463" s="14">
        <v>0.1</v>
      </c>
      <c r="AW463" s="14">
        <v>2.5</v>
      </c>
      <c r="AX463" s="14">
        <v>91.0</v>
      </c>
      <c r="AY463" s="14">
        <v>0.7</v>
      </c>
      <c r="AZ463" s="14">
        <v>0.031</v>
      </c>
      <c r="BA463" s="14">
        <f t="shared" si="1"/>
        <v>3.231</v>
      </c>
    </row>
    <row r="464" ht="14.25" customHeight="1">
      <c r="A464" s="10" t="s">
        <v>730</v>
      </c>
      <c r="B464" s="12" t="s">
        <v>97</v>
      </c>
      <c r="C464" s="12"/>
      <c r="D464" s="12"/>
      <c r="E464" s="44">
        <v>44429.0</v>
      </c>
      <c r="F464" s="29">
        <v>1.0</v>
      </c>
      <c r="G464" s="12" t="s">
        <v>731</v>
      </c>
      <c r="H464" s="45">
        <v>0.25</v>
      </c>
      <c r="I464" s="45">
        <v>0.33333333333212</v>
      </c>
      <c r="J464" s="12">
        <v>2.6</v>
      </c>
      <c r="K464" s="12">
        <v>0.13</v>
      </c>
      <c r="L464" s="14">
        <v>115.21</v>
      </c>
      <c r="M464" s="14">
        <v>115.017</v>
      </c>
      <c r="N464" s="14">
        <v>121.028</v>
      </c>
      <c r="O464" s="14">
        <v>116.196</v>
      </c>
      <c r="P464" s="14">
        <v>114.436</v>
      </c>
      <c r="Q464" s="14">
        <v>116.37740000000001</v>
      </c>
      <c r="R464" s="20">
        <v>7.38</v>
      </c>
      <c r="S464" s="20">
        <v>7.44</v>
      </c>
      <c r="T464" s="20">
        <v>7.46</v>
      </c>
      <c r="U464" s="20">
        <v>7.69</v>
      </c>
      <c r="V464" s="20">
        <v>7.8</v>
      </c>
      <c r="W464" s="14">
        <v>7.554</v>
      </c>
      <c r="X464" s="14">
        <v>15.1</v>
      </c>
      <c r="Y464" s="14">
        <v>14.5</v>
      </c>
      <c r="Z464" s="14">
        <v>15.4</v>
      </c>
      <c r="AA464" s="14">
        <v>15.7</v>
      </c>
      <c r="AB464" s="14">
        <v>17.1</v>
      </c>
      <c r="AC464" s="14">
        <v>15.560000000000002</v>
      </c>
      <c r="AD464" s="20">
        <v>228.0</v>
      </c>
      <c r="AE464" s="20">
        <v>267.0</v>
      </c>
      <c r="AF464" s="20">
        <v>252.0</v>
      </c>
      <c r="AG464" s="20">
        <v>298.0</v>
      </c>
      <c r="AH464" s="20">
        <v>376.0</v>
      </c>
      <c r="AI464" s="14">
        <v>284.2</v>
      </c>
      <c r="AJ464" s="14">
        <v>2.8</v>
      </c>
      <c r="AK464" s="14">
        <v>2.7</v>
      </c>
      <c r="AL464" s="14">
        <v>2.6</v>
      </c>
      <c r="AM464" s="14">
        <v>2.8</v>
      </c>
      <c r="AN464" s="14">
        <v>2.6</v>
      </c>
      <c r="AO464" s="14">
        <v>2.6999999999999997</v>
      </c>
      <c r="AP464" s="14">
        <v>40.0</v>
      </c>
      <c r="AQ464" s="14">
        <v>54.0</v>
      </c>
      <c r="AR464" s="14">
        <v>32.0</v>
      </c>
      <c r="AS464" s="14">
        <v>1.2</v>
      </c>
      <c r="AT464" s="14">
        <v>0.83</v>
      </c>
      <c r="AU464" s="14">
        <v>1.396E7</v>
      </c>
      <c r="AV464" s="14">
        <v>1.57</v>
      </c>
      <c r="AW464" s="14">
        <v>16.8</v>
      </c>
      <c r="AX464" s="14">
        <v>814000.0</v>
      </c>
      <c r="AY464" s="14">
        <v>0.1</v>
      </c>
      <c r="AZ464" s="14">
        <v>0.007</v>
      </c>
      <c r="BA464" s="14">
        <f t="shared" si="1"/>
        <v>16.907</v>
      </c>
    </row>
    <row r="465" ht="14.25" customHeight="1">
      <c r="A465" s="10" t="s">
        <v>732</v>
      </c>
      <c r="B465" s="12" t="s">
        <v>65</v>
      </c>
      <c r="C465" s="12"/>
      <c r="D465" s="12"/>
      <c r="E465" s="44">
        <v>44433.0</v>
      </c>
      <c r="F465" s="29">
        <v>1.0</v>
      </c>
      <c r="G465" s="12" t="s">
        <v>733</v>
      </c>
      <c r="H465" s="45">
        <v>0.416666666667879</v>
      </c>
      <c r="I465" s="45">
        <v>0.5</v>
      </c>
      <c r="J465" s="12">
        <v>7.0</v>
      </c>
      <c r="K465" s="12">
        <v>0.17</v>
      </c>
      <c r="L465" s="14">
        <v>215.874</v>
      </c>
      <c r="M465" s="14">
        <v>235.596</v>
      </c>
      <c r="N465" s="14">
        <v>232.086</v>
      </c>
      <c r="O465" s="14">
        <v>222.989</v>
      </c>
      <c r="P465" s="14">
        <v>235.234</v>
      </c>
      <c r="Q465" s="14">
        <v>228.3558</v>
      </c>
      <c r="R465" s="20">
        <v>7.63</v>
      </c>
      <c r="S465" s="20">
        <v>7.67</v>
      </c>
      <c r="T465" s="20">
        <v>7.6</v>
      </c>
      <c r="U465" s="20">
        <v>7.53</v>
      </c>
      <c r="V465" s="20">
        <v>7.53</v>
      </c>
      <c r="W465" s="14">
        <v>7.5920000000000005</v>
      </c>
      <c r="X465" s="14">
        <v>16.5</v>
      </c>
      <c r="Y465" s="14">
        <v>16.7</v>
      </c>
      <c r="Z465" s="14">
        <v>16.8</v>
      </c>
      <c r="AA465" s="14">
        <v>16.8</v>
      </c>
      <c r="AB465" s="14">
        <v>16.9</v>
      </c>
      <c r="AC465" s="14">
        <v>16.74</v>
      </c>
      <c r="AD465" s="20">
        <v>359.0</v>
      </c>
      <c r="AE465" s="20">
        <v>354.0</v>
      </c>
      <c r="AF465" s="20">
        <v>355.0</v>
      </c>
      <c r="AG465" s="20">
        <v>346.0</v>
      </c>
      <c r="AH465" s="20">
        <v>278.0</v>
      </c>
      <c r="AI465" s="14">
        <v>338.4</v>
      </c>
      <c r="AJ465" s="14">
        <v>1.26</v>
      </c>
      <c r="AK465" s="14">
        <v>1.2</v>
      </c>
      <c r="AL465" s="14">
        <v>1.36</v>
      </c>
      <c r="AM465" s="14">
        <v>1.4</v>
      </c>
      <c r="AN465" s="14">
        <v>1.54</v>
      </c>
      <c r="AO465" s="14">
        <v>1.352</v>
      </c>
      <c r="AP465" s="14">
        <v>76.0</v>
      </c>
      <c r="AQ465" s="14">
        <v>133.0</v>
      </c>
      <c r="AR465" s="14">
        <v>31.0</v>
      </c>
      <c r="AS465" s="14">
        <v>1.2</v>
      </c>
      <c r="AT465" s="14">
        <v>2.51</v>
      </c>
      <c r="AU465" s="14">
        <v>9600000.0</v>
      </c>
      <c r="AV465" s="14">
        <v>2.42</v>
      </c>
      <c r="AW465" s="14">
        <v>21.0</v>
      </c>
      <c r="AX465" s="14">
        <v>663000.0</v>
      </c>
      <c r="AY465" s="14">
        <v>0.5</v>
      </c>
      <c r="AZ465" s="14">
        <v>0.007</v>
      </c>
      <c r="BA465" s="14">
        <f t="shared" si="1"/>
        <v>21.507</v>
      </c>
    </row>
    <row r="466" ht="14.25" customHeight="1">
      <c r="A466" s="10" t="s">
        <v>734</v>
      </c>
      <c r="B466" s="12" t="s">
        <v>102</v>
      </c>
      <c r="C466" s="12"/>
      <c r="D466" s="12"/>
      <c r="E466" s="44">
        <v>44440.0</v>
      </c>
      <c r="F466" s="29">
        <v>1.0</v>
      </c>
      <c r="G466" s="12" t="s">
        <v>735</v>
      </c>
      <c r="H466" s="45">
        <v>0.25</v>
      </c>
      <c r="I466" s="45">
        <v>0.33333333333212</v>
      </c>
      <c r="J466" s="12">
        <v>3.3</v>
      </c>
      <c r="K466" s="12">
        <v>0.16</v>
      </c>
      <c r="L466" s="14">
        <v>78.174</v>
      </c>
      <c r="M466" s="14">
        <v>81.328</v>
      </c>
      <c r="N466" s="14">
        <v>88.661</v>
      </c>
      <c r="O466" s="14">
        <v>83.159</v>
      </c>
      <c r="P466" s="14">
        <v>85.089</v>
      </c>
      <c r="Q466" s="14">
        <v>83.2822</v>
      </c>
      <c r="R466" s="20">
        <v>7.91</v>
      </c>
      <c r="S466" s="20">
        <v>7.98</v>
      </c>
      <c r="T466" s="20">
        <v>7.97</v>
      </c>
      <c r="U466" s="20">
        <v>8.02</v>
      </c>
      <c r="V466" s="20">
        <v>8.03</v>
      </c>
      <c r="W466" s="14">
        <v>7.981999999999999</v>
      </c>
      <c r="X466" s="14">
        <v>14.8</v>
      </c>
      <c r="Y466" s="14">
        <v>14.8</v>
      </c>
      <c r="Z466" s="14">
        <v>16.0</v>
      </c>
      <c r="AA466" s="14">
        <v>16.0</v>
      </c>
      <c r="AB466" s="14">
        <v>16.1</v>
      </c>
      <c r="AC466" s="14">
        <v>15.540000000000001</v>
      </c>
      <c r="AD466" s="20">
        <v>302.0</v>
      </c>
      <c r="AE466" s="20">
        <v>313.0</v>
      </c>
      <c r="AF466" s="20">
        <v>329.0</v>
      </c>
      <c r="AG466" s="20">
        <v>357.0</v>
      </c>
      <c r="AH466" s="20">
        <v>329.0</v>
      </c>
      <c r="AI466" s="14">
        <v>326.0</v>
      </c>
      <c r="AJ466" s="14">
        <v>8.07</v>
      </c>
      <c r="AK466" s="14">
        <v>8.67</v>
      </c>
      <c r="AL466" s="14">
        <v>8.62</v>
      </c>
      <c r="AM466" s="14">
        <v>8.31</v>
      </c>
      <c r="AN466" s="14">
        <v>8.32</v>
      </c>
      <c r="AO466" s="14">
        <v>8.398</v>
      </c>
      <c r="AP466" s="14">
        <v>12.0</v>
      </c>
      <c r="AQ466" s="14">
        <v>22.0</v>
      </c>
      <c r="AR466" s="14">
        <v>17.0</v>
      </c>
      <c r="AS466" s="14">
        <v>1.2</v>
      </c>
      <c r="AT466" s="14">
        <v>0.27</v>
      </c>
      <c r="AU466" s="14">
        <v>118400.0</v>
      </c>
      <c r="AV466" s="14">
        <v>0.79</v>
      </c>
      <c r="AW466" s="14">
        <v>10.1</v>
      </c>
      <c r="AX466" s="14">
        <v>1036.0</v>
      </c>
      <c r="AY466" s="14">
        <v>0.4</v>
      </c>
      <c r="AZ466" s="14">
        <v>0.084</v>
      </c>
      <c r="BA466" s="14">
        <f t="shared" si="1"/>
        <v>10.584</v>
      </c>
    </row>
    <row r="467" ht="14.25" customHeight="1">
      <c r="A467" s="10" t="s">
        <v>736</v>
      </c>
      <c r="B467" s="12" t="s">
        <v>55</v>
      </c>
      <c r="C467" s="12"/>
      <c r="D467" s="12"/>
      <c r="E467" s="44">
        <v>44425.0</v>
      </c>
      <c r="F467" s="29">
        <v>1.0</v>
      </c>
      <c r="G467" s="12" t="s">
        <v>737</v>
      </c>
      <c r="H467" s="45">
        <v>0.25</v>
      </c>
      <c r="I467" s="45">
        <v>0.33333333333212</v>
      </c>
      <c r="J467" s="12">
        <v>3.0</v>
      </c>
      <c r="K467" s="12">
        <v>0.28</v>
      </c>
      <c r="L467" s="14">
        <v>294.392</v>
      </c>
      <c r="M467" s="14">
        <v>291.302</v>
      </c>
      <c r="N467" s="14">
        <v>288.68</v>
      </c>
      <c r="O467" s="14">
        <v>281.865</v>
      </c>
      <c r="P467" s="14">
        <v>275.497</v>
      </c>
      <c r="Q467" s="14">
        <v>286.34720000000004</v>
      </c>
      <c r="R467" s="20">
        <v>7.66</v>
      </c>
      <c r="S467" s="20">
        <v>7.79</v>
      </c>
      <c r="T467" s="20">
        <v>7.93</v>
      </c>
      <c r="U467" s="20">
        <v>7.86</v>
      </c>
      <c r="V467" s="20">
        <v>7.86</v>
      </c>
      <c r="W467" s="14">
        <v>7.82</v>
      </c>
      <c r="X467" s="14">
        <v>11.6</v>
      </c>
      <c r="Y467" s="14">
        <v>11.8</v>
      </c>
      <c r="Z467" s="14">
        <v>11.9</v>
      </c>
      <c r="AA467" s="14">
        <v>12.1</v>
      </c>
      <c r="AB467" s="14">
        <v>12.2</v>
      </c>
      <c r="AC467" s="14">
        <v>11.919999999999998</v>
      </c>
      <c r="AD467" s="20">
        <v>253.0</v>
      </c>
      <c r="AE467" s="20">
        <v>251.0</v>
      </c>
      <c r="AF467" s="20">
        <v>254.0</v>
      </c>
      <c r="AG467" s="20">
        <v>254.0</v>
      </c>
      <c r="AH467" s="20">
        <v>258.0</v>
      </c>
      <c r="AI467" s="14">
        <v>254.0</v>
      </c>
      <c r="AJ467" s="14">
        <v>6.08</v>
      </c>
      <c r="AK467" s="14">
        <v>6.29</v>
      </c>
      <c r="AL467" s="14">
        <v>6.19</v>
      </c>
      <c r="AM467" s="14">
        <v>6.13</v>
      </c>
      <c r="AN467" s="14">
        <v>6.21</v>
      </c>
      <c r="AO467" s="14">
        <v>6.180000000000001</v>
      </c>
      <c r="AP467" s="14">
        <v>31.0</v>
      </c>
      <c r="AQ467" s="14">
        <v>68.0</v>
      </c>
      <c r="AR467" s="14">
        <v>483.0</v>
      </c>
      <c r="AS467" s="14">
        <v>15.0</v>
      </c>
      <c r="AT467" s="14">
        <v>0.13</v>
      </c>
      <c r="AU467" s="14">
        <v>1576000.0</v>
      </c>
      <c r="AV467" s="14">
        <v>0.41</v>
      </c>
      <c r="AW467" s="14">
        <v>10.9</v>
      </c>
      <c r="AX467" s="14">
        <v>116000.0</v>
      </c>
      <c r="AY467" s="14">
        <v>1.7</v>
      </c>
      <c r="AZ467" s="14">
        <v>0.132</v>
      </c>
      <c r="BA467" s="14">
        <f t="shared" si="1"/>
        <v>12.732</v>
      </c>
    </row>
    <row r="468" ht="14.25" customHeight="1">
      <c r="A468" s="10" t="s">
        <v>738</v>
      </c>
      <c r="B468" s="12" t="s">
        <v>70</v>
      </c>
      <c r="C468" s="12"/>
      <c r="D468" s="12"/>
      <c r="E468" s="44">
        <v>44433.0</v>
      </c>
      <c r="F468" s="29">
        <v>1.0</v>
      </c>
      <c r="G468" s="12" t="s">
        <v>739</v>
      </c>
      <c r="H468" s="45">
        <v>0.25</v>
      </c>
      <c r="I468" s="45">
        <v>0.33333333333212</v>
      </c>
      <c r="J468" s="12">
        <v>7.2</v>
      </c>
      <c r="K468" s="12">
        <v>0.18</v>
      </c>
      <c r="L468" s="14">
        <v>144.839</v>
      </c>
      <c r="M468" s="14">
        <v>149.859</v>
      </c>
      <c r="N468" s="14">
        <v>160.687</v>
      </c>
      <c r="O468" s="14">
        <v>188.466</v>
      </c>
      <c r="P468" s="14">
        <v>228.062</v>
      </c>
      <c r="Q468" s="14">
        <v>174.3826</v>
      </c>
      <c r="R468" s="20">
        <v>7.23</v>
      </c>
      <c r="S468" s="20">
        <v>7.4</v>
      </c>
      <c r="T468" s="20">
        <v>7.47</v>
      </c>
      <c r="U468" s="20">
        <v>7.55</v>
      </c>
      <c r="V468" s="20">
        <v>7.59</v>
      </c>
      <c r="W468" s="14">
        <v>7.448</v>
      </c>
      <c r="X468" s="14">
        <v>13.0</v>
      </c>
      <c r="Y468" s="14">
        <v>12.9</v>
      </c>
      <c r="Z468" s="14">
        <v>13.4</v>
      </c>
      <c r="AA468" s="14">
        <v>13.8</v>
      </c>
      <c r="AB468" s="14">
        <v>14.5</v>
      </c>
      <c r="AC468" s="14">
        <v>13.52</v>
      </c>
      <c r="AD468" s="20">
        <v>267.0</v>
      </c>
      <c r="AE468" s="20">
        <v>261.0</v>
      </c>
      <c r="AF468" s="20">
        <v>262.0</v>
      </c>
      <c r="AG468" s="20">
        <v>283.0</v>
      </c>
      <c r="AH468" s="20">
        <v>355.0</v>
      </c>
      <c r="AI468" s="14">
        <v>285.6</v>
      </c>
      <c r="AJ468" s="14">
        <v>1.34</v>
      </c>
      <c r="AK468" s="14">
        <v>1.75</v>
      </c>
      <c r="AL468" s="14">
        <v>2.23</v>
      </c>
      <c r="AM468" s="14">
        <v>1.64</v>
      </c>
      <c r="AN468" s="14">
        <v>0.95</v>
      </c>
      <c r="AO468" s="14">
        <v>1.582</v>
      </c>
      <c r="AP468" s="14">
        <v>23.0</v>
      </c>
      <c r="AQ468" s="14">
        <v>42.0</v>
      </c>
      <c r="AR468" s="14">
        <v>15.0</v>
      </c>
      <c r="AS468" s="14">
        <v>1.2</v>
      </c>
      <c r="AT468" s="14">
        <v>0.22</v>
      </c>
      <c r="AU468" s="14">
        <v>9850000.0</v>
      </c>
      <c r="AV468" s="14">
        <v>1.26</v>
      </c>
      <c r="AW468" s="14">
        <v>12.0</v>
      </c>
      <c r="AX468" s="14">
        <v>70300.0</v>
      </c>
      <c r="AY468" s="14">
        <v>0.3</v>
      </c>
      <c r="AZ468" s="14">
        <v>0.007</v>
      </c>
      <c r="BA468" s="14">
        <f t="shared" si="1"/>
        <v>12.307</v>
      </c>
    </row>
    <row r="469" ht="14.25" customHeight="1">
      <c r="A469" s="10" t="s">
        <v>740</v>
      </c>
      <c r="B469" s="12" t="s">
        <v>118</v>
      </c>
      <c r="C469" s="12"/>
      <c r="D469" s="12"/>
      <c r="E469" s="44">
        <v>44432.0</v>
      </c>
      <c r="F469" s="29">
        <v>1.0</v>
      </c>
      <c r="G469" s="12" t="s">
        <v>741</v>
      </c>
      <c r="H469" s="45">
        <v>0.416666666667879</v>
      </c>
      <c r="I469" s="45">
        <v>0.5</v>
      </c>
      <c r="J469" s="12">
        <v>1.2</v>
      </c>
      <c r="K469" s="12">
        <v>0.06</v>
      </c>
      <c r="L469" s="14">
        <v>9.718</v>
      </c>
      <c r="M469" s="14">
        <v>14.97</v>
      </c>
      <c r="N469" s="14">
        <v>10.931</v>
      </c>
      <c r="O469" s="14">
        <v>8.017</v>
      </c>
      <c r="P469" s="14">
        <v>9.091</v>
      </c>
      <c r="Q469" s="14">
        <v>10.545399999999999</v>
      </c>
      <c r="R469" s="20">
        <v>7.47</v>
      </c>
      <c r="S469" s="20">
        <v>7.56</v>
      </c>
      <c r="T469" s="20">
        <v>7.67</v>
      </c>
      <c r="U469" s="20">
        <v>7.57</v>
      </c>
      <c r="V469" s="20">
        <v>7.51</v>
      </c>
      <c r="W469" s="14">
        <v>7.556</v>
      </c>
      <c r="X469" s="14">
        <v>14.9</v>
      </c>
      <c r="Y469" s="14">
        <v>15.1</v>
      </c>
      <c r="Z469" s="14">
        <v>14.6</v>
      </c>
      <c r="AA469" s="14">
        <v>15.3</v>
      </c>
      <c r="AB469" s="14">
        <v>15.3</v>
      </c>
      <c r="AC469" s="14">
        <v>15.040000000000001</v>
      </c>
      <c r="AD469" s="20">
        <v>256.0</v>
      </c>
      <c r="AE469" s="20">
        <v>252.0</v>
      </c>
      <c r="AF469" s="20">
        <v>261.0</v>
      </c>
      <c r="AG469" s="20">
        <v>255.0</v>
      </c>
      <c r="AH469" s="20">
        <v>257.0</v>
      </c>
      <c r="AI469" s="14">
        <v>256.2</v>
      </c>
      <c r="AJ469" s="14">
        <v>2.68</v>
      </c>
      <c r="AK469" s="14">
        <v>2.61</v>
      </c>
      <c r="AL469" s="14">
        <v>2.69</v>
      </c>
      <c r="AM469" s="14">
        <v>2.81</v>
      </c>
      <c r="AN469" s="14">
        <v>2.6</v>
      </c>
      <c r="AO469" s="14">
        <v>2.678</v>
      </c>
      <c r="AP469" s="14">
        <v>18.0</v>
      </c>
      <c r="AQ469" s="14">
        <v>31.0</v>
      </c>
      <c r="AR469" s="14">
        <v>13.0</v>
      </c>
      <c r="AS469" s="14">
        <v>1.2</v>
      </c>
      <c r="AT469" s="14">
        <v>0.23</v>
      </c>
      <c r="AU469" s="14">
        <v>1539000.0</v>
      </c>
      <c r="AV469" s="14">
        <v>0.66</v>
      </c>
      <c r="AW469" s="14">
        <v>10.9</v>
      </c>
      <c r="AX469" s="14">
        <v>140100.0</v>
      </c>
      <c r="AY469" s="14">
        <v>0.4</v>
      </c>
      <c r="AZ469" s="14">
        <v>0.007</v>
      </c>
      <c r="BA469" s="14">
        <f t="shared" si="1"/>
        <v>11.307</v>
      </c>
    </row>
    <row r="470" ht="14.25" customHeight="1">
      <c r="A470" s="10" t="s">
        <v>742</v>
      </c>
      <c r="B470" s="12" t="s">
        <v>67</v>
      </c>
      <c r="C470" s="12"/>
      <c r="D470" s="12"/>
      <c r="E470" s="44">
        <v>44433.0</v>
      </c>
      <c r="F470" s="29">
        <v>1.0</v>
      </c>
      <c r="G470" s="12" t="s">
        <v>743</v>
      </c>
      <c r="H470" s="45">
        <v>0.416666666667879</v>
      </c>
      <c r="I470" s="45">
        <v>0.5</v>
      </c>
      <c r="J470" s="12">
        <v>1.9</v>
      </c>
      <c r="K470" s="12">
        <v>0.1</v>
      </c>
      <c r="L470" s="14">
        <v>86.306</v>
      </c>
      <c r="M470" s="14">
        <v>91.442</v>
      </c>
      <c r="N470" s="14">
        <v>92.778</v>
      </c>
      <c r="O470" s="14">
        <v>96.176</v>
      </c>
      <c r="P470" s="14">
        <v>93.656</v>
      </c>
      <c r="Q470" s="14">
        <v>92.0716</v>
      </c>
      <c r="R470" s="20">
        <v>7.4</v>
      </c>
      <c r="S470" s="20">
        <v>7.42</v>
      </c>
      <c r="T470" s="20">
        <v>7.44</v>
      </c>
      <c r="U470" s="20">
        <v>7.41</v>
      </c>
      <c r="V470" s="20">
        <v>7.33</v>
      </c>
      <c r="W470" s="14">
        <v>7.4</v>
      </c>
      <c r="X470" s="14">
        <v>14.4</v>
      </c>
      <c r="Y470" s="14">
        <v>14.3</v>
      </c>
      <c r="Z470" s="14">
        <v>14.5</v>
      </c>
      <c r="AA470" s="14">
        <v>14.8</v>
      </c>
      <c r="AB470" s="14">
        <v>15.2</v>
      </c>
      <c r="AC470" s="14">
        <v>14.64</v>
      </c>
      <c r="AD470" s="20">
        <v>174.0</v>
      </c>
      <c r="AE470" s="20">
        <v>157.4</v>
      </c>
      <c r="AF470" s="20">
        <v>158.9</v>
      </c>
      <c r="AG470" s="20">
        <v>154.2</v>
      </c>
      <c r="AH470" s="20">
        <v>168.6</v>
      </c>
      <c r="AI470" s="14">
        <v>162.62</v>
      </c>
      <c r="AJ470" s="14">
        <v>5.6</v>
      </c>
      <c r="AK470" s="14">
        <v>5.14</v>
      </c>
      <c r="AL470" s="14">
        <v>5.49</v>
      </c>
      <c r="AM470" s="14">
        <v>5.83</v>
      </c>
      <c r="AN470" s="14">
        <v>5.46</v>
      </c>
      <c r="AO470" s="14">
        <v>5.504</v>
      </c>
      <c r="AP470" s="14">
        <v>16.0</v>
      </c>
      <c r="AQ470" s="14">
        <v>24.0</v>
      </c>
      <c r="AR470" s="14">
        <v>18.0</v>
      </c>
      <c r="AS470" s="14">
        <v>1.2</v>
      </c>
      <c r="AT470" s="14">
        <v>0.09</v>
      </c>
      <c r="AU470" s="14">
        <v>101700.0</v>
      </c>
      <c r="AV470" s="14">
        <v>1.0</v>
      </c>
      <c r="AW470" s="14">
        <v>8.4</v>
      </c>
      <c r="AX470" s="14">
        <v>6830.0</v>
      </c>
      <c r="AY470" s="14">
        <v>0.8</v>
      </c>
      <c r="AZ470" s="14">
        <v>0.058</v>
      </c>
      <c r="BA470" s="14">
        <f t="shared" si="1"/>
        <v>9.258</v>
      </c>
    </row>
    <row r="471" ht="14.25" customHeight="1">
      <c r="A471" s="10" t="s">
        <v>744</v>
      </c>
      <c r="B471" s="12" t="s">
        <v>55</v>
      </c>
      <c r="C471" s="12"/>
      <c r="D471" s="12"/>
      <c r="E471" s="44">
        <v>44440.0</v>
      </c>
      <c r="F471" s="29">
        <v>1.0</v>
      </c>
      <c r="G471" s="12" t="s">
        <v>745</v>
      </c>
      <c r="H471" s="45">
        <v>0.5</v>
      </c>
      <c r="I471" s="45">
        <v>0.58333333333212</v>
      </c>
      <c r="J471" s="12">
        <v>3.4</v>
      </c>
      <c r="K471" s="12">
        <v>0.28</v>
      </c>
      <c r="L471" s="14">
        <v>126.752</v>
      </c>
      <c r="M471" s="14">
        <v>133.162</v>
      </c>
      <c r="N471" s="14">
        <v>133.476</v>
      </c>
      <c r="O471" s="14">
        <v>140.647</v>
      </c>
      <c r="P471" s="14">
        <v>140.527</v>
      </c>
      <c r="Q471" s="14">
        <v>134.9128</v>
      </c>
      <c r="R471" s="20">
        <v>7.14</v>
      </c>
      <c r="S471" s="20">
        <v>7.02</v>
      </c>
      <c r="T471" s="20">
        <v>7.02</v>
      </c>
      <c r="U471" s="20">
        <v>6.98</v>
      </c>
      <c r="V471" s="20">
        <v>6.94</v>
      </c>
      <c r="W471" s="14">
        <v>7.0200000000000005</v>
      </c>
      <c r="X471" s="14">
        <v>16.7</v>
      </c>
      <c r="Y471" s="14">
        <v>16.3</v>
      </c>
      <c r="Z471" s="14">
        <v>15.5</v>
      </c>
      <c r="AA471" s="14">
        <v>15.5</v>
      </c>
      <c r="AB471" s="14">
        <v>15.4</v>
      </c>
      <c r="AC471" s="14">
        <v>15.88</v>
      </c>
      <c r="AD471" s="20">
        <v>686.0</v>
      </c>
      <c r="AE471" s="20">
        <v>588.0</v>
      </c>
      <c r="AF471" s="20">
        <v>565.0</v>
      </c>
      <c r="AG471" s="20">
        <v>558.0</v>
      </c>
      <c r="AH471" s="20">
        <v>516.0</v>
      </c>
      <c r="AI471" s="14">
        <v>582.6</v>
      </c>
      <c r="AJ471" s="14">
        <v>3.73</v>
      </c>
      <c r="AK471" s="14">
        <v>3.97</v>
      </c>
      <c r="AL471" s="14">
        <v>4.27</v>
      </c>
      <c r="AM471" s="14">
        <v>4.06</v>
      </c>
      <c r="AN471" s="14">
        <v>3.8</v>
      </c>
      <c r="AO471" s="14">
        <v>3.9659999999999997</v>
      </c>
      <c r="AP471" s="14">
        <v>84.0</v>
      </c>
      <c r="AQ471" s="14">
        <v>163.0</v>
      </c>
      <c r="AR471" s="14">
        <v>298.0</v>
      </c>
      <c r="AS471" s="14">
        <v>1.2</v>
      </c>
      <c r="AT471" s="14">
        <v>1.64</v>
      </c>
      <c r="AU471" s="14">
        <v>1.968E7</v>
      </c>
      <c r="AV471" s="14">
        <v>3.05</v>
      </c>
      <c r="AW471" s="14">
        <v>33.9</v>
      </c>
      <c r="AX471" s="14">
        <v>1.726E7</v>
      </c>
      <c r="AY471" s="14">
        <v>0.6</v>
      </c>
      <c r="AZ471" s="14">
        <v>0.007</v>
      </c>
      <c r="BA471" s="14">
        <f t="shared" si="1"/>
        <v>34.507</v>
      </c>
    </row>
    <row r="472" ht="14.25" customHeight="1">
      <c r="A472" s="10" t="s">
        <v>746</v>
      </c>
      <c r="B472" s="12" t="s">
        <v>95</v>
      </c>
      <c r="C472" s="12"/>
      <c r="D472" s="12"/>
      <c r="E472" s="44">
        <v>44442.0</v>
      </c>
      <c r="F472" s="29">
        <v>1.0</v>
      </c>
      <c r="G472" s="12" t="s">
        <v>747</v>
      </c>
      <c r="H472" s="45">
        <v>0.58333333333212</v>
      </c>
      <c r="I472" s="45">
        <v>0.666666666667879</v>
      </c>
      <c r="J472" s="12"/>
      <c r="K472" s="12">
        <v>0.04</v>
      </c>
      <c r="L472" s="14">
        <v>3.952</v>
      </c>
      <c r="M472" s="14">
        <v>4.675</v>
      </c>
      <c r="N472" s="14">
        <v>3.202</v>
      </c>
      <c r="O472" s="14">
        <v>3.868</v>
      </c>
      <c r="P472" s="14">
        <v>2.925</v>
      </c>
      <c r="Q472" s="14">
        <v>3.7244</v>
      </c>
      <c r="R472" s="20">
        <v>7.39</v>
      </c>
      <c r="S472" s="20">
        <v>7.35</v>
      </c>
      <c r="T472" s="20">
        <v>7.36</v>
      </c>
      <c r="U472" s="20">
        <v>7.4</v>
      </c>
      <c r="V472" s="20">
        <v>7.42</v>
      </c>
      <c r="W472" s="14">
        <v>7.384</v>
      </c>
      <c r="X472" s="14">
        <v>17.0</v>
      </c>
      <c r="Y472" s="14">
        <v>17.1</v>
      </c>
      <c r="Z472" s="14">
        <v>17.6</v>
      </c>
      <c r="AA472" s="14">
        <v>17.7</v>
      </c>
      <c r="AB472" s="14">
        <v>17.4</v>
      </c>
      <c r="AC472" s="14">
        <v>17.360000000000003</v>
      </c>
      <c r="AD472" s="20">
        <v>237.0</v>
      </c>
      <c r="AE472" s="20">
        <v>228.0</v>
      </c>
      <c r="AF472" s="20">
        <v>286.0</v>
      </c>
      <c r="AG472" s="20">
        <v>283.0</v>
      </c>
      <c r="AH472" s="20">
        <v>265.0</v>
      </c>
      <c r="AI472" s="14">
        <v>259.8</v>
      </c>
      <c r="AJ472" s="14">
        <v>4.34</v>
      </c>
      <c r="AK472" s="14">
        <v>4.5</v>
      </c>
      <c r="AL472" s="14">
        <v>3.62</v>
      </c>
      <c r="AM472" s="14">
        <v>3.78</v>
      </c>
      <c r="AN472" s="14">
        <v>3.96</v>
      </c>
      <c r="AO472" s="14">
        <v>4.040000000000001</v>
      </c>
      <c r="AP472" s="14">
        <v>67.0</v>
      </c>
      <c r="AQ472" s="14">
        <v>157.0</v>
      </c>
      <c r="AR472" s="14">
        <v>106.0</v>
      </c>
      <c r="AS472" s="14">
        <v>59.0</v>
      </c>
      <c r="AT472" s="14">
        <v>5.78</v>
      </c>
      <c r="AU472" s="14">
        <v>1414000.0</v>
      </c>
      <c r="AV472" s="14">
        <v>1.64</v>
      </c>
      <c r="AW472" s="14">
        <v>9.5</v>
      </c>
      <c r="AX472" s="14">
        <v>93400.0</v>
      </c>
      <c r="AY472" s="14">
        <v>0.5</v>
      </c>
      <c r="AZ472" s="14">
        <v>0.007</v>
      </c>
      <c r="BA472" s="14">
        <f t="shared" si="1"/>
        <v>10.007</v>
      </c>
    </row>
    <row r="473" ht="14.25" customHeight="1">
      <c r="A473" s="10" t="s">
        <v>748</v>
      </c>
      <c r="B473" s="12" t="s">
        <v>74</v>
      </c>
      <c r="C473" s="12"/>
      <c r="D473" s="12"/>
      <c r="E473" s="44">
        <v>44440.0</v>
      </c>
      <c r="F473" s="29">
        <v>1.0</v>
      </c>
      <c r="G473" s="12" t="s">
        <v>749</v>
      </c>
      <c r="H473" s="45">
        <v>0.416666666667879</v>
      </c>
      <c r="I473" s="45">
        <v>0.5</v>
      </c>
      <c r="J473" s="12">
        <v>1.3</v>
      </c>
      <c r="K473" s="12">
        <v>0.25</v>
      </c>
      <c r="L473" s="14">
        <v>52.223</v>
      </c>
      <c r="M473" s="14">
        <v>53.756</v>
      </c>
      <c r="N473" s="14">
        <v>55.252</v>
      </c>
      <c r="O473" s="14">
        <v>55.041</v>
      </c>
      <c r="P473" s="14">
        <v>55.858</v>
      </c>
      <c r="Q473" s="14">
        <v>54.426</v>
      </c>
      <c r="R473" s="20">
        <v>8.18</v>
      </c>
      <c r="S473" s="20">
        <v>8.15</v>
      </c>
      <c r="T473" s="20">
        <v>8.13</v>
      </c>
      <c r="U473" s="20">
        <v>8.03</v>
      </c>
      <c r="V473" s="20">
        <v>8.12</v>
      </c>
      <c r="W473" s="14">
        <v>8.122</v>
      </c>
      <c r="X473" s="14">
        <v>15.4</v>
      </c>
      <c r="Y473" s="14">
        <v>16.5</v>
      </c>
      <c r="Z473" s="14">
        <v>16.3</v>
      </c>
      <c r="AA473" s="14">
        <v>16.9</v>
      </c>
      <c r="AB473" s="14">
        <v>17.1</v>
      </c>
      <c r="AC473" s="14">
        <v>16.439999999999998</v>
      </c>
      <c r="AD473" s="20">
        <v>585.0</v>
      </c>
      <c r="AE473" s="20">
        <v>547.0</v>
      </c>
      <c r="AF473" s="20">
        <v>613.0</v>
      </c>
      <c r="AG473" s="20">
        <v>615.0</v>
      </c>
      <c r="AH473" s="20">
        <v>563.0</v>
      </c>
      <c r="AI473" s="14">
        <v>584.6</v>
      </c>
      <c r="AJ473" s="14">
        <v>6.24</v>
      </c>
      <c r="AK473" s="14">
        <v>5.87</v>
      </c>
      <c r="AL473" s="14">
        <v>5.92</v>
      </c>
      <c r="AM473" s="14">
        <v>5.82</v>
      </c>
      <c r="AN473" s="14">
        <v>5.94</v>
      </c>
      <c r="AO473" s="14">
        <v>5.958</v>
      </c>
      <c r="AP473" s="14">
        <v>67.0</v>
      </c>
      <c r="AQ473" s="14">
        <v>110.0</v>
      </c>
      <c r="AR473" s="14">
        <v>58.0</v>
      </c>
      <c r="AS473" s="14">
        <v>1.2</v>
      </c>
      <c r="AT473" s="14">
        <v>0.23</v>
      </c>
      <c r="AU473" s="14">
        <v>1726000.0</v>
      </c>
      <c r="AV473" s="14">
        <v>1.38</v>
      </c>
      <c r="AW473" s="14">
        <v>25.2</v>
      </c>
      <c r="AX473" s="14">
        <v>1160000.0</v>
      </c>
      <c r="AY473" s="14">
        <v>0.2</v>
      </c>
      <c r="AZ473" s="14">
        <v>0.007</v>
      </c>
      <c r="BA473" s="14">
        <f t="shared" si="1"/>
        <v>25.407</v>
      </c>
    </row>
    <row r="474" ht="14.25" customHeight="1">
      <c r="A474" s="10" t="s">
        <v>750</v>
      </c>
      <c r="B474" s="12" t="s">
        <v>85</v>
      </c>
      <c r="C474" s="12"/>
      <c r="D474" s="12"/>
      <c r="E474" s="44">
        <v>44442.0</v>
      </c>
      <c r="F474" s="29">
        <v>1.0</v>
      </c>
      <c r="G474" s="12" t="s">
        <v>751</v>
      </c>
      <c r="H474" s="45">
        <v>0.58333333333212</v>
      </c>
      <c r="I474" s="45">
        <v>0.666666666667879</v>
      </c>
      <c r="J474" s="12">
        <v>5.7</v>
      </c>
      <c r="K474" s="12">
        <v>0.19</v>
      </c>
      <c r="L474" s="14">
        <v>481.972</v>
      </c>
      <c r="M474" s="14">
        <v>494.47</v>
      </c>
      <c r="N474" s="14">
        <v>490.454</v>
      </c>
      <c r="O474" s="14">
        <v>493.738</v>
      </c>
      <c r="P474" s="14">
        <v>493.14</v>
      </c>
      <c r="Q474" s="14">
        <v>490.7548</v>
      </c>
      <c r="R474" s="20">
        <v>7.74</v>
      </c>
      <c r="S474" s="20">
        <v>7.88</v>
      </c>
      <c r="T474" s="20">
        <v>7.91</v>
      </c>
      <c r="U474" s="20">
        <v>7.85</v>
      </c>
      <c r="V474" s="20">
        <v>7.91</v>
      </c>
      <c r="W474" s="14">
        <v>7.858000000000001</v>
      </c>
      <c r="X474" s="14">
        <v>20.8</v>
      </c>
      <c r="Y474" s="14">
        <v>21.0</v>
      </c>
      <c r="Z474" s="14">
        <v>21.2</v>
      </c>
      <c r="AA474" s="14">
        <v>20.5</v>
      </c>
      <c r="AB474" s="14">
        <v>20.1</v>
      </c>
      <c r="AC474" s="14">
        <v>20.72</v>
      </c>
      <c r="AD474" s="20">
        <v>609.0</v>
      </c>
      <c r="AE474" s="20">
        <v>625.0</v>
      </c>
      <c r="AF474" s="20">
        <v>615.0</v>
      </c>
      <c r="AG474" s="20">
        <v>617.0</v>
      </c>
      <c r="AH474" s="20">
        <v>567.0</v>
      </c>
      <c r="AI474" s="14">
        <v>606.6</v>
      </c>
      <c r="AJ474" s="14">
        <v>1.36</v>
      </c>
      <c r="AK474" s="14">
        <v>1.59</v>
      </c>
      <c r="AL474" s="14">
        <v>1.15</v>
      </c>
      <c r="AM474" s="14">
        <v>0.93</v>
      </c>
      <c r="AN474" s="14">
        <v>1.67</v>
      </c>
      <c r="AO474" s="14">
        <v>1.3399999999999999</v>
      </c>
      <c r="AP474" s="14">
        <v>214.0</v>
      </c>
      <c r="AQ474" s="14">
        <v>297.0</v>
      </c>
      <c r="AR474" s="14">
        <v>114.0</v>
      </c>
      <c r="AS474" s="14">
        <v>78.0</v>
      </c>
      <c r="AT474" s="14">
        <v>7.78</v>
      </c>
      <c r="AU474" s="14">
        <v>1.631E7</v>
      </c>
      <c r="AV474" s="14">
        <v>3.13</v>
      </c>
      <c r="AW474" s="14">
        <v>25.8</v>
      </c>
      <c r="AX474" s="14">
        <v>629000.0</v>
      </c>
      <c r="AY474" s="14">
        <v>0.9</v>
      </c>
      <c r="AZ474" s="14">
        <v>0.007</v>
      </c>
      <c r="BA474" s="14">
        <f t="shared" si="1"/>
        <v>26.707</v>
      </c>
    </row>
    <row r="475" ht="14.25" customHeight="1">
      <c r="A475" s="10" t="s">
        <v>752</v>
      </c>
      <c r="B475" s="12" t="s">
        <v>63</v>
      </c>
      <c r="C475" s="12"/>
      <c r="D475" s="12"/>
      <c r="E475" s="44">
        <v>44442.0</v>
      </c>
      <c r="F475" s="29">
        <v>1.0</v>
      </c>
      <c r="G475" s="12" t="s">
        <v>753</v>
      </c>
      <c r="H475" s="45">
        <v>0.33333333333212</v>
      </c>
      <c r="I475" s="45">
        <v>0.416666666667879</v>
      </c>
      <c r="J475" s="12">
        <v>6.9</v>
      </c>
      <c r="K475" s="12">
        <v>0.16</v>
      </c>
      <c r="L475" s="14">
        <v>238.278</v>
      </c>
      <c r="M475" s="14">
        <v>285.394</v>
      </c>
      <c r="N475" s="14">
        <v>274.252</v>
      </c>
      <c r="O475" s="14">
        <v>295.841</v>
      </c>
      <c r="P475" s="14">
        <v>288.225</v>
      </c>
      <c r="Q475" s="14">
        <v>276.39799999999997</v>
      </c>
      <c r="R475" s="20">
        <v>7.5</v>
      </c>
      <c r="S475" s="20">
        <v>8.11</v>
      </c>
      <c r="T475" s="20">
        <v>8.08</v>
      </c>
      <c r="U475" s="20">
        <v>7.97</v>
      </c>
      <c r="V475" s="20">
        <v>7.62</v>
      </c>
      <c r="W475" s="14">
        <v>7.855999999999999</v>
      </c>
      <c r="X475" s="14">
        <v>17.9</v>
      </c>
      <c r="Y475" s="14">
        <v>19.2</v>
      </c>
      <c r="Z475" s="14">
        <v>20.0</v>
      </c>
      <c r="AA475" s="14">
        <v>20.9</v>
      </c>
      <c r="AB475" s="14">
        <v>21.3</v>
      </c>
      <c r="AC475" s="14">
        <v>19.86</v>
      </c>
      <c r="AD475" s="20">
        <v>292.0</v>
      </c>
      <c r="AE475" s="20">
        <v>295.0</v>
      </c>
      <c r="AF475" s="20">
        <v>295.0</v>
      </c>
      <c r="AG475" s="20">
        <v>422.0</v>
      </c>
      <c r="AH475" s="20">
        <v>295.0</v>
      </c>
      <c r="AI475" s="14">
        <v>319.8</v>
      </c>
      <c r="AJ475" s="14">
        <v>0.22</v>
      </c>
      <c r="AK475" s="14">
        <v>0.11</v>
      </c>
      <c r="AL475" s="14">
        <v>0.67</v>
      </c>
      <c r="AM475" s="14">
        <v>0.33</v>
      </c>
      <c r="AN475" s="14">
        <v>0.58</v>
      </c>
      <c r="AO475" s="14">
        <v>0.382</v>
      </c>
      <c r="AP475" s="14">
        <v>126.0</v>
      </c>
      <c r="AQ475" s="14">
        <v>181.0</v>
      </c>
      <c r="AR475" s="14">
        <v>80.0</v>
      </c>
      <c r="AS475" s="14">
        <v>56.0</v>
      </c>
      <c r="AT475" s="14">
        <v>2.86</v>
      </c>
      <c r="AU475" s="14">
        <v>9100000.0</v>
      </c>
      <c r="AV475" s="14">
        <v>5.57</v>
      </c>
      <c r="AW475" s="14">
        <v>44.8</v>
      </c>
      <c r="AX475" s="14">
        <v>560000.0</v>
      </c>
      <c r="AY475" s="14">
        <v>0.7</v>
      </c>
      <c r="AZ475" s="14">
        <v>0.007</v>
      </c>
      <c r="BA475" s="14">
        <f t="shared" si="1"/>
        <v>45.507</v>
      </c>
    </row>
    <row r="476" ht="14.25" customHeight="1">
      <c r="A476" s="10" t="s">
        <v>754</v>
      </c>
      <c r="B476" s="12" t="s">
        <v>97</v>
      </c>
      <c r="C476" s="12"/>
      <c r="D476" s="12"/>
      <c r="E476" s="44">
        <v>44442.0</v>
      </c>
      <c r="F476" s="29">
        <v>1.0</v>
      </c>
      <c r="G476" s="12" t="s">
        <v>755</v>
      </c>
      <c r="H476" s="45">
        <v>0.33333333333212</v>
      </c>
      <c r="I476" s="45">
        <v>0.416666666667879</v>
      </c>
      <c r="J476" s="12">
        <v>2.4</v>
      </c>
      <c r="K476" s="12">
        <v>0.18</v>
      </c>
      <c r="L476" s="14">
        <v>165.546</v>
      </c>
      <c r="M476" s="14">
        <v>171.781</v>
      </c>
      <c r="N476" s="14">
        <v>191.997</v>
      </c>
      <c r="O476" s="14">
        <v>189.409</v>
      </c>
      <c r="P476" s="14">
        <v>193.168</v>
      </c>
      <c r="Q476" s="14">
        <v>182.3802</v>
      </c>
      <c r="R476" s="20">
        <v>7.92</v>
      </c>
      <c r="S476" s="20">
        <v>8.11</v>
      </c>
      <c r="T476" s="20">
        <v>8.06</v>
      </c>
      <c r="U476" s="20">
        <v>7.92</v>
      </c>
      <c r="V476" s="20">
        <v>7.87</v>
      </c>
      <c r="W476" s="14">
        <v>7.976000000000001</v>
      </c>
      <c r="X476" s="14">
        <v>19.3</v>
      </c>
      <c r="Y476" s="14">
        <v>19.5</v>
      </c>
      <c r="Z476" s="14">
        <v>20.1</v>
      </c>
      <c r="AA476" s="14">
        <v>20.4</v>
      </c>
      <c r="AB476" s="14">
        <v>20.6</v>
      </c>
      <c r="AC476" s="14">
        <v>19.98</v>
      </c>
      <c r="AD476" s="20">
        <v>474.0</v>
      </c>
      <c r="AE476" s="20">
        <v>515.0</v>
      </c>
      <c r="AF476" s="20">
        <v>505.0</v>
      </c>
      <c r="AG476" s="20">
        <v>468.0</v>
      </c>
      <c r="AH476" s="20">
        <v>482.0</v>
      </c>
      <c r="AI476" s="14">
        <v>488.8</v>
      </c>
      <c r="AJ476" s="14">
        <v>1.0</v>
      </c>
      <c r="AK476" s="14">
        <v>0.96</v>
      </c>
      <c r="AL476" s="14">
        <v>0.92</v>
      </c>
      <c r="AM476" s="14">
        <v>1.02</v>
      </c>
      <c r="AN476" s="14">
        <v>1.19</v>
      </c>
      <c r="AO476" s="14">
        <v>1.018</v>
      </c>
      <c r="AP476" s="14">
        <v>160.0</v>
      </c>
      <c r="AQ476" s="14">
        <v>217.0</v>
      </c>
      <c r="AR476" s="14">
        <v>106.0</v>
      </c>
      <c r="AS476" s="14">
        <v>16.0</v>
      </c>
      <c r="AT476" s="14">
        <v>4.08</v>
      </c>
      <c r="AU476" s="14">
        <v>1.726E7</v>
      </c>
      <c r="AV476" s="14">
        <v>3.99</v>
      </c>
      <c r="AW476" s="14">
        <v>27.4</v>
      </c>
      <c r="AX476" s="14">
        <v>527000.0</v>
      </c>
      <c r="AY476" s="14">
        <v>0.7</v>
      </c>
      <c r="AZ476" s="14">
        <v>0.007</v>
      </c>
      <c r="BA476" s="14">
        <f t="shared" si="1"/>
        <v>28.107</v>
      </c>
    </row>
    <row r="477" ht="14.25" customHeight="1">
      <c r="A477" s="10" t="s">
        <v>756</v>
      </c>
      <c r="B477" s="12" t="s">
        <v>135</v>
      </c>
      <c r="C477" s="12"/>
      <c r="D477" s="12"/>
      <c r="E477" s="44">
        <v>44462.0</v>
      </c>
      <c r="F477" s="29">
        <v>1.0</v>
      </c>
      <c r="G477" s="12" t="s">
        <v>757</v>
      </c>
      <c r="H477" s="45">
        <v>0.416666666667879</v>
      </c>
      <c r="I477" s="45">
        <v>0.5</v>
      </c>
      <c r="J477" s="12">
        <v>4.3</v>
      </c>
      <c r="K477" s="12">
        <v>0.7</v>
      </c>
      <c r="L477" s="14">
        <v>3138.74</v>
      </c>
      <c r="M477" s="14">
        <v>2997.15</v>
      </c>
      <c r="N477" s="14">
        <v>2824.342</v>
      </c>
      <c r="O477" s="14">
        <v>2992.75</v>
      </c>
      <c r="P477" s="14">
        <v>3066.181</v>
      </c>
      <c r="Q477" s="14">
        <v>3003.8326</v>
      </c>
      <c r="R477" s="20">
        <v>7.28</v>
      </c>
      <c r="S477" s="20">
        <v>7.21</v>
      </c>
      <c r="T477" s="20">
        <v>7.26</v>
      </c>
      <c r="U477" s="20">
        <v>7.34</v>
      </c>
      <c r="V477" s="20">
        <v>7.48</v>
      </c>
      <c r="W477" s="14">
        <v>7.314</v>
      </c>
      <c r="X477" s="14">
        <v>13.7</v>
      </c>
      <c r="Y477" s="14">
        <v>13.8</v>
      </c>
      <c r="Z477" s="14">
        <v>14.5</v>
      </c>
      <c r="AA477" s="14">
        <v>15.2</v>
      </c>
      <c r="AB477" s="14">
        <v>15.7</v>
      </c>
      <c r="AC477" s="14">
        <v>14.580000000000002</v>
      </c>
      <c r="AD477" s="20">
        <v>87.1</v>
      </c>
      <c r="AE477" s="20">
        <v>85.3</v>
      </c>
      <c r="AF477" s="20">
        <v>96.5</v>
      </c>
      <c r="AG477" s="20">
        <v>91.8</v>
      </c>
      <c r="AH477" s="20">
        <v>105.6</v>
      </c>
      <c r="AI477" s="14">
        <v>93.25999999999999</v>
      </c>
      <c r="AJ477" s="14">
        <v>6.18</v>
      </c>
      <c r="AK477" s="14">
        <v>6.41</v>
      </c>
      <c r="AL477" s="14">
        <v>6.31</v>
      </c>
      <c r="AM477" s="14">
        <v>6.29</v>
      </c>
      <c r="AN477" s="14">
        <v>6.33</v>
      </c>
      <c r="AO477" s="14">
        <v>6.303999999999999</v>
      </c>
      <c r="AP477" s="14">
        <v>28.0</v>
      </c>
      <c r="AQ477" s="14">
        <v>92.0</v>
      </c>
      <c r="AR477" s="14">
        <v>144.0</v>
      </c>
      <c r="AS477" s="14">
        <v>1.2</v>
      </c>
      <c r="AT477" s="14">
        <v>0.26</v>
      </c>
      <c r="AU477" s="14">
        <v>720000.0</v>
      </c>
      <c r="AV477" s="14">
        <v>0.21</v>
      </c>
      <c r="AW477" s="14">
        <v>2.0</v>
      </c>
      <c r="AX477" s="14">
        <v>46800.0</v>
      </c>
      <c r="AY477" s="14">
        <v>0.3</v>
      </c>
      <c r="AZ477" s="14">
        <v>0.031</v>
      </c>
      <c r="BA477" s="14">
        <f t="shared" si="1"/>
        <v>2.331</v>
      </c>
    </row>
    <row r="478" ht="14.25" customHeight="1">
      <c r="A478" s="10" t="s">
        <v>758</v>
      </c>
      <c r="B478" s="12" t="s">
        <v>133</v>
      </c>
      <c r="C478" s="12"/>
      <c r="D478" s="12"/>
      <c r="E478" s="44">
        <v>44462.0</v>
      </c>
      <c r="F478" s="29">
        <v>1.0</v>
      </c>
      <c r="G478" s="12" t="s">
        <v>759</v>
      </c>
      <c r="H478" s="45">
        <v>0.58333333333212</v>
      </c>
      <c r="I478" s="45">
        <v>0.666666666667879</v>
      </c>
      <c r="J478" s="12">
        <v>5.0</v>
      </c>
      <c r="K478" s="12">
        <v>0.41</v>
      </c>
      <c r="L478" s="14">
        <v>1010.215</v>
      </c>
      <c r="M478" s="14">
        <v>1088.92</v>
      </c>
      <c r="N478" s="14">
        <v>1090.558</v>
      </c>
      <c r="O478" s="14">
        <v>1095.948</v>
      </c>
      <c r="P478" s="14">
        <v>1071.995</v>
      </c>
      <c r="Q478" s="14">
        <v>1071.5272</v>
      </c>
      <c r="R478" s="20">
        <v>7.09</v>
      </c>
      <c r="S478" s="20">
        <v>6.7</v>
      </c>
      <c r="T478" s="20">
        <v>6.7</v>
      </c>
      <c r="U478" s="20">
        <v>6.47</v>
      </c>
      <c r="V478" s="20">
        <v>6.71</v>
      </c>
      <c r="W478" s="14">
        <v>6.733999999999999</v>
      </c>
      <c r="X478" s="14">
        <v>12.7</v>
      </c>
      <c r="Y478" s="14">
        <v>12.2</v>
      </c>
      <c r="Z478" s="14">
        <v>12.3</v>
      </c>
      <c r="AA478" s="14">
        <v>12.2</v>
      </c>
      <c r="AB478" s="14">
        <v>12.3</v>
      </c>
      <c r="AC478" s="14">
        <v>12.34</v>
      </c>
      <c r="AD478" s="20">
        <v>48.3</v>
      </c>
      <c r="AE478" s="20">
        <v>46.3</v>
      </c>
      <c r="AF478" s="20">
        <v>48.1</v>
      </c>
      <c r="AG478" s="20">
        <v>47.1</v>
      </c>
      <c r="AH478" s="20">
        <v>48.2</v>
      </c>
      <c r="AI478" s="14">
        <v>47.6</v>
      </c>
      <c r="AJ478" s="14">
        <v>7.13</v>
      </c>
      <c r="AK478" s="14">
        <v>5.9</v>
      </c>
      <c r="AL478" s="14">
        <v>7.08</v>
      </c>
      <c r="AM478" s="14">
        <v>6.01</v>
      </c>
      <c r="AN478" s="14">
        <v>6.9</v>
      </c>
      <c r="AO478" s="14">
        <v>6.603999999999999</v>
      </c>
      <c r="AP478" s="14">
        <v>4.0</v>
      </c>
      <c r="AQ478" s="14">
        <v>53.0</v>
      </c>
      <c r="AR478" s="14">
        <v>24.0</v>
      </c>
      <c r="AS478" s="14">
        <v>1.2</v>
      </c>
      <c r="AT478" s="14">
        <v>0.07</v>
      </c>
      <c r="AU478" s="14">
        <v>7760000.0</v>
      </c>
      <c r="AV478" s="14">
        <v>0.05</v>
      </c>
      <c r="AW478" s="14">
        <v>1.0</v>
      </c>
      <c r="AX478" s="14">
        <v>43300.0</v>
      </c>
      <c r="AY478" s="14">
        <v>0.7</v>
      </c>
      <c r="AZ478" s="14">
        <v>0.036</v>
      </c>
      <c r="BA478" s="14">
        <f t="shared" si="1"/>
        <v>1.736</v>
      </c>
    </row>
    <row r="479" ht="14.25" customHeight="1">
      <c r="A479" s="10" t="s">
        <v>760</v>
      </c>
      <c r="B479" s="12" t="s">
        <v>138</v>
      </c>
      <c r="C479" s="12"/>
      <c r="D479" s="12"/>
      <c r="E479" s="44">
        <v>44462.0</v>
      </c>
      <c r="F479" s="29">
        <v>1.0</v>
      </c>
      <c r="G479" s="12" t="s">
        <v>761</v>
      </c>
      <c r="H479" s="45">
        <v>0.33333333333212</v>
      </c>
      <c r="I479" s="45">
        <v>0.416666666667879</v>
      </c>
      <c r="J479" s="12">
        <v>0.8</v>
      </c>
      <c r="K479" s="12">
        <v>0.21</v>
      </c>
      <c r="L479" s="14">
        <v>60.804</v>
      </c>
      <c r="M479" s="14">
        <v>61.13</v>
      </c>
      <c r="N479" s="14">
        <v>55.073</v>
      </c>
      <c r="O479" s="14">
        <v>56.225</v>
      </c>
      <c r="P479" s="14">
        <v>53.789</v>
      </c>
      <c r="Q479" s="14">
        <v>57.4042</v>
      </c>
      <c r="R479" s="20">
        <v>8.49</v>
      </c>
      <c r="S479" s="20">
        <v>8.45</v>
      </c>
      <c r="T479" s="20">
        <v>8.05</v>
      </c>
      <c r="U479" s="20">
        <v>7.84</v>
      </c>
      <c r="V479" s="20">
        <v>7.77</v>
      </c>
      <c r="W479" s="14">
        <v>8.12</v>
      </c>
      <c r="X479" s="14">
        <v>13.4</v>
      </c>
      <c r="Y479" s="14">
        <v>13.6</v>
      </c>
      <c r="Z479" s="14">
        <v>13.7</v>
      </c>
      <c r="AA479" s="14">
        <v>13.8</v>
      </c>
      <c r="AB479" s="14">
        <v>12.4</v>
      </c>
      <c r="AC479" s="14">
        <v>13.38</v>
      </c>
      <c r="AD479" s="20">
        <v>610.0</v>
      </c>
      <c r="AE479" s="20">
        <v>661.0</v>
      </c>
      <c r="AF479" s="20">
        <v>719.0</v>
      </c>
      <c r="AG479" s="20">
        <v>762.0</v>
      </c>
      <c r="AH479" s="20">
        <v>690.0</v>
      </c>
      <c r="AI479" s="14">
        <v>688.4</v>
      </c>
      <c r="AJ479" s="14">
        <v>4.52</v>
      </c>
      <c r="AK479" s="14">
        <v>4.44</v>
      </c>
      <c r="AL479" s="14">
        <v>4.24</v>
      </c>
      <c r="AM479" s="14">
        <v>4.13</v>
      </c>
      <c r="AN479" s="14">
        <v>4.5</v>
      </c>
      <c r="AO479" s="14">
        <v>4.3660000000000005</v>
      </c>
      <c r="AP479" s="14">
        <v>58.0</v>
      </c>
      <c r="AQ479" s="14">
        <v>88.0</v>
      </c>
      <c r="AR479" s="14">
        <v>118.0</v>
      </c>
      <c r="AS479" s="14">
        <v>29.0</v>
      </c>
      <c r="AT479" s="14">
        <v>6.29</v>
      </c>
      <c r="AU479" s="14">
        <v>8.86E7</v>
      </c>
      <c r="AV479" s="14">
        <v>6.76</v>
      </c>
      <c r="AW479" s="14">
        <v>35.6</v>
      </c>
      <c r="AX479" s="14">
        <v>609000.0</v>
      </c>
      <c r="AY479" s="14">
        <v>1.2</v>
      </c>
      <c r="AZ479" s="14">
        <v>0.007</v>
      </c>
      <c r="BA479" s="14">
        <f t="shared" si="1"/>
        <v>36.807</v>
      </c>
    </row>
    <row r="480" ht="14.25" customHeight="1">
      <c r="A480" s="10" t="s">
        <v>762</v>
      </c>
      <c r="B480" s="12" t="s">
        <v>145</v>
      </c>
      <c r="C480" s="12"/>
      <c r="D480" s="12"/>
      <c r="E480" s="44">
        <v>44462.0</v>
      </c>
      <c r="F480" s="29">
        <v>1.0</v>
      </c>
      <c r="G480" s="12" t="s">
        <v>763</v>
      </c>
      <c r="H480" s="45">
        <v>0.58333333333212</v>
      </c>
      <c r="I480" s="45">
        <v>0.666666666667879</v>
      </c>
      <c r="J480" s="12">
        <v>0.08</v>
      </c>
      <c r="K480" s="12">
        <v>0.15</v>
      </c>
      <c r="L480" s="14">
        <v>0.579</v>
      </c>
      <c r="M480" s="14">
        <v>0.59</v>
      </c>
      <c r="N480" s="14">
        <v>0.647</v>
      </c>
      <c r="O480" s="14">
        <v>0.704</v>
      </c>
      <c r="P480" s="14">
        <v>0.603</v>
      </c>
      <c r="Q480" s="14">
        <v>0.6246</v>
      </c>
      <c r="R480" s="20">
        <v>7.92</v>
      </c>
      <c r="S480" s="20">
        <v>7.96</v>
      </c>
      <c r="T480" s="20">
        <v>7.97</v>
      </c>
      <c r="U480" s="20">
        <v>7.92</v>
      </c>
      <c r="V480" s="20">
        <v>7.9</v>
      </c>
      <c r="W480" s="14">
        <v>7.933999999999999</v>
      </c>
      <c r="X480" s="14">
        <v>15.4</v>
      </c>
      <c r="Y480" s="14">
        <v>14.6</v>
      </c>
      <c r="Z480" s="14">
        <v>14.4</v>
      </c>
      <c r="AA480" s="14">
        <v>14.2</v>
      </c>
      <c r="AB480" s="14">
        <v>14.1</v>
      </c>
      <c r="AC480" s="14">
        <v>14.539999999999997</v>
      </c>
      <c r="AD480" s="20">
        <v>677.0</v>
      </c>
      <c r="AE480" s="20">
        <v>642.0</v>
      </c>
      <c r="AF480" s="20">
        <v>641.0</v>
      </c>
      <c r="AG480" s="20">
        <v>649.0</v>
      </c>
      <c r="AH480" s="20">
        <v>650.0</v>
      </c>
      <c r="AI480" s="14">
        <v>651.8</v>
      </c>
      <c r="AJ480" s="14">
        <v>3.74</v>
      </c>
      <c r="AK480" s="14">
        <v>4.1</v>
      </c>
      <c r="AL480" s="14">
        <v>4.57</v>
      </c>
      <c r="AM480" s="14">
        <v>3.69</v>
      </c>
      <c r="AN480" s="14">
        <v>3.78</v>
      </c>
      <c r="AO480" s="14">
        <v>3.9760000000000004</v>
      </c>
      <c r="AP480" s="14">
        <v>29.0</v>
      </c>
      <c r="AQ480" s="14">
        <v>88.0</v>
      </c>
      <c r="AR480" s="14">
        <v>85.0</v>
      </c>
      <c r="AS480" s="14">
        <v>1.2</v>
      </c>
      <c r="AT480" s="14">
        <v>0.27</v>
      </c>
      <c r="AU480" s="14">
        <v>663000.0</v>
      </c>
      <c r="AV480" s="14">
        <v>0.56</v>
      </c>
      <c r="AW480" s="14">
        <v>12.3</v>
      </c>
      <c r="AX480" s="14">
        <v>41000.0</v>
      </c>
      <c r="AY480" s="14">
        <v>0.9</v>
      </c>
      <c r="AZ480" s="14">
        <v>0.028</v>
      </c>
      <c r="BA480" s="14">
        <f t="shared" si="1"/>
        <v>13.228</v>
      </c>
    </row>
    <row r="481" ht="14.25" customHeight="1">
      <c r="A481" s="10" t="s">
        <v>764</v>
      </c>
      <c r="B481" s="12" t="s">
        <v>104</v>
      </c>
      <c r="C481" s="12"/>
      <c r="D481" s="12"/>
      <c r="E481" s="44">
        <v>44462.0</v>
      </c>
      <c r="F481" s="29">
        <v>1.0</v>
      </c>
      <c r="G481" s="12" t="s">
        <v>765</v>
      </c>
      <c r="H481" s="45">
        <v>0.25</v>
      </c>
      <c r="I481" s="45">
        <v>0.33333333333212</v>
      </c>
      <c r="J481" s="12">
        <v>0.5</v>
      </c>
      <c r="K481" s="12">
        <v>0.2</v>
      </c>
      <c r="L481" s="14">
        <v>9.259</v>
      </c>
      <c r="M481" s="14">
        <v>9.906</v>
      </c>
      <c r="N481" s="14">
        <v>9.146</v>
      </c>
      <c r="O481" s="14">
        <v>9.39</v>
      </c>
      <c r="P481" s="14">
        <v>9.665</v>
      </c>
      <c r="Q481" s="14">
        <v>9.4732</v>
      </c>
      <c r="R481" s="20">
        <v>8.36</v>
      </c>
      <c r="S481" s="20">
        <v>8.3</v>
      </c>
      <c r="T481" s="20">
        <v>8.34</v>
      </c>
      <c r="U481" s="20">
        <v>8.34</v>
      </c>
      <c r="V481" s="20">
        <v>8.36</v>
      </c>
      <c r="W481" s="14">
        <v>8.34</v>
      </c>
      <c r="X481" s="14">
        <v>14.5</v>
      </c>
      <c r="Y481" s="14">
        <v>14.5</v>
      </c>
      <c r="Z481" s="14">
        <v>14.5</v>
      </c>
      <c r="AA481" s="14">
        <v>14.6</v>
      </c>
      <c r="AB481" s="14">
        <v>14.6</v>
      </c>
      <c r="AC481" s="14">
        <v>14.540000000000001</v>
      </c>
      <c r="AD481" s="20">
        <v>486.0</v>
      </c>
      <c r="AE481" s="20">
        <v>478.0</v>
      </c>
      <c r="AF481" s="20">
        <v>384.0</v>
      </c>
      <c r="AG481" s="20">
        <v>387.0</v>
      </c>
      <c r="AH481" s="20">
        <v>387.0</v>
      </c>
      <c r="AI481" s="14">
        <v>424.4</v>
      </c>
      <c r="AJ481" s="14">
        <v>5.9</v>
      </c>
      <c r="AK481" s="14">
        <v>5.57</v>
      </c>
      <c r="AL481" s="14">
        <v>5.2</v>
      </c>
      <c r="AM481" s="14">
        <v>5.42</v>
      </c>
      <c r="AN481" s="14">
        <v>5.63</v>
      </c>
      <c r="AO481" s="14">
        <v>5.5440000000000005</v>
      </c>
      <c r="AP481" s="14">
        <v>35.0</v>
      </c>
      <c r="AQ481" s="14">
        <v>88.0</v>
      </c>
      <c r="AR481" s="14">
        <v>172.0</v>
      </c>
      <c r="AS481" s="14">
        <v>1.2</v>
      </c>
      <c r="AT481" s="14">
        <v>0.28</v>
      </c>
      <c r="AU481" s="14">
        <v>1337000.0</v>
      </c>
      <c r="AV481" s="14">
        <v>0.96</v>
      </c>
      <c r="AW481" s="14">
        <v>10.4</v>
      </c>
      <c r="AX481" s="14">
        <v>55599.9</v>
      </c>
      <c r="AY481" s="14">
        <v>0.3</v>
      </c>
      <c r="AZ481" s="14">
        <v>0.04</v>
      </c>
      <c r="BA481" s="14">
        <f t="shared" si="1"/>
        <v>10.74</v>
      </c>
    </row>
    <row r="482" ht="14.25" customHeight="1">
      <c r="A482" s="10" t="s">
        <v>766</v>
      </c>
      <c r="B482" s="12" t="s">
        <v>106</v>
      </c>
      <c r="C482" s="12"/>
      <c r="D482" s="12"/>
      <c r="E482" s="44">
        <v>44462.0</v>
      </c>
      <c r="F482" s="29">
        <v>1.0</v>
      </c>
      <c r="G482" s="12" t="s">
        <v>767</v>
      </c>
      <c r="H482" s="45">
        <v>0.416666666667879</v>
      </c>
      <c r="I482" s="45">
        <v>0.5</v>
      </c>
      <c r="J482" s="12">
        <v>1.2</v>
      </c>
      <c r="K482" s="12">
        <v>0.25</v>
      </c>
      <c r="L482" s="14">
        <v>48.101</v>
      </c>
      <c r="M482" s="14">
        <v>50.92</v>
      </c>
      <c r="N482" s="14">
        <v>49.159</v>
      </c>
      <c r="O482" s="14">
        <v>48.842</v>
      </c>
      <c r="P482" s="14">
        <v>53.255</v>
      </c>
      <c r="Q482" s="14">
        <v>50.0554</v>
      </c>
      <c r="R482" s="20">
        <v>9.55</v>
      </c>
      <c r="S482" s="20">
        <v>10.21</v>
      </c>
      <c r="T482" s="20">
        <v>9.28</v>
      </c>
      <c r="U482" s="20">
        <v>9.83</v>
      </c>
      <c r="V482" s="20">
        <v>9.77</v>
      </c>
      <c r="W482" s="14">
        <v>9.728</v>
      </c>
      <c r="X482" s="14">
        <v>16.2</v>
      </c>
      <c r="Y482" s="14">
        <v>16.5</v>
      </c>
      <c r="Z482" s="14">
        <v>17.2</v>
      </c>
      <c r="AA482" s="14">
        <v>18.7</v>
      </c>
      <c r="AB482" s="14">
        <v>18.9</v>
      </c>
      <c r="AC482" s="14">
        <v>17.5</v>
      </c>
      <c r="AD482" s="20">
        <v>394.0</v>
      </c>
      <c r="AE482" s="20">
        <v>392.0</v>
      </c>
      <c r="AF482" s="20">
        <v>396.0</v>
      </c>
      <c r="AG482" s="20">
        <v>597.0</v>
      </c>
      <c r="AH482" s="20">
        <v>600.0</v>
      </c>
      <c r="AI482" s="14">
        <v>475.8</v>
      </c>
      <c r="AJ482" s="14">
        <v>5.46</v>
      </c>
      <c r="AK482" s="14">
        <v>5.7</v>
      </c>
      <c r="AL482" s="14">
        <v>5.47</v>
      </c>
      <c r="AM482" s="14">
        <v>5.55</v>
      </c>
      <c r="AN482" s="14">
        <v>5.44</v>
      </c>
      <c r="AO482" s="14">
        <v>5.524</v>
      </c>
      <c r="AP482" s="14">
        <v>63.0</v>
      </c>
      <c r="AQ482" s="14">
        <v>181.0</v>
      </c>
      <c r="AR482" s="14">
        <v>1200.0</v>
      </c>
      <c r="AS482" s="14">
        <v>20.0</v>
      </c>
      <c r="AT482" s="14">
        <v>0.63</v>
      </c>
      <c r="AU482" s="14">
        <v>1.354E7</v>
      </c>
      <c r="AV482" s="14">
        <v>0.54</v>
      </c>
      <c r="AW482" s="14">
        <v>12.6</v>
      </c>
      <c r="AX482" s="14">
        <v>598000.0</v>
      </c>
      <c r="AY482" s="14">
        <v>0.5</v>
      </c>
      <c r="AZ482" s="14">
        <v>0.007</v>
      </c>
      <c r="BA482" s="14">
        <f t="shared" si="1"/>
        <v>13.107</v>
      </c>
    </row>
    <row r="483" ht="14.25" customHeight="1">
      <c r="A483" s="10" t="s">
        <v>768</v>
      </c>
      <c r="B483" s="12" t="s">
        <v>126</v>
      </c>
      <c r="C483" s="12"/>
      <c r="D483" s="12"/>
      <c r="E483" s="44">
        <v>44462.0</v>
      </c>
      <c r="F483" s="29">
        <v>1.0</v>
      </c>
      <c r="G483" s="12" t="s">
        <v>769</v>
      </c>
      <c r="H483" s="45">
        <v>0.58333333333212</v>
      </c>
      <c r="I483" s="45">
        <v>0.666666666667879</v>
      </c>
      <c r="J483" s="12">
        <v>0.7</v>
      </c>
      <c r="K483" s="12">
        <v>0.12</v>
      </c>
      <c r="L483" s="14">
        <v>28.57</v>
      </c>
      <c r="M483" s="14">
        <v>29.02</v>
      </c>
      <c r="N483" s="14">
        <v>27.924</v>
      </c>
      <c r="O483" s="14">
        <v>26.999</v>
      </c>
      <c r="P483" s="14">
        <v>28.574</v>
      </c>
      <c r="Q483" s="14">
        <v>28.217400000000005</v>
      </c>
      <c r="R483" s="20">
        <v>8.12</v>
      </c>
      <c r="S483" s="20">
        <v>8.08</v>
      </c>
      <c r="T483" s="20">
        <v>8.03</v>
      </c>
      <c r="U483" s="20">
        <v>8.02</v>
      </c>
      <c r="V483" s="20">
        <v>8.07</v>
      </c>
      <c r="W483" s="14">
        <v>8.064</v>
      </c>
      <c r="X483" s="14">
        <v>18.3</v>
      </c>
      <c r="Y483" s="14">
        <v>18.1</v>
      </c>
      <c r="Z483" s="14">
        <v>18.2</v>
      </c>
      <c r="AA483" s="14">
        <v>17.9</v>
      </c>
      <c r="AB483" s="14">
        <v>17.4</v>
      </c>
      <c r="AC483" s="14">
        <v>17.98</v>
      </c>
      <c r="AD483" s="20">
        <v>595.0</v>
      </c>
      <c r="AE483" s="20">
        <v>395.0</v>
      </c>
      <c r="AF483" s="20">
        <v>568.0</v>
      </c>
      <c r="AG483" s="20">
        <v>565.0</v>
      </c>
      <c r="AH483" s="20">
        <v>559.0</v>
      </c>
      <c r="AI483" s="14">
        <v>536.4</v>
      </c>
      <c r="AJ483" s="14">
        <v>4.89</v>
      </c>
      <c r="AK483" s="14">
        <v>4.85</v>
      </c>
      <c r="AL483" s="14">
        <v>4.47</v>
      </c>
      <c r="AM483" s="14">
        <v>3.44</v>
      </c>
      <c r="AN483" s="14">
        <v>4.75</v>
      </c>
      <c r="AO483" s="14">
        <v>4.4799999999999995</v>
      </c>
      <c r="AP483" s="14">
        <v>36.0</v>
      </c>
      <c r="AQ483" s="14">
        <v>152.0</v>
      </c>
      <c r="AR483" s="14">
        <v>343.0</v>
      </c>
      <c r="AS483" s="14">
        <v>1.2</v>
      </c>
      <c r="AT483" s="14">
        <v>0.53</v>
      </c>
      <c r="AU483" s="14">
        <v>1.497E7</v>
      </c>
      <c r="AV483" s="14">
        <v>1.22</v>
      </c>
      <c r="AW483" s="14">
        <v>9.2</v>
      </c>
      <c r="AX483" s="14">
        <v>789000.0</v>
      </c>
      <c r="AY483" s="14">
        <v>0.8</v>
      </c>
      <c r="AZ483" s="14">
        <v>0.007</v>
      </c>
      <c r="BA483" s="14">
        <f t="shared" si="1"/>
        <v>10.007</v>
      </c>
    </row>
    <row r="484" ht="14.25" customHeight="1">
      <c r="A484" s="10" t="s">
        <v>770</v>
      </c>
      <c r="B484" s="12" t="s">
        <v>61</v>
      </c>
      <c r="C484" s="12"/>
      <c r="D484" s="12"/>
      <c r="E484" s="44">
        <v>44463.0</v>
      </c>
      <c r="F484" s="29">
        <v>1.0</v>
      </c>
      <c r="G484" s="12" t="s">
        <v>771</v>
      </c>
      <c r="H484" s="45">
        <v>0.5</v>
      </c>
      <c r="I484" s="45">
        <v>0.58333333333212</v>
      </c>
      <c r="J484" s="12">
        <v>12.0</v>
      </c>
      <c r="K484" s="12">
        <v>0.13</v>
      </c>
      <c r="L484" s="14">
        <v>413.169</v>
      </c>
      <c r="M484" s="14">
        <v>424.951</v>
      </c>
      <c r="N484" s="14">
        <v>413.353</v>
      </c>
      <c r="O484" s="14">
        <v>410.749</v>
      </c>
      <c r="P484" s="14">
        <v>398.52</v>
      </c>
      <c r="Q484" s="14">
        <v>412.14840000000004</v>
      </c>
      <c r="R484" s="20">
        <v>7.83</v>
      </c>
      <c r="S484" s="20">
        <v>7.76</v>
      </c>
      <c r="T484" s="20">
        <v>7.78</v>
      </c>
      <c r="U484" s="20">
        <v>7.77</v>
      </c>
      <c r="V484" s="20">
        <v>7.77</v>
      </c>
      <c r="W484" s="14">
        <v>7.781999999999999</v>
      </c>
      <c r="X484" s="14">
        <v>23.5</v>
      </c>
      <c r="Y484" s="14">
        <v>23.8</v>
      </c>
      <c r="Z484" s="14">
        <v>23.9</v>
      </c>
      <c r="AA484" s="14">
        <v>23.4</v>
      </c>
      <c r="AB484" s="14">
        <v>23.2</v>
      </c>
      <c r="AC484" s="14">
        <v>23.56</v>
      </c>
      <c r="AD484" s="20">
        <v>613.0</v>
      </c>
      <c r="AE484" s="20">
        <v>660.0</v>
      </c>
      <c r="AF484" s="20">
        <v>658.0</v>
      </c>
      <c r="AG484" s="20">
        <v>662.0</v>
      </c>
      <c r="AH484" s="20">
        <v>662.0</v>
      </c>
      <c r="AI484" s="14">
        <v>651.0</v>
      </c>
      <c r="AJ484" s="14">
        <v>2.5</v>
      </c>
      <c r="AK484" s="14">
        <v>1.2</v>
      </c>
      <c r="AL484" s="14">
        <v>1.9</v>
      </c>
      <c r="AM484" s="14">
        <v>1.8</v>
      </c>
      <c r="AN484" s="14">
        <v>1.7</v>
      </c>
      <c r="AO484" s="14">
        <v>1.8199999999999998</v>
      </c>
      <c r="AP484" s="14">
        <v>160.0</v>
      </c>
      <c r="AQ484" s="14">
        <v>216.0</v>
      </c>
      <c r="AR484" s="14">
        <v>41.0</v>
      </c>
      <c r="AS484" s="14">
        <v>37.0</v>
      </c>
      <c r="AT484" s="14">
        <v>2.9</v>
      </c>
      <c r="AU484" s="14">
        <v>1.296E7</v>
      </c>
      <c r="AV484" s="14">
        <v>4.31</v>
      </c>
      <c r="AW484" s="14">
        <v>18.2</v>
      </c>
      <c r="AX484" s="14">
        <v>7940000.0</v>
      </c>
      <c r="AY484" s="14">
        <v>0.5</v>
      </c>
      <c r="AZ484" s="14">
        <v>0.007</v>
      </c>
      <c r="BA484" s="14">
        <f t="shared" si="1"/>
        <v>18.707</v>
      </c>
    </row>
    <row r="485" ht="14.25" customHeight="1">
      <c r="A485" s="10" t="s">
        <v>772</v>
      </c>
      <c r="B485" s="16" t="s">
        <v>79</v>
      </c>
      <c r="C485" s="12"/>
      <c r="D485" s="12"/>
      <c r="E485" s="46">
        <v>44463.0</v>
      </c>
      <c r="F485" s="47">
        <v>1.0</v>
      </c>
      <c r="G485" s="18" t="s">
        <v>773</v>
      </c>
      <c r="H485" s="13">
        <v>0.5</v>
      </c>
      <c r="I485" s="13">
        <v>0.58333333333212</v>
      </c>
      <c r="J485" s="18">
        <v>0.8</v>
      </c>
      <c r="K485" s="18">
        <v>0.12</v>
      </c>
      <c r="L485" s="15">
        <v>19.897</v>
      </c>
      <c r="M485" s="15">
        <v>20.32</v>
      </c>
      <c r="N485" s="15">
        <v>22.865</v>
      </c>
      <c r="O485" s="15">
        <v>23.101</v>
      </c>
      <c r="P485" s="15">
        <v>22.976</v>
      </c>
      <c r="Q485" s="15">
        <v>21.831799999999998</v>
      </c>
      <c r="R485" s="20">
        <v>6.89</v>
      </c>
      <c r="S485" s="20">
        <v>6.4</v>
      </c>
      <c r="T485" s="20">
        <v>6.22</v>
      </c>
      <c r="U485" s="20">
        <v>6.29</v>
      </c>
      <c r="V485" s="20">
        <v>6.38</v>
      </c>
      <c r="W485" s="15">
        <v>6.436</v>
      </c>
      <c r="X485" s="15">
        <v>10.5</v>
      </c>
      <c r="Y485" s="15">
        <v>10.3</v>
      </c>
      <c r="Z485" s="15">
        <v>10.4</v>
      </c>
      <c r="AA485" s="15">
        <v>10.2</v>
      </c>
      <c r="AB485" s="15">
        <v>9.8</v>
      </c>
      <c r="AC485" s="15">
        <v>10.24</v>
      </c>
      <c r="AD485" s="20">
        <v>20.8</v>
      </c>
      <c r="AE485" s="20">
        <v>23.1</v>
      </c>
      <c r="AF485" s="20">
        <v>29.9</v>
      </c>
      <c r="AG485" s="20">
        <v>20.9</v>
      </c>
      <c r="AH485" s="20">
        <v>25.1</v>
      </c>
      <c r="AI485" s="15">
        <v>23.96</v>
      </c>
      <c r="AJ485" s="15">
        <v>5.29</v>
      </c>
      <c r="AK485" s="15">
        <v>5.63</v>
      </c>
      <c r="AL485" s="15">
        <v>5.49</v>
      </c>
      <c r="AM485" s="15">
        <v>5.47</v>
      </c>
      <c r="AN485" s="15">
        <v>5.82</v>
      </c>
      <c r="AO485" s="15">
        <v>5.54</v>
      </c>
      <c r="AP485" s="15">
        <v>8.0</v>
      </c>
      <c r="AQ485" s="15">
        <v>16.0</v>
      </c>
      <c r="AR485" s="15">
        <v>6.0</v>
      </c>
      <c r="AS485" s="15">
        <v>1.2</v>
      </c>
      <c r="AT485" s="15">
        <v>0.07</v>
      </c>
      <c r="AU485" s="15">
        <v>307600.0</v>
      </c>
      <c r="AV485" s="15">
        <v>0.07</v>
      </c>
      <c r="AW485" s="15">
        <v>1.0</v>
      </c>
      <c r="AX485" s="15">
        <v>206400.0</v>
      </c>
      <c r="AY485" s="15">
        <v>0.3</v>
      </c>
      <c r="AZ485" s="15">
        <v>0.007</v>
      </c>
      <c r="BA485" s="15">
        <f t="shared" si="1"/>
        <v>1.307</v>
      </c>
    </row>
    <row r="486" ht="14.25" customHeight="1">
      <c r="A486" s="10" t="s">
        <v>774</v>
      </c>
      <c r="B486" s="16" t="s">
        <v>93</v>
      </c>
      <c r="C486" s="12"/>
      <c r="D486" s="12"/>
      <c r="E486" s="44">
        <v>44463.0</v>
      </c>
      <c r="F486" s="29">
        <v>1.0</v>
      </c>
      <c r="G486" s="12" t="s">
        <v>775</v>
      </c>
      <c r="H486" s="45">
        <v>0.666666666667879</v>
      </c>
      <c r="I486" s="45">
        <v>0.75</v>
      </c>
      <c r="J486" s="12">
        <v>2.7</v>
      </c>
      <c r="K486" s="12">
        <v>0.28</v>
      </c>
      <c r="L486" s="14">
        <v>118.967</v>
      </c>
      <c r="M486" s="14">
        <v>121.035</v>
      </c>
      <c r="N486" s="14">
        <v>122.756</v>
      </c>
      <c r="O486" s="14">
        <v>126.014</v>
      </c>
      <c r="P486" s="14">
        <v>131.781</v>
      </c>
      <c r="Q486" s="14">
        <v>124.11060000000002</v>
      </c>
      <c r="R486" s="20">
        <v>7.2</v>
      </c>
      <c r="S486" s="20">
        <v>7.2</v>
      </c>
      <c r="T486" s="20">
        <v>7.21</v>
      </c>
      <c r="U486" s="20">
        <v>7.26</v>
      </c>
      <c r="V486" s="20">
        <v>7.23</v>
      </c>
      <c r="W486" s="14">
        <v>7.219999999999999</v>
      </c>
      <c r="X486" s="14">
        <v>15.2</v>
      </c>
      <c r="Y486" s="14">
        <v>14.7</v>
      </c>
      <c r="Z486" s="14">
        <v>14.7</v>
      </c>
      <c r="AA486" s="14">
        <v>14.2</v>
      </c>
      <c r="AB486" s="14">
        <v>14.1</v>
      </c>
      <c r="AC486" s="14">
        <v>14.579999999999998</v>
      </c>
      <c r="AD486" s="20">
        <v>601.0</v>
      </c>
      <c r="AE486" s="20">
        <v>559.0</v>
      </c>
      <c r="AF486" s="20">
        <v>557.0</v>
      </c>
      <c r="AG486" s="20">
        <v>545.0</v>
      </c>
      <c r="AH486" s="20">
        <v>546.0</v>
      </c>
      <c r="AI486" s="14">
        <v>561.6</v>
      </c>
      <c r="AJ486" s="14">
        <v>4.78</v>
      </c>
      <c r="AK486" s="14">
        <v>4.24</v>
      </c>
      <c r="AL486" s="14">
        <v>4.22</v>
      </c>
      <c r="AM486" s="14">
        <v>4.52</v>
      </c>
      <c r="AN486" s="14">
        <v>4.53</v>
      </c>
      <c r="AO486" s="14">
        <v>4.458</v>
      </c>
      <c r="AP486" s="14">
        <v>108.0</v>
      </c>
      <c r="AQ486" s="14">
        <v>220.0</v>
      </c>
      <c r="AR486" s="14">
        <v>100.0</v>
      </c>
      <c r="AS486" s="14">
        <v>45.0</v>
      </c>
      <c r="AT486" s="14">
        <v>9.95</v>
      </c>
      <c r="AU486" s="14">
        <v>1.243E7</v>
      </c>
      <c r="AV486" s="14">
        <v>3.14</v>
      </c>
      <c r="AW486" s="14">
        <v>5.3</v>
      </c>
      <c r="AX486" s="14">
        <v>8690000.0</v>
      </c>
      <c r="AY486" s="14">
        <v>0.9</v>
      </c>
      <c r="AZ486" s="14">
        <v>0.007</v>
      </c>
      <c r="BA486" s="14">
        <f t="shared" si="1"/>
        <v>6.207</v>
      </c>
    </row>
    <row r="487" ht="14.25" customHeight="1">
      <c r="A487" s="10" t="s">
        <v>776</v>
      </c>
      <c r="B487" s="12" t="s">
        <v>63</v>
      </c>
      <c r="C487" s="12"/>
      <c r="D487" s="12"/>
      <c r="E487" s="44">
        <v>44463.0</v>
      </c>
      <c r="F487" s="29">
        <v>1.0</v>
      </c>
      <c r="G487" s="12" t="s">
        <v>777</v>
      </c>
      <c r="H487" s="45">
        <v>0.666666666667879</v>
      </c>
      <c r="I487" s="45">
        <v>0.75</v>
      </c>
      <c r="J487" s="12">
        <v>8.0</v>
      </c>
      <c r="K487" s="12">
        <v>0.18</v>
      </c>
      <c r="L487" s="14">
        <v>267.785</v>
      </c>
      <c r="M487" s="14">
        <v>274.882</v>
      </c>
      <c r="N487" s="14">
        <v>260.893</v>
      </c>
      <c r="O487" s="14">
        <v>255.202</v>
      </c>
      <c r="P487" s="14">
        <v>243.711</v>
      </c>
      <c r="Q487" s="14">
        <v>260.4946</v>
      </c>
      <c r="R487" s="20">
        <v>7.58</v>
      </c>
      <c r="S487" s="20">
        <v>7.48</v>
      </c>
      <c r="T487" s="20">
        <v>7.53</v>
      </c>
      <c r="U487" s="20">
        <v>7.59</v>
      </c>
      <c r="V487" s="20">
        <v>7.45</v>
      </c>
      <c r="W487" s="14">
        <v>7.526000000000001</v>
      </c>
      <c r="X487" s="14">
        <v>21.2</v>
      </c>
      <c r="Y487" s="14">
        <v>20.5</v>
      </c>
      <c r="Z487" s="14">
        <v>20.0</v>
      </c>
      <c r="AA487" s="14">
        <v>19.5</v>
      </c>
      <c r="AB487" s="14">
        <v>19.0</v>
      </c>
      <c r="AC487" s="14">
        <v>20.04</v>
      </c>
      <c r="AD487" s="20">
        <v>388.0</v>
      </c>
      <c r="AE487" s="20">
        <v>612.0</v>
      </c>
      <c r="AF487" s="20">
        <v>626.0</v>
      </c>
      <c r="AG487" s="20">
        <v>396.0</v>
      </c>
      <c r="AH487" s="20">
        <v>629.0</v>
      </c>
      <c r="AI487" s="14">
        <v>530.2</v>
      </c>
      <c r="AJ487" s="14">
        <v>1.23</v>
      </c>
      <c r="AK487" s="14">
        <v>1.33</v>
      </c>
      <c r="AL487" s="14">
        <v>1.26</v>
      </c>
      <c r="AM487" s="14">
        <v>1.38</v>
      </c>
      <c r="AN487" s="14">
        <v>1.29</v>
      </c>
      <c r="AO487" s="14">
        <v>1.298</v>
      </c>
      <c r="AP487" s="14">
        <v>174.0</v>
      </c>
      <c r="AQ487" s="14">
        <v>276.0</v>
      </c>
      <c r="AR487" s="14">
        <v>98.0</v>
      </c>
      <c r="AS487" s="14">
        <v>66.0</v>
      </c>
      <c r="AT487" s="14">
        <v>8.15</v>
      </c>
      <c r="AU487" s="14">
        <v>1.935E7</v>
      </c>
      <c r="AV487" s="14">
        <v>3.99</v>
      </c>
      <c r="AW487" s="14">
        <v>28.0</v>
      </c>
      <c r="AX487" s="14">
        <v>1.081E7</v>
      </c>
      <c r="AY487" s="14">
        <v>0.8</v>
      </c>
      <c r="AZ487" s="14">
        <v>0.007</v>
      </c>
      <c r="BA487" s="14">
        <f t="shared" si="1"/>
        <v>28.807</v>
      </c>
    </row>
    <row r="488" ht="14.25" customHeight="1">
      <c r="A488" s="10" t="s">
        <v>778</v>
      </c>
      <c r="B488" s="12" t="s">
        <v>85</v>
      </c>
      <c r="C488" s="12"/>
      <c r="D488" s="12"/>
      <c r="E488" s="44">
        <v>44463.0</v>
      </c>
      <c r="F488" s="29">
        <v>1.0</v>
      </c>
      <c r="G488" s="12" t="s">
        <v>779</v>
      </c>
      <c r="H488" s="45">
        <v>0.5</v>
      </c>
      <c r="I488" s="45">
        <v>0.58333333333212</v>
      </c>
      <c r="J488" s="12">
        <v>5.6</v>
      </c>
      <c r="K488" s="12">
        <v>0.21</v>
      </c>
      <c r="L488" s="14">
        <v>164.429</v>
      </c>
      <c r="M488" s="14">
        <v>168.908</v>
      </c>
      <c r="N488" s="14">
        <v>171.898</v>
      </c>
      <c r="O488" s="14">
        <v>170.217</v>
      </c>
      <c r="P488" s="14">
        <v>165.165</v>
      </c>
      <c r="Q488" s="14">
        <v>168.1234</v>
      </c>
      <c r="R488" s="20">
        <v>7.89</v>
      </c>
      <c r="S488" s="20">
        <v>7.86</v>
      </c>
      <c r="T488" s="20">
        <v>7.78</v>
      </c>
      <c r="U488" s="20">
        <v>7.82</v>
      </c>
      <c r="V488" s="20">
        <v>7.79</v>
      </c>
      <c r="W488" s="14">
        <v>7.828</v>
      </c>
      <c r="X488" s="14">
        <v>21.0</v>
      </c>
      <c r="Y488" s="14">
        <v>21.2</v>
      </c>
      <c r="Z488" s="14">
        <v>20.9</v>
      </c>
      <c r="AA488" s="14">
        <v>21.6</v>
      </c>
      <c r="AB488" s="14">
        <v>21.3</v>
      </c>
      <c r="AC488" s="14">
        <v>21.2</v>
      </c>
      <c r="AD488" s="20">
        <v>389.0</v>
      </c>
      <c r="AE488" s="20">
        <v>555.0</v>
      </c>
      <c r="AF488" s="20">
        <v>575.0</v>
      </c>
      <c r="AG488" s="20">
        <v>569.0</v>
      </c>
      <c r="AH488" s="20">
        <v>611.0</v>
      </c>
      <c r="AI488" s="14">
        <v>539.8</v>
      </c>
      <c r="AJ488" s="14">
        <v>1.03</v>
      </c>
      <c r="AK488" s="14">
        <v>1.21</v>
      </c>
      <c r="AL488" s="14">
        <v>1.66</v>
      </c>
      <c r="AM488" s="14">
        <v>1.23</v>
      </c>
      <c r="AN488" s="14">
        <v>1.17</v>
      </c>
      <c r="AO488" s="14">
        <v>1.2600000000000002</v>
      </c>
      <c r="AP488" s="14">
        <v>170.0</v>
      </c>
      <c r="AQ488" s="14">
        <v>284.0</v>
      </c>
      <c r="AR488" s="14">
        <v>81.0</v>
      </c>
      <c r="AS488" s="14">
        <v>56.0</v>
      </c>
      <c r="AT488" s="14">
        <v>10.46</v>
      </c>
      <c r="AU488" s="14">
        <v>1.935E7</v>
      </c>
      <c r="AV488" s="14">
        <v>3.15</v>
      </c>
      <c r="AW488" s="14">
        <v>32.2</v>
      </c>
      <c r="AX488" s="14">
        <v>1.211E7</v>
      </c>
      <c r="AY488" s="14">
        <v>0.9</v>
      </c>
      <c r="AZ488" s="14">
        <v>0.007</v>
      </c>
      <c r="BA488" s="14">
        <f t="shared" si="1"/>
        <v>33.107</v>
      </c>
    </row>
    <row r="489" ht="14.25" customHeight="1">
      <c r="A489" s="10" t="s">
        <v>780</v>
      </c>
      <c r="B489" s="12" t="s">
        <v>95</v>
      </c>
      <c r="C489" s="12"/>
      <c r="D489" s="12"/>
      <c r="E489" s="44">
        <v>44463.0</v>
      </c>
      <c r="F489" s="29">
        <v>1.0</v>
      </c>
      <c r="G489" s="12" t="s">
        <v>781</v>
      </c>
      <c r="H489" s="45">
        <v>0.5</v>
      </c>
      <c r="I489" s="45">
        <v>0.58333333333212</v>
      </c>
      <c r="J489" s="12">
        <v>1.65</v>
      </c>
      <c r="K489" s="12">
        <v>0.05</v>
      </c>
      <c r="L489" s="14">
        <v>3.503</v>
      </c>
      <c r="M489" s="14">
        <v>4.461</v>
      </c>
      <c r="N489" s="14">
        <v>3.607</v>
      </c>
      <c r="O489" s="14">
        <v>3.694</v>
      </c>
      <c r="P489" s="14">
        <v>3.353</v>
      </c>
      <c r="Q489" s="14">
        <v>3.7236000000000002</v>
      </c>
      <c r="R489" s="20">
        <v>6.74</v>
      </c>
      <c r="S489" s="20">
        <v>5.69</v>
      </c>
      <c r="T489" s="20">
        <v>5.53</v>
      </c>
      <c r="U489" s="20">
        <v>5.47</v>
      </c>
      <c r="V489" s="20">
        <v>5.56</v>
      </c>
      <c r="W489" s="14">
        <v>5.798</v>
      </c>
      <c r="X489" s="14">
        <v>18.7</v>
      </c>
      <c r="Y489" s="14">
        <v>18.5</v>
      </c>
      <c r="Z489" s="14">
        <v>18.9</v>
      </c>
      <c r="AA489" s="14">
        <v>18.8</v>
      </c>
      <c r="AB489" s="14">
        <v>18.4</v>
      </c>
      <c r="AC489" s="14">
        <v>18.660000000000004</v>
      </c>
      <c r="AD489" s="20">
        <v>400.0</v>
      </c>
      <c r="AE489" s="20">
        <v>315.0</v>
      </c>
      <c r="AF489" s="20">
        <v>304.0</v>
      </c>
      <c r="AG489" s="20">
        <v>326.0</v>
      </c>
      <c r="AH489" s="20">
        <v>307.0</v>
      </c>
      <c r="AI489" s="14">
        <v>330.4</v>
      </c>
      <c r="AJ489" s="14">
        <v>4.72</v>
      </c>
      <c r="AK489" s="14">
        <v>4.55</v>
      </c>
      <c r="AL489" s="14">
        <v>4.75</v>
      </c>
      <c r="AM489" s="14">
        <v>4.51</v>
      </c>
      <c r="AN489" s="14">
        <v>4.42</v>
      </c>
      <c r="AO489" s="14">
        <v>4.590000000000001</v>
      </c>
      <c r="AP489" s="14">
        <v>90.0</v>
      </c>
      <c r="AQ489" s="14">
        <v>148.0</v>
      </c>
      <c r="AR489" s="14">
        <v>48.0</v>
      </c>
      <c r="AS489" s="14">
        <v>41.0</v>
      </c>
      <c r="AT489" s="14">
        <v>12.58</v>
      </c>
      <c r="AU489" s="14">
        <v>9870000.0</v>
      </c>
      <c r="AV489" s="14">
        <v>1.29</v>
      </c>
      <c r="AW489" s="14">
        <v>5.9</v>
      </c>
      <c r="AX489" s="14">
        <v>8820000.0</v>
      </c>
      <c r="AY489" s="14">
        <v>0.8</v>
      </c>
      <c r="AZ489" s="14">
        <v>0.007</v>
      </c>
      <c r="BA489" s="14">
        <f t="shared" si="1"/>
        <v>6.707</v>
      </c>
    </row>
    <row r="490" ht="14.25" customHeight="1">
      <c r="A490" s="10" t="s">
        <v>782</v>
      </c>
      <c r="B490" s="12" t="s">
        <v>131</v>
      </c>
      <c r="C490" s="12"/>
      <c r="D490" s="12"/>
      <c r="E490" s="44">
        <v>44462.0</v>
      </c>
      <c r="F490" s="29">
        <v>1.0</v>
      </c>
      <c r="G490" s="12" t="s">
        <v>783</v>
      </c>
      <c r="H490" s="45">
        <v>0.25</v>
      </c>
      <c r="I490" s="45">
        <v>0.33333333333212</v>
      </c>
      <c r="J490" s="12">
        <v>3.3</v>
      </c>
      <c r="K490" s="12">
        <v>0.76</v>
      </c>
      <c r="L490" s="14">
        <v>1763.076</v>
      </c>
      <c r="M490" s="14">
        <v>1747.018</v>
      </c>
      <c r="N490" s="14">
        <v>1761.866</v>
      </c>
      <c r="O490" s="14">
        <v>1759.231</v>
      </c>
      <c r="P490" s="14">
        <v>1789.783</v>
      </c>
      <c r="Q490" s="14">
        <v>1764.1948</v>
      </c>
      <c r="R490" s="20">
        <v>7.01</v>
      </c>
      <c r="S490" s="20">
        <v>7.17</v>
      </c>
      <c r="T490" s="20">
        <v>7.37</v>
      </c>
      <c r="U490" s="20">
        <v>7.3</v>
      </c>
      <c r="V490" s="20">
        <v>7.27</v>
      </c>
      <c r="W490" s="14">
        <v>7.224000000000001</v>
      </c>
      <c r="X490" s="14">
        <v>12.9</v>
      </c>
      <c r="Y490" s="14">
        <v>12.6</v>
      </c>
      <c r="Z490" s="14">
        <v>12.5</v>
      </c>
      <c r="AA490" s="14">
        <v>12.3</v>
      </c>
      <c r="AB490" s="14">
        <v>12.5</v>
      </c>
      <c r="AC490" s="14">
        <v>12.559999999999999</v>
      </c>
      <c r="AD490" s="20">
        <v>107.8</v>
      </c>
      <c r="AE490" s="20">
        <v>112.1</v>
      </c>
      <c r="AF490" s="20">
        <v>116.1</v>
      </c>
      <c r="AG490" s="20">
        <v>116.1</v>
      </c>
      <c r="AH490" s="20">
        <v>92.0</v>
      </c>
      <c r="AI490" s="14">
        <v>108.82000000000001</v>
      </c>
      <c r="AJ490" s="14">
        <v>6.17</v>
      </c>
      <c r="AK490" s="14">
        <v>5.96</v>
      </c>
      <c r="AL490" s="14">
        <v>5.79</v>
      </c>
      <c r="AM490" s="14">
        <v>6.05</v>
      </c>
      <c r="AN490" s="14">
        <v>6.16</v>
      </c>
      <c r="AO490" s="14">
        <v>6.026</v>
      </c>
      <c r="AP490" s="14">
        <v>14.0</v>
      </c>
      <c r="AQ490" s="14">
        <v>72.0</v>
      </c>
      <c r="AR490" s="14">
        <v>129.0</v>
      </c>
      <c r="AS490" s="14">
        <v>1.2</v>
      </c>
      <c r="AT490" s="14">
        <v>0.2</v>
      </c>
      <c r="AU490" s="14">
        <v>805000.0</v>
      </c>
      <c r="AV490" s="14">
        <v>0.3</v>
      </c>
      <c r="AW490" s="14">
        <v>1.7</v>
      </c>
      <c r="AX490" s="14">
        <v>41700.0</v>
      </c>
      <c r="AY490" s="14">
        <v>0.5</v>
      </c>
      <c r="AZ490" s="14">
        <v>0.053</v>
      </c>
      <c r="BA490" s="14">
        <f t="shared" si="1"/>
        <v>2.253</v>
      </c>
    </row>
    <row r="491" ht="14.25" customHeight="1">
      <c r="A491" s="10" t="s">
        <v>784</v>
      </c>
      <c r="B491" s="12" t="s">
        <v>83</v>
      </c>
      <c r="C491" s="12"/>
      <c r="D491" s="12"/>
      <c r="E491" s="44">
        <v>44463.0</v>
      </c>
      <c r="F491" s="29">
        <v>1.0</v>
      </c>
      <c r="G491" s="12" t="s">
        <v>785</v>
      </c>
      <c r="H491" s="45">
        <v>0.33333333333212</v>
      </c>
      <c r="I491" s="45">
        <v>0.416666666667879</v>
      </c>
      <c r="J491" s="12">
        <v>5.5</v>
      </c>
      <c r="K491" s="12">
        <v>0.55</v>
      </c>
      <c r="L491" s="14">
        <v>683.225</v>
      </c>
      <c r="M491" s="14">
        <v>643.459</v>
      </c>
      <c r="N491" s="14">
        <v>705.593</v>
      </c>
      <c r="O491" s="14">
        <v>733.014</v>
      </c>
      <c r="P491" s="14">
        <v>614.963</v>
      </c>
      <c r="Q491" s="14">
        <v>676.0508</v>
      </c>
      <c r="R491" s="20">
        <v>7.92</v>
      </c>
      <c r="S491" s="20">
        <v>7.96</v>
      </c>
      <c r="T491" s="20">
        <v>7.98</v>
      </c>
      <c r="U491" s="20">
        <v>7.97</v>
      </c>
      <c r="V491" s="20">
        <v>7.98</v>
      </c>
      <c r="W491" s="14">
        <v>7.962000000000001</v>
      </c>
      <c r="X491" s="14">
        <v>15.9</v>
      </c>
      <c r="Y491" s="14">
        <v>14.4</v>
      </c>
      <c r="Z491" s="14">
        <v>14.7</v>
      </c>
      <c r="AA491" s="14">
        <v>14.7</v>
      </c>
      <c r="AB491" s="14">
        <v>15.0</v>
      </c>
      <c r="AC491" s="14">
        <v>14.940000000000001</v>
      </c>
      <c r="AD491" s="20">
        <v>518.0</v>
      </c>
      <c r="AE491" s="20">
        <v>573.0</v>
      </c>
      <c r="AF491" s="20">
        <v>544.0</v>
      </c>
      <c r="AG491" s="20">
        <v>541.0</v>
      </c>
      <c r="AH491" s="20">
        <v>570.0</v>
      </c>
      <c r="AI491" s="14">
        <v>549.2</v>
      </c>
      <c r="AJ491" s="14">
        <v>4.07</v>
      </c>
      <c r="AK491" s="14">
        <v>3.53</v>
      </c>
      <c r="AL491" s="14">
        <v>4.29</v>
      </c>
      <c r="AM491" s="14">
        <v>3.89</v>
      </c>
      <c r="AN491" s="14">
        <v>3.64</v>
      </c>
      <c r="AO491" s="14">
        <v>3.8840000000000003</v>
      </c>
      <c r="AP491" s="14">
        <v>82.0</v>
      </c>
      <c r="AQ491" s="14">
        <v>128.0</v>
      </c>
      <c r="AR491" s="14">
        <v>51.0</v>
      </c>
      <c r="AS491" s="14">
        <v>27.0</v>
      </c>
      <c r="AT491" s="14">
        <v>0.246</v>
      </c>
      <c r="AU491" s="14">
        <v>1.317E7</v>
      </c>
      <c r="AV491" s="14">
        <v>4.99</v>
      </c>
      <c r="AW491" s="14">
        <v>21.8</v>
      </c>
      <c r="AX491" s="14">
        <v>1.012E7</v>
      </c>
      <c r="AY491" s="14">
        <v>0.3</v>
      </c>
      <c r="AZ491" s="14">
        <v>0.007</v>
      </c>
      <c r="BA491" s="14">
        <f t="shared" si="1"/>
        <v>22.107</v>
      </c>
    </row>
    <row r="492" ht="14.25" customHeight="1">
      <c r="A492" s="10" t="s">
        <v>786</v>
      </c>
      <c r="B492" s="12" t="s">
        <v>97</v>
      </c>
      <c r="C492" s="12"/>
      <c r="D492" s="12"/>
      <c r="E492" s="44">
        <v>44463.0</v>
      </c>
      <c r="F492" s="29">
        <v>1.0</v>
      </c>
      <c r="G492" s="12" t="s">
        <v>787</v>
      </c>
      <c r="H492" s="45">
        <v>0.666666666667879</v>
      </c>
      <c r="I492" s="45">
        <v>0.75</v>
      </c>
      <c r="J492" s="12">
        <v>2.3</v>
      </c>
      <c r="K492" s="12">
        <v>0.16</v>
      </c>
      <c r="L492" s="14">
        <v>373.417</v>
      </c>
      <c r="M492" s="14">
        <v>371.066</v>
      </c>
      <c r="N492" s="14">
        <v>370.553</v>
      </c>
      <c r="O492" s="14">
        <v>360.605</v>
      </c>
      <c r="P492" s="14">
        <v>378.141</v>
      </c>
      <c r="Q492" s="14">
        <v>370.75640000000004</v>
      </c>
      <c r="R492" s="20">
        <v>6.94</v>
      </c>
      <c r="S492" s="20">
        <v>6.94</v>
      </c>
      <c r="T492" s="20">
        <v>6.67</v>
      </c>
      <c r="U492" s="20">
        <v>6.9</v>
      </c>
      <c r="V492" s="20">
        <v>6.8</v>
      </c>
      <c r="W492" s="14">
        <v>6.85</v>
      </c>
      <c r="X492" s="14">
        <v>20.1</v>
      </c>
      <c r="Y492" s="14">
        <v>18.4</v>
      </c>
      <c r="Z492" s="14">
        <v>18.9</v>
      </c>
      <c r="AA492" s="14">
        <v>18.0</v>
      </c>
      <c r="AB492" s="14">
        <v>17.9</v>
      </c>
      <c r="AC492" s="14">
        <v>18.660000000000004</v>
      </c>
      <c r="AD492" s="20">
        <v>495.0</v>
      </c>
      <c r="AE492" s="20">
        <v>488.0</v>
      </c>
      <c r="AF492" s="20">
        <v>495.0</v>
      </c>
      <c r="AG492" s="20">
        <v>476.0</v>
      </c>
      <c r="AH492" s="20">
        <v>474.0</v>
      </c>
      <c r="AI492" s="14">
        <v>485.6</v>
      </c>
      <c r="AJ492" s="14">
        <v>1.55</v>
      </c>
      <c r="AK492" s="14">
        <v>1.9</v>
      </c>
      <c r="AL492" s="14">
        <v>1.46</v>
      </c>
      <c r="AM492" s="14">
        <v>1.59</v>
      </c>
      <c r="AN492" s="14">
        <v>1.48</v>
      </c>
      <c r="AO492" s="14">
        <v>1.596</v>
      </c>
      <c r="AP492" s="14">
        <v>197.0</v>
      </c>
      <c r="AQ492" s="14">
        <v>284.0</v>
      </c>
      <c r="AR492" s="14">
        <v>76.0</v>
      </c>
      <c r="AS492" s="14">
        <v>69.0</v>
      </c>
      <c r="AT492" s="14">
        <v>10.94</v>
      </c>
      <c r="AU492" s="14">
        <v>1.497E7</v>
      </c>
      <c r="AV492" s="14">
        <v>3.53</v>
      </c>
      <c r="AW492" s="14">
        <v>24.4</v>
      </c>
      <c r="AX492" s="14">
        <v>788000.0</v>
      </c>
      <c r="AY492" s="14">
        <v>0.7</v>
      </c>
      <c r="AZ492" s="14">
        <v>0.007</v>
      </c>
      <c r="BA492" s="14">
        <f t="shared" si="1"/>
        <v>25.107</v>
      </c>
    </row>
    <row r="493" ht="14.25" customHeight="1">
      <c r="A493" s="10" t="s">
        <v>788</v>
      </c>
      <c r="B493" s="12" t="s">
        <v>120</v>
      </c>
      <c r="C493" s="12"/>
      <c r="D493" s="12"/>
      <c r="E493" s="44">
        <v>44467.0</v>
      </c>
      <c r="F493" s="29">
        <v>1.0</v>
      </c>
      <c r="G493" s="12" t="s">
        <v>789</v>
      </c>
      <c r="H493" s="45">
        <v>0.33333333333212</v>
      </c>
      <c r="I493" s="45">
        <v>0.416666666667879</v>
      </c>
      <c r="J493" s="12">
        <v>2.5</v>
      </c>
      <c r="K493" s="12">
        <v>0.05</v>
      </c>
      <c r="L493" s="14">
        <v>10.376</v>
      </c>
      <c r="M493" s="14">
        <v>10.389</v>
      </c>
      <c r="N493" s="14">
        <v>10.231</v>
      </c>
      <c r="O493" s="14">
        <v>9.511</v>
      </c>
      <c r="P493" s="14">
        <v>9.227</v>
      </c>
      <c r="Q493" s="14">
        <v>9.946800000000001</v>
      </c>
      <c r="R493" s="20">
        <v>8.51</v>
      </c>
      <c r="S493" s="20">
        <v>8.99</v>
      </c>
      <c r="T493" s="20">
        <v>9.1</v>
      </c>
      <c r="U493" s="20">
        <v>9.27</v>
      </c>
      <c r="V493" s="20">
        <v>9.33</v>
      </c>
      <c r="W493" s="14">
        <v>9.040000000000001</v>
      </c>
      <c r="X493" s="14">
        <v>18.7</v>
      </c>
      <c r="Y493" s="14">
        <v>17.8</v>
      </c>
      <c r="Z493" s="14">
        <v>18.4</v>
      </c>
      <c r="AA493" s="14">
        <v>19.9</v>
      </c>
      <c r="AB493" s="14">
        <v>20.3</v>
      </c>
      <c r="AC493" s="14">
        <v>19.02</v>
      </c>
      <c r="AD493" s="20">
        <v>278.0</v>
      </c>
      <c r="AE493" s="20">
        <v>284.0</v>
      </c>
      <c r="AF493" s="20">
        <v>282.0</v>
      </c>
      <c r="AG493" s="20">
        <v>288.0</v>
      </c>
      <c r="AH493" s="20">
        <v>289.0</v>
      </c>
      <c r="AI493" s="14">
        <v>284.2</v>
      </c>
      <c r="AJ493" s="14">
        <v>9.84</v>
      </c>
      <c r="AK493" s="14">
        <v>11.69</v>
      </c>
      <c r="AL493" s="14">
        <v>12.92</v>
      </c>
      <c r="AM493" s="14">
        <v>14.62</v>
      </c>
      <c r="AN493" s="14">
        <v>10.65</v>
      </c>
      <c r="AO493" s="14">
        <v>11.943999999999999</v>
      </c>
      <c r="AP493" s="14">
        <v>12.0</v>
      </c>
      <c r="AQ493" s="14">
        <v>32.0</v>
      </c>
      <c r="AR493" s="14">
        <v>15.0</v>
      </c>
      <c r="AS493" s="14">
        <v>1.2</v>
      </c>
      <c r="AT493" s="14">
        <v>0.14</v>
      </c>
      <c r="AU493" s="14">
        <v>1213000.0</v>
      </c>
      <c r="AV493" s="14">
        <v>0.96</v>
      </c>
      <c r="AW493" s="14">
        <v>8.1</v>
      </c>
      <c r="AX493" s="14">
        <v>78400.0</v>
      </c>
      <c r="AY493" s="14">
        <v>0.5</v>
      </c>
      <c r="AZ493" s="14">
        <v>0.098</v>
      </c>
      <c r="BA493" s="14">
        <f t="shared" si="1"/>
        <v>8.698</v>
      </c>
    </row>
    <row r="494" ht="14.25" customHeight="1">
      <c r="A494" s="10" t="s">
        <v>790</v>
      </c>
      <c r="B494" s="12" t="s">
        <v>118</v>
      </c>
      <c r="C494" s="12"/>
      <c r="D494" s="12"/>
      <c r="E494" s="44">
        <v>44467.0</v>
      </c>
      <c r="F494" s="29">
        <v>1.0</v>
      </c>
      <c r="G494" s="12" t="s">
        <v>791</v>
      </c>
      <c r="H494" s="45">
        <v>0.58333333333212</v>
      </c>
      <c r="I494" s="45">
        <v>0.666666666667879</v>
      </c>
      <c r="J494" s="12">
        <v>1.0</v>
      </c>
      <c r="K494" s="12">
        <v>0.06</v>
      </c>
      <c r="L494" s="14">
        <v>7.908</v>
      </c>
      <c r="M494" s="14">
        <v>8.038</v>
      </c>
      <c r="N494" s="14">
        <v>8.41</v>
      </c>
      <c r="O494" s="14">
        <v>8.04</v>
      </c>
      <c r="P494" s="14">
        <v>7.723</v>
      </c>
      <c r="Q494" s="14">
        <v>8.0238</v>
      </c>
      <c r="R494" s="20">
        <v>7.55</v>
      </c>
      <c r="S494" s="20">
        <v>7.53</v>
      </c>
      <c r="T494" s="20">
        <v>7.52</v>
      </c>
      <c r="U494" s="20">
        <v>7.54</v>
      </c>
      <c r="V494" s="20">
        <v>7.53</v>
      </c>
      <c r="W494" s="14">
        <v>7.534000000000001</v>
      </c>
      <c r="X494" s="14">
        <v>19.4</v>
      </c>
      <c r="Y494" s="14">
        <v>18.7</v>
      </c>
      <c r="Z494" s="14">
        <v>18.7</v>
      </c>
      <c r="AA494" s="14">
        <v>18.8</v>
      </c>
      <c r="AB494" s="14">
        <v>18.7</v>
      </c>
      <c r="AC494" s="14">
        <v>18.86</v>
      </c>
      <c r="AD494" s="20">
        <v>425.0</v>
      </c>
      <c r="AE494" s="20">
        <v>430.0</v>
      </c>
      <c r="AF494" s="20">
        <v>417.0</v>
      </c>
      <c r="AG494" s="20">
        <v>407.0</v>
      </c>
      <c r="AH494" s="20">
        <v>395.0</v>
      </c>
      <c r="AI494" s="14">
        <v>414.8</v>
      </c>
      <c r="AJ494" s="14">
        <v>2.57</v>
      </c>
      <c r="AK494" s="14">
        <v>2.67</v>
      </c>
      <c r="AL494" s="14">
        <v>2.13</v>
      </c>
      <c r="AM494" s="14">
        <v>2.59</v>
      </c>
      <c r="AN494" s="14">
        <v>2.12</v>
      </c>
      <c r="AO494" s="14">
        <v>2.4160000000000004</v>
      </c>
      <c r="AP494" s="14">
        <v>10.0</v>
      </c>
      <c r="AQ494" s="14">
        <v>72.0</v>
      </c>
      <c r="AR494" s="14">
        <v>17.0</v>
      </c>
      <c r="AS494" s="14">
        <v>1.2</v>
      </c>
      <c r="AT494" s="14">
        <v>0.17</v>
      </c>
      <c r="AU494" s="14">
        <v>164300.0</v>
      </c>
      <c r="AV494" s="14">
        <v>1.06</v>
      </c>
      <c r="AW494" s="14">
        <v>12.3</v>
      </c>
      <c r="AX494" s="14">
        <v>133800.0</v>
      </c>
      <c r="AY494" s="14">
        <v>0.5</v>
      </c>
      <c r="AZ494" s="14">
        <v>0.007</v>
      </c>
      <c r="BA494" s="14">
        <f t="shared" si="1"/>
        <v>12.807</v>
      </c>
    </row>
    <row r="495" ht="14.25" customHeight="1">
      <c r="A495" s="10" t="s">
        <v>792</v>
      </c>
      <c r="B495" s="12" t="s">
        <v>129</v>
      </c>
      <c r="C495" s="12"/>
      <c r="D495" s="12"/>
      <c r="E495" s="44">
        <v>44467.0</v>
      </c>
      <c r="F495" s="29">
        <v>1.0</v>
      </c>
      <c r="G495" s="12" t="s">
        <v>793</v>
      </c>
      <c r="H495" s="45">
        <v>0.33333333333212</v>
      </c>
      <c r="I495" s="45">
        <v>0.416666666667879</v>
      </c>
      <c r="J495" s="12">
        <v>2.2</v>
      </c>
      <c r="K495" s="12">
        <v>0.06</v>
      </c>
      <c r="L495" s="14">
        <v>13.813</v>
      </c>
      <c r="M495" s="14">
        <v>12.523</v>
      </c>
      <c r="N495" s="14">
        <v>13.854</v>
      </c>
      <c r="O495" s="14">
        <v>13.887</v>
      </c>
      <c r="P495" s="14">
        <v>14.474</v>
      </c>
      <c r="Q495" s="14">
        <v>13.7102</v>
      </c>
      <c r="R495" s="20">
        <v>7.24</v>
      </c>
      <c r="S495" s="20">
        <v>7.47</v>
      </c>
      <c r="T495" s="20">
        <v>7.83</v>
      </c>
      <c r="U495" s="20">
        <v>7.99</v>
      </c>
      <c r="V495" s="20">
        <v>8.14</v>
      </c>
      <c r="W495" s="14">
        <v>7.734</v>
      </c>
      <c r="X495" s="14">
        <v>14.4</v>
      </c>
      <c r="Y495" s="14">
        <v>14.6</v>
      </c>
      <c r="Z495" s="14">
        <v>16.6</v>
      </c>
      <c r="AA495" s="14">
        <v>16.2</v>
      </c>
      <c r="AB495" s="14">
        <v>17.4</v>
      </c>
      <c r="AC495" s="14">
        <v>15.839999999999998</v>
      </c>
      <c r="AD495" s="20">
        <v>520.0</v>
      </c>
      <c r="AE495" s="20">
        <v>489.0</v>
      </c>
      <c r="AF495" s="20">
        <v>509.0</v>
      </c>
      <c r="AG495" s="20">
        <v>501.0</v>
      </c>
      <c r="AH495" s="20">
        <v>504.0</v>
      </c>
      <c r="AI495" s="14">
        <v>504.6</v>
      </c>
      <c r="AJ495" s="14">
        <v>4.57</v>
      </c>
      <c r="AK495" s="14">
        <v>6.4</v>
      </c>
      <c r="AL495" s="14">
        <v>8.28</v>
      </c>
      <c r="AM495" s="14">
        <v>10.05</v>
      </c>
      <c r="AN495" s="14">
        <v>10.57</v>
      </c>
      <c r="AO495" s="14">
        <v>7.974000000000001</v>
      </c>
      <c r="AP495" s="14">
        <v>29.0</v>
      </c>
      <c r="AQ495" s="14">
        <v>76.0</v>
      </c>
      <c r="AR495" s="14">
        <v>17.0</v>
      </c>
      <c r="AS495" s="14">
        <v>1.2</v>
      </c>
      <c r="AT495" s="14">
        <v>0.18</v>
      </c>
      <c r="AU495" s="14">
        <v>657000.0</v>
      </c>
      <c r="AV495" s="14">
        <v>1.37</v>
      </c>
      <c r="AW495" s="14">
        <v>12.9</v>
      </c>
      <c r="AX495" s="14">
        <v>50400.0</v>
      </c>
      <c r="AY495" s="14">
        <v>0.5</v>
      </c>
      <c r="AZ495" s="14">
        <v>0.007</v>
      </c>
      <c r="BA495" s="14">
        <f t="shared" si="1"/>
        <v>13.407</v>
      </c>
    </row>
    <row r="496" ht="14.25" customHeight="1">
      <c r="A496" s="10" t="s">
        <v>794</v>
      </c>
      <c r="B496" s="12" t="s">
        <v>116</v>
      </c>
      <c r="C496" s="12"/>
      <c r="D496" s="12"/>
      <c r="E496" s="44">
        <v>44467.0</v>
      </c>
      <c r="F496" s="29">
        <v>1.0</v>
      </c>
      <c r="G496" s="12" t="s">
        <v>795</v>
      </c>
      <c r="H496" s="45">
        <v>0.58333333333212</v>
      </c>
      <c r="I496" s="45">
        <v>0.666666666667879</v>
      </c>
      <c r="J496" s="12">
        <v>1.8</v>
      </c>
      <c r="K496" s="12">
        <v>0.07</v>
      </c>
      <c r="L496" s="14">
        <v>14.439</v>
      </c>
      <c r="M496" s="14">
        <v>13.856</v>
      </c>
      <c r="N496" s="14">
        <v>14.539</v>
      </c>
      <c r="O496" s="14">
        <v>13.726</v>
      </c>
      <c r="P496" s="14">
        <v>14.096</v>
      </c>
      <c r="Q496" s="14">
        <v>14.131200000000002</v>
      </c>
      <c r="R496" s="20">
        <v>9.69</v>
      </c>
      <c r="S496" s="20">
        <v>9.76</v>
      </c>
      <c r="T496" s="20">
        <v>9.78</v>
      </c>
      <c r="U496" s="20">
        <v>9.76</v>
      </c>
      <c r="V496" s="20">
        <v>9.69</v>
      </c>
      <c r="W496" s="14">
        <v>9.735999999999999</v>
      </c>
      <c r="X496" s="14">
        <v>21.4</v>
      </c>
      <c r="Y496" s="14">
        <v>20.9</v>
      </c>
      <c r="Z496" s="14">
        <v>20.1</v>
      </c>
      <c r="AA496" s="14">
        <v>19.6</v>
      </c>
      <c r="AB496" s="14">
        <v>19.5</v>
      </c>
      <c r="AC496" s="14">
        <v>20.3</v>
      </c>
      <c r="AD496" s="20">
        <v>344.0</v>
      </c>
      <c r="AE496" s="20">
        <v>346.0</v>
      </c>
      <c r="AF496" s="20">
        <v>356.0</v>
      </c>
      <c r="AG496" s="20">
        <v>333.0</v>
      </c>
      <c r="AH496" s="20">
        <v>337.0</v>
      </c>
      <c r="AI496" s="14">
        <v>343.2</v>
      </c>
      <c r="AJ496" s="14">
        <v>13.07</v>
      </c>
      <c r="AK496" s="14">
        <v>11.59</v>
      </c>
      <c r="AL496" s="14">
        <v>11.22</v>
      </c>
      <c r="AM496" s="14">
        <v>11.89</v>
      </c>
      <c r="AN496" s="14">
        <v>11.83</v>
      </c>
      <c r="AO496" s="14">
        <v>11.92</v>
      </c>
      <c r="AP496" s="14">
        <v>23.0</v>
      </c>
      <c r="AQ496" s="14">
        <v>41.0</v>
      </c>
      <c r="AR496" s="14">
        <v>10.0</v>
      </c>
      <c r="AS496" s="14">
        <v>1.2</v>
      </c>
      <c r="AT496" s="14">
        <v>0.15</v>
      </c>
      <c r="AU496" s="14">
        <v>10220.0</v>
      </c>
      <c r="AV496" s="14">
        <v>0.74</v>
      </c>
      <c r="AW496" s="14">
        <v>6.4</v>
      </c>
      <c r="AX496" s="14">
        <v>548.0</v>
      </c>
      <c r="AY496" s="14">
        <v>1.6</v>
      </c>
      <c r="AZ496" s="14">
        <v>0.352</v>
      </c>
      <c r="BA496" s="14">
        <f t="shared" si="1"/>
        <v>8.352</v>
      </c>
    </row>
    <row r="497" ht="14.25" customHeight="1">
      <c r="A497" s="10" t="s">
        <v>796</v>
      </c>
      <c r="B497" s="12" t="s">
        <v>114</v>
      </c>
      <c r="C497" s="12"/>
      <c r="D497" s="12"/>
      <c r="E497" s="44">
        <v>44468.0</v>
      </c>
      <c r="F497" s="29">
        <v>1.0</v>
      </c>
      <c r="G497" s="12" t="s">
        <v>797</v>
      </c>
      <c r="H497" s="45">
        <v>0.58333333333212</v>
      </c>
      <c r="I497" s="45">
        <v>0.666666666667879</v>
      </c>
      <c r="J497" s="12">
        <v>3.3</v>
      </c>
      <c r="K497" s="12">
        <v>0.07</v>
      </c>
      <c r="L497" s="14">
        <v>12.4</v>
      </c>
      <c r="M497" s="14">
        <v>12.817</v>
      </c>
      <c r="N497" s="14">
        <v>11.6</v>
      </c>
      <c r="O497" s="14" t="s">
        <v>161</v>
      </c>
      <c r="P497" s="14" t="s">
        <v>161</v>
      </c>
      <c r="Q497" s="14">
        <v>12.272333333333334</v>
      </c>
      <c r="R497" s="20">
        <v>7.43</v>
      </c>
      <c r="S497" s="20">
        <v>7.28</v>
      </c>
      <c r="T497" s="20">
        <v>7.42</v>
      </c>
      <c r="U497" s="20" t="s">
        <v>161</v>
      </c>
      <c r="V497" s="20" t="s">
        <v>161</v>
      </c>
      <c r="W497" s="14">
        <v>7.376666666666668</v>
      </c>
      <c r="X497" s="14">
        <v>22.6</v>
      </c>
      <c r="Y497" s="14">
        <v>20.1</v>
      </c>
      <c r="Z497" s="14">
        <v>22.6</v>
      </c>
      <c r="AA497" s="14" t="s">
        <v>161</v>
      </c>
      <c r="AB497" s="14" t="s">
        <v>161</v>
      </c>
      <c r="AC497" s="14">
        <v>21.76666666666667</v>
      </c>
      <c r="AD497" s="20">
        <v>292.0</v>
      </c>
      <c r="AE497" s="20">
        <v>287.0</v>
      </c>
      <c r="AF497" s="20">
        <v>351.0</v>
      </c>
      <c r="AG497" s="20" t="s">
        <v>161</v>
      </c>
      <c r="AH497" s="20" t="s">
        <v>161</v>
      </c>
      <c r="AI497" s="14">
        <v>310.0</v>
      </c>
      <c r="AJ497" s="14">
        <v>3.61</v>
      </c>
      <c r="AK497" s="14">
        <v>2.4</v>
      </c>
      <c r="AL497" s="14">
        <v>4.12</v>
      </c>
      <c r="AM497" s="14" t="s">
        <v>161</v>
      </c>
      <c r="AN497" s="14" t="s">
        <v>161</v>
      </c>
      <c r="AO497" s="14">
        <v>3.3766666666666665</v>
      </c>
      <c r="AP497" s="14">
        <v>13.0</v>
      </c>
      <c r="AQ497" s="14">
        <v>24.0</v>
      </c>
      <c r="AR497" s="14">
        <v>10.0</v>
      </c>
      <c r="AS497" s="14">
        <v>1.2</v>
      </c>
      <c r="AT497" s="14">
        <v>0.15</v>
      </c>
      <c r="AU497" s="14">
        <v>98300.0</v>
      </c>
      <c r="AV497" s="14">
        <v>0.17</v>
      </c>
      <c r="AW497" s="14">
        <v>4.2</v>
      </c>
      <c r="AX497" s="14">
        <v>6130.0</v>
      </c>
      <c r="AY497" s="14">
        <v>0.5</v>
      </c>
      <c r="AZ497" s="14">
        <v>0.007</v>
      </c>
      <c r="BA497" s="14">
        <f t="shared" si="1"/>
        <v>4.707</v>
      </c>
    </row>
    <row r="498" ht="14.25" customHeight="1">
      <c r="A498" s="10" t="s">
        <v>798</v>
      </c>
      <c r="B498" s="12" t="s">
        <v>89</v>
      </c>
      <c r="C498" s="12"/>
      <c r="D498" s="12"/>
      <c r="E498" s="44">
        <v>44468.0</v>
      </c>
      <c r="F498" s="29">
        <v>1.0</v>
      </c>
      <c r="G498" s="12" t="s">
        <v>799</v>
      </c>
      <c r="H498" s="45">
        <v>0.33333333333212</v>
      </c>
      <c r="I498" s="45">
        <v>0.416666666667879</v>
      </c>
      <c r="J498" s="12">
        <v>4.2</v>
      </c>
      <c r="K498" s="12">
        <v>0.11</v>
      </c>
      <c r="L498" s="14">
        <v>59.201</v>
      </c>
      <c r="M498" s="14">
        <v>63.867</v>
      </c>
      <c r="N498" s="14">
        <v>65.978</v>
      </c>
      <c r="O498" s="14">
        <v>65.589</v>
      </c>
      <c r="P498" s="14">
        <v>61.45</v>
      </c>
      <c r="Q498" s="14">
        <v>63.217</v>
      </c>
      <c r="R498" s="20">
        <v>7.43</v>
      </c>
      <c r="S498" s="20">
        <v>7.57</v>
      </c>
      <c r="T498" s="20">
        <v>7.66</v>
      </c>
      <c r="U498" s="20">
        <v>7.82</v>
      </c>
      <c r="V498" s="20">
        <v>7.91</v>
      </c>
      <c r="W498" s="14">
        <v>7.678</v>
      </c>
      <c r="X498" s="14">
        <v>17.7</v>
      </c>
      <c r="Y498" s="14">
        <v>18.9</v>
      </c>
      <c r="Z498" s="14">
        <v>20.2</v>
      </c>
      <c r="AA498" s="14">
        <v>21.6</v>
      </c>
      <c r="AB498" s="14">
        <v>22.1</v>
      </c>
      <c r="AC498" s="14">
        <v>20.1</v>
      </c>
      <c r="AD498" s="20">
        <v>284.0</v>
      </c>
      <c r="AE498" s="20">
        <v>290.0</v>
      </c>
      <c r="AF498" s="20">
        <v>287.0</v>
      </c>
      <c r="AG498" s="20">
        <v>281.0</v>
      </c>
      <c r="AH498" s="20">
        <v>290.0</v>
      </c>
      <c r="AI498" s="14">
        <v>286.4</v>
      </c>
      <c r="AJ498" s="14">
        <v>3.13</v>
      </c>
      <c r="AK498" s="14">
        <v>2.7</v>
      </c>
      <c r="AL498" s="14">
        <v>3.85</v>
      </c>
      <c r="AM498" s="14">
        <v>3.1</v>
      </c>
      <c r="AN498" s="14">
        <v>4.68</v>
      </c>
      <c r="AO498" s="14">
        <v>3.492</v>
      </c>
      <c r="AP498" s="14">
        <v>16.0</v>
      </c>
      <c r="AQ498" s="14">
        <v>27.0</v>
      </c>
      <c r="AR498" s="14">
        <v>15.0</v>
      </c>
      <c r="AS498" s="14">
        <v>1.2</v>
      </c>
      <c r="AT498" s="14">
        <v>0.28</v>
      </c>
      <c r="AU498" s="14">
        <v>78300.0</v>
      </c>
      <c r="AV498" s="14">
        <v>0.52</v>
      </c>
      <c r="AW498" s="14">
        <v>6.4</v>
      </c>
      <c r="AX498" s="14">
        <v>5200.0</v>
      </c>
      <c r="AY498" s="14">
        <v>0.8</v>
      </c>
      <c r="AZ498" s="14">
        <v>0.184</v>
      </c>
      <c r="BA498" s="14">
        <f t="shared" si="1"/>
        <v>7.384</v>
      </c>
    </row>
    <row r="499" ht="14.25" customHeight="1">
      <c r="A499" s="10" t="s">
        <v>800</v>
      </c>
      <c r="B499" s="12" t="s">
        <v>87</v>
      </c>
      <c r="C499" s="12"/>
      <c r="D499" s="12"/>
      <c r="E499" s="44">
        <v>44468.0</v>
      </c>
      <c r="F499" s="29">
        <v>1.0</v>
      </c>
      <c r="G499" s="12" t="s">
        <v>801</v>
      </c>
      <c r="H499" s="45">
        <v>0.33333333333212</v>
      </c>
      <c r="I499" s="45">
        <v>0.416666666667879</v>
      </c>
      <c r="J499" s="12">
        <v>10.0</v>
      </c>
      <c r="K499" s="12">
        <v>0.69</v>
      </c>
      <c r="L499" s="14">
        <v>644.544</v>
      </c>
      <c r="M499" s="14">
        <v>585.098</v>
      </c>
      <c r="N499" s="14">
        <v>562.742</v>
      </c>
      <c r="O499" s="14">
        <v>598.868</v>
      </c>
      <c r="P499" s="14">
        <v>663.773</v>
      </c>
      <c r="Q499" s="14">
        <v>611.005</v>
      </c>
      <c r="R499" s="20">
        <v>6.92</v>
      </c>
      <c r="S499" s="20">
        <v>6.72</v>
      </c>
      <c r="T499" s="20">
        <v>6.64</v>
      </c>
      <c r="U499" s="20">
        <v>6.71</v>
      </c>
      <c r="V499" s="20">
        <v>6.63</v>
      </c>
      <c r="W499" s="14">
        <v>6.724000000000001</v>
      </c>
      <c r="X499" s="14">
        <v>15.4</v>
      </c>
      <c r="Y499" s="14">
        <v>15.0</v>
      </c>
      <c r="Z499" s="14">
        <v>14.6</v>
      </c>
      <c r="AA499" s="14">
        <v>14.6</v>
      </c>
      <c r="AB499" s="14">
        <v>14.7</v>
      </c>
      <c r="AC499" s="14">
        <v>14.86</v>
      </c>
      <c r="AD499" s="20">
        <v>278.0</v>
      </c>
      <c r="AE499" s="20">
        <v>285.0</v>
      </c>
      <c r="AF499" s="20">
        <v>288.0</v>
      </c>
      <c r="AG499" s="20">
        <v>301.0</v>
      </c>
      <c r="AH499" s="20">
        <v>304.0</v>
      </c>
      <c r="AI499" s="14">
        <v>291.2</v>
      </c>
      <c r="AJ499" s="14">
        <v>0.8</v>
      </c>
      <c r="AK499" s="14">
        <v>1.26</v>
      </c>
      <c r="AL499" s="14">
        <v>1.07</v>
      </c>
      <c r="AM499" s="14">
        <v>1.35</v>
      </c>
      <c r="AN499" s="14">
        <v>1.27</v>
      </c>
      <c r="AO499" s="14">
        <v>1.15</v>
      </c>
      <c r="AP499" s="14">
        <v>45.0</v>
      </c>
      <c r="AQ499" s="14">
        <v>76.0</v>
      </c>
      <c r="AR499" s="14">
        <v>49.0</v>
      </c>
      <c r="AS499" s="14">
        <v>1.2</v>
      </c>
      <c r="AT499" s="14">
        <v>0.36</v>
      </c>
      <c r="AU499" s="14">
        <v>155200.0</v>
      </c>
      <c r="AV499" s="14">
        <v>1.17</v>
      </c>
      <c r="AW499" s="14">
        <v>2.2</v>
      </c>
      <c r="AX499" s="14">
        <v>80100.0</v>
      </c>
      <c r="AY499" s="14">
        <v>0.8</v>
      </c>
      <c r="AZ499" s="14">
        <v>0.007</v>
      </c>
      <c r="BA499" s="14">
        <f t="shared" si="1"/>
        <v>3.007</v>
      </c>
    </row>
    <row r="500" ht="14.25" customHeight="1">
      <c r="A500" s="10" t="s">
        <v>802</v>
      </c>
      <c r="B500" s="12" t="s">
        <v>81</v>
      </c>
      <c r="C500" s="12"/>
      <c r="D500" s="12"/>
      <c r="E500" s="44">
        <v>44468.0</v>
      </c>
      <c r="F500" s="29">
        <v>1.0</v>
      </c>
      <c r="G500" s="12" t="s">
        <v>803</v>
      </c>
      <c r="H500" s="45">
        <v>0.58333333333212</v>
      </c>
      <c r="I500" s="45">
        <v>0.666666666667879</v>
      </c>
      <c r="J500" s="12">
        <v>4.4</v>
      </c>
      <c r="K500" s="12">
        <v>0.13</v>
      </c>
      <c r="L500" s="14">
        <v>30.381</v>
      </c>
      <c r="M500" s="14">
        <v>29.908</v>
      </c>
      <c r="N500" s="14">
        <v>31.129</v>
      </c>
      <c r="O500" s="14">
        <v>27.794</v>
      </c>
      <c r="P500" s="14">
        <v>29.329</v>
      </c>
      <c r="Q500" s="14">
        <v>29.708199999999998</v>
      </c>
      <c r="R500" s="20">
        <v>9.07</v>
      </c>
      <c r="S500" s="20">
        <v>9.14</v>
      </c>
      <c r="T500" s="20">
        <v>9.08</v>
      </c>
      <c r="U500" s="20">
        <v>8.78</v>
      </c>
      <c r="V500" s="20">
        <v>8.52</v>
      </c>
      <c r="W500" s="14">
        <v>8.918000000000001</v>
      </c>
      <c r="X500" s="14">
        <v>22.5</v>
      </c>
      <c r="Y500" s="14">
        <v>22.6</v>
      </c>
      <c r="Z500" s="14">
        <v>22.7</v>
      </c>
      <c r="AA500" s="14">
        <v>18.8</v>
      </c>
      <c r="AB500" s="14">
        <v>18.5</v>
      </c>
      <c r="AC500" s="14">
        <v>21.02</v>
      </c>
      <c r="AD500" s="20">
        <v>343.0</v>
      </c>
      <c r="AE500" s="20">
        <v>322.0</v>
      </c>
      <c r="AF500" s="20">
        <v>355.0</v>
      </c>
      <c r="AG500" s="20">
        <v>356.0</v>
      </c>
      <c r="AH500" s="20">
        <v>373.0</v>
      </c>
      <c r="AI500" s="14">
        <v>349.8</v>
      </c>
      <c r="AJ500" s="14">
        <v>11.54</v>
      </c>
      <c r="AK500" s="14">
        <v>12.82</v>
      </c>
      <c r="AL500" s="14">
        <v>10.77</v>
      </c>
      <c r="AM500" s="14">
        <v>7.67</v>
      </c>
      <c r="AN500" s="14">
        <v>5.23</v>
      </c>
      <c r="AO500" s="14">
        <v>9.606</v>
      </c>
      <c r="AP500" s="14">
        <v>16.0</v>
      </c>
      <c r="AQ500" s="14">
        <v>41.0</v>
      </c>
      <c r="AR500" s="14">
        <v>18.0</v>
      </c>
      <c r="AS500" s="14">
        <v>1.2</v>
      </c>
      <c r="AT500" s="14">
        <v>0.78</v>
      </c>
      <c r="AU500" s="14">
        <v>88600.0</v>
      </c>
      <c r="AV500" s="14">
        <v>0.52</v>
      </c>
      <c r="AW500" s="14">
        <v>4.8</v>
      </c>
      <c r="AX500" s="14">
        <v>6970.0</v>
      </c>
      <c r="AY500" s="14">
        <v>0.9</v>
      </c>
      <c r="AZ500" s="14">
        <v>0.377</v>
      </c>
      <c r="BA500" s="14">
        <f t="shared" si="1"/>
        <v>6.077</v>
      </c>
    </row>
    <row r="501" ht="14.25" customHeight="1">
      <c r="A501" s="10" t="s">
        <v>804</v>
      </c>
      <c r="B501" s="12" t="s">
        <v>91</v>
      </c>
      <c r="C501" s="12"/>
      <c r="D501" s="12"/>
      <c r="E501" s="44">
        <v>44470.0</v>
      </c>
      <c r="F501" s="29">
        <v>1.0</v>
      </c>
      <c r="G501" s="12" t="s">
        <v>805</v>
      </c>
      <c r="H501" s="45">
        <v>0.25</v>
      </c>
      <c r="I501" s="45">
        <v>0.33333333333212</v>
      </c>
      <c r="J501" s="12">
        <v>6.2</v>
      </c>
      <c r="K501" s="12">
        <v>0.56</v>
      </c>
      <c r="L501" s="14">
        <v>249.735</v>
      </c>
      <c r="M501" s="14">
        <v>263.78</v>
      </c>
      <c r="N501" s="14">
        <v>236.258</v>
      </c>
      <c r="O501" s="14">
        <v>292.235</v>
      </c>
      <c r="P501" s="14">
        <v>245.656</v>
      </c>
      <c r="Q501" s="14">
        <v>257.5328</v>
      </c>
      <c r="R501" s="20">
        <v>6.86</v>
      </c>
      <c r="S501" s="20">
        <v>6.84</v>
      </c>
      <c r="T501" s="20">
        <v>6.82</v>
      </c>
      <c r="U501" s="20">
        <v>6.72</v>
      </c>
      <c r="V501" s="20">
        <v>6.75</v>
      </c>
      <c r="W501" s="14">
        <v>6.797999999999999</v>
      </c>
      <c r="X501" s="14">
        <v>14.4</v>
      </c>
      <c r="Y501" s="14">
        <v>14.2</v>
      </c>
      <c r="Z501" s="14">
        <v>14.1</v>
      </c>
      <c r="AA501" s="14">
        <v>14.1</v>
      </c>
      <c r="AB501" s="14">
        <v>14.2</v>
      </c>
      <c r="AC501" s="14">
        <v>14.2</v>
      </c>
      <c r="AD501" s="20">
        <v>377.0</v>
      </c>
      <c r="AE501" s="20">
        <v>379.0</v>
      </c>
      <c r="AF501" s="20">
        <v>375.0</v>
      </c>
      <c r="AG501" s="20">
        <v>369.0</v>
      </c>
      <c r="AH501" s="20">
        <v>340.0</v>
      </c>
      <c r="AI501" s="14">
        <v>368.0</v>
      </c>
      <c r="AJ501" s="14">
        <v>0.78</v>
      </c>
      <c r="AK501" s="14">
        <v>0.61</v>
      </c>
      <c r="AL501" s="14">
        <v>0.98</v>
      </c>
      <c r="AM501" s="14">
        <v>0.99</v>
      </c>
      <c r="AN501" s="14">
        <v>0.57</v>
      </c>
      <c r="AO501" s="14">
        <v>0.786</v>
      </c>
      <c r="AP501" s="14">
        <v>106.0</v>
      </c>
      <c r="AQ501" s="14">
        <v>189.0</v>
      </c>
      <c r="AR501" s="14">
        <v>21.0</v>
      </c>
      <c r="AS501" s="14">
        <v>1.2</v>
      </c>
      <c r="AT501" s="14">
        <v>1.59</v>
      </c>
      <c r="AU501" s="14">
        <v>1.284E7</v>
      </c>
      <c r="AV501" s="14">
        <v>1.52</v>
      </c>
      <c r="AW501" s="14">
        <v>16.5</v>
      </c>
      <c r="AX501" s="14">
        <v>1250.0</v>
      </c>
      <c r="AY501" s="14">
        <v>1.3</v>
      </c>
      <c r="AZ501" s="14">
        <v>0.007</v>
      </c>
      <c r="BA501" s="14">
        <f t="shared" si="1"/>
        <v>17.807</v>
      </c>
    </row>
    <row r="502" ht="14.25" customHeight="1">
      <c r="A502" s="10" t="s">
        <v>806</v>
      </c>
      <c r="B502" s="12" t="s">
        <v>129</v>
      </c>
      <c r="C502" s="12"/>
      <c r="D502" s="12"/>
      <c r="E502" s="44">
        <v>44502.0</v>
      </c>
      <c r="F502" s="29">
        <v>1.0</v>
      </c>
      <c r="G502" s="12" t="s">
        <v>807</v>
      </c>
      <c r="H502" s="45">
        <v>0.666666666667879</v>
      </c>
      <c r="I502" s="45">
        <v>0.75</v>
      </c>
      <c r="J502" s="12">
        <v>6.8</v>
      </c>
      <c r="K502" s="12">
        <v>0.16</v>
      </c>
      <c r="L502" s="14">
        <v>123.047</v>
      </c>
      <c r="M502" s="14">
        <v>125.004</v>
      </c>
      <c r="N502" s="14">
        <v>115.059</v>
      </c>
      <c r="O502" s="14">
        <v>119.452</v>
      </c>
      <c r="P502" s="14">
        <v>120.62</v>
      </c>
      <c r="Q502" s="14">
        <v>120.63640000000001</v>
      </c>
      <c r="R502" s="20">
        <v>7.39</v>
      </c>
      <c r="S502" s="20">
        <v>7.36</v>
      </c>
      <c r="T502" s="20">
        <v>7.31</v>
      </c>
      <c r="U502" s="20">
        <v>7.32</v>
      </c>
      <c r="V502" s="20">
        <v>7.25</v>
      </c>
      <c r="W502" s="14">
        <v>7.325999999999999</v>
      </c>
      <c r="X502" s="14">
        <v>18.9</v>
      </c>
      <c r="Y502" s="14">
        <v>18.2</v>
      </c>
      <c r="Z502" s="14">
        <v>17.7</v>
      </c>
      <c r="AA502" s="14">
        <v>17.3</v>
      </c>
      <c r="AB502" s="14">
        <v>16.9</v>
      </c>
      <c r="AC502" s="14">
        <v>17.8</v>
      </c>
      <c r="AD502" s="20">
        <v>232.0</v>
      </c>
      <c r="AE502" s="20">
        <v>229.0</v>
      </c>
      <c r="AF502" s="20">
        <v>227.0</v>
      </c>
      <c r="AG502" s="20">
        <v>222.0</v>
      </c>
      <c r="AH502" s="20">
        <v>226.0</v>
      </c>
      <c r="AI502" s="14">
        <v>227.2</v>
      </c>
      <c r="AJ502" s="14">
        <v>7.41</v>
      </c>
      <c r="AK502" s="14">
        <v>6.8</v>
      </c>
      <c r="AL502" s="14">
        <v>7.42</v>
      </c>
      <c r="AM502" s="14">
        <v>7.06</v>
      </c>
      <c r="AN502" s="14">
        <v>6.75</v>
      </c>
      <c r="AO502" s="14">
        <v>7.087999999999999</v>
      </c>
      <c r="AP502" s="14">
        <v>4.0</v>
      </c>
      <c r="AQ502" s="14">
        <v>24.0</v>
      </c>
      <c r="AR502" s="14">
        <v>14.0</v>
      </c>
      <c r="AS502" s="14">
        <v>1.2</v>
      </c>
      <c r="AT502" s="14">
        <v>0.14</v>
      </c>
      <c r="AU502" s="14">
        <v>1.354E7</v>
      </c>
      <c r="AV502" s="14">
        <v>0.17</v>
      </c>
      <c r="AW502" s="14">
        <v>4.2</v>
      </c>
      <c r="AX502" s="14">
        <v>1.32E7</v>
      </c>
      <c r="AY502" s="14">
        <v>1.4</v>
      </c>
      <c r="AZ502" s="14">
        <v>0.368</v>
      </c>
      <c r="BA502" s="14">
        <f t="shared" si="1"/>
        <v>5.968</v>
      </c>
    </row>
    <row r="503" ht="14.25" customHeight="1">
      <c r="A503" s="10" t="s">
        <v>808</v>
      </c>
      <c r="B503" s="12" t="s">
        <v>118</v>
      </c>
      <c r="C503" s="12"/>
      <c r="D503" s="12"/>
      <c r="E503" s="44">
        <v>44502.0</v>
      </c>
      <c r="F503" s="29">
        <v>1.0</v>
      </c>
      <c r="G503" s="12" t="s">
        <v>809</v>
      </c>
      <c r="H503" s="45">
        <v>0.5</v>
      </c>
      <c r="I503" s="45">
        <v>0.58333333333212</v>
      </c>
      <c r="J503" s="12">
        <v>1.15</v>
      </c>
      <c r="K503" s="12">
        <v>0.1</v>
      </c>
      <c r="L503" s="14">
        <v>32.808</v>
      </c>
      <c r="M503" s="14">
        <v>32.685</v>
      </c>
      <c r="N503" s="14">
        <v>32.784</v>
      </c>
      <c r="O503" s="14">
        <v>33.137</v>
      </c>
      <c r="P503" s="14">
        <v>33.288</v>
      </c>
      <c r="Q503" s="14">
        <v>32.9404</v>
      </c>
      <c r="R503" s="20">
        <v>6.68</v>
      </c>
      <c r="S503" s="20">
        <v>6.72</v>
      </c>
      <c r="T503" s="20">
        <v>6.79</v>
      </c>
      <c r="U503" s="20">
        <v>6.8</v>
      </c>
      <c r="V503" s="20">
        <v>6.69</v>
      </c>
      <c r="W503" s="14">
        <v>6.736</v>
      </c>
      <c r="X503" s="14">
        <v>16.1</v>
      </c>
      <c r="Y503" s="14">
        <v>15.9</v>
      </c>
      <c r="Z503" s="14">
        <v>15.7</v>
      </c>
      <c r="AA503" s="14">
        <v>15.7</v>
      </c>
      <c r="AB503" s="14">
        <v>15.6</v>
      </c>
      <c r="AC503" s="14">
        <v>15.8</v>
      </c>
      <c r="AD503" s="20">
        <v>123.9</v>
      </c>
      <c r="AE503" s="20">
        <v>133.9</v>
      </c>
      <c r="AF503" s="20">
        <v>128.8</v>
      </c>
      <c r="AG503" s="20">
        <v>133.3</v>
      </c>
      <c r="AH503" s="20">
        <v>123.9</v>
      </c>
      <c r="AI503" s="14">
        <v>128.76000000000002</v>
      </c>
      <c r="AJ503" s="14">
        <v>3.26</v>
      </c>
      <c r="AK503" s="14">
        <v>4.48</v>
      </c>
      <c r="AL503" s="14">
        <v>5.03</v>
      </c>
      <c r="AM503" s="14">
        <v>4.94</v>
      </c>
      <c r="AN503" s="14">
        <v>4.89</v>
      </c>
      <c r="AO503" s="14">
        <v>4.5200000000000005</v>
      </c>
      <c r="AP503" s="14">
        <v>3.0</v>
      </c>
      <c r="AQ503" s="14">
        <v>17.0</v>
      </c>
      <c r="AR503" s="14">
        <v>28.0</v>
      </c>
      <c r="AS503" s="14">
        <v>1.2</v>
      </c>
      <c r="AT503" s="14">
        <v>0.07</v>
      </c>
      <c r="AU503" s="14">
        <v>1.483E7</v>
      </c>
      <c r="AV503" s="14">
        <v>0.23</v>
      </c>
      <c r="AW503" s="14">
        <v>3.6</v>
      </c>
      <c r="AX503" s="14">
        <v>1.408E7</v>
      </c>
      <c r="AY503" s="14">
        <v>0.6</v>
      </c>
      <c r="AZ503" s="14">
        <v>0.107</v>
      </c>
      <c r="BA503" s="14">
        <f t="shared" si="1"/>
        <v>4.307</v>
      </c>
    </row>
    <row r="504" ht="14.25" customHeight="1">
      <c r="A504" s="10" t="s">
        <v>810</v>
      </c>
      <c r="B504" s="12" t="s">
        <v>74</v>
      </c>
      <c r="C504" s="12"/>
      <c r="D504" s="12"/>
      <c r="E504" s="44">
        <v>44496.0</v>
      </c>
      <c r="F504" s="29">
        <v>1.0</v>
      </c>
      <c r="G504" s="12" t="s">
        <v>811</v>
      </c>
      <c r="H504" s="45">
        <v>0.666666666667879</v>
      </c>
      <c r="I504" s="45">
        <v>0.75</v>
      </c>
      <c r="J504" s="12">
        <v>1.1</v>
      </c>
      <c r="K504" s="12">
        <v>0.24</v>
      </c>
      <c r="L504" s="14">
        <v>43.102</v>
      </c>
      <c r="M504" s="14">
        <v>42.57</v>
      </c>
      <c r="N504" s="14">
        <v>43.034</v>
      </c>
      <c r="O504" s="14">
        <v>44.186</v>
      </c>
      <c r="P504" s="14">
        <v>45.423</v>
      </c>
      <c r="Q504" s="14">
        <v>43.663</v>
      </c>
      <c r="R504" s="20">
        <v>7.67</v>
      </c>
      <c r="S504" s="20">
        <v>7.72</v>
      </c>
      <c r="T504" s="20">
        <v>7.75</v>
      </c>
      <c r="U504" s="20">
        <v>7.79</v>
      </c>
      <c r="V504" s="20">
        <v>7.78</v>
      </c>
      <c r="W504" s="14">
        <v>7.742</v>
      </c>
      <c r="X504" s="14">
        <v>12.3</v>
      </c>
      <c r="Y504" s="14">
        <v>12.1</v>
      </c>
      <c r="Z504" s="14">
        <v>12.4</v>
      </c>
      <c r="AA504" s="14">
        <v>12.1</v>
      </c>
      <c r="AB504" s="14">
        <v>12.0</v>
      </c>
      <c r="AC504" s="14">
        <v>12.18</v>
      </c>
      <c r="AD504" s="20">
        <v>443.0</v>
      </c>
      <c r="AE504" s="20">
        <v>442.0</v>
      </c>
      <c r="AF504" s="20">
        <v>485.0</v>
      </c>
      <c r="AG504" s="20">
        <v>488.0</v>
      </c>
      <c r="AH504" s="20">
        <v>486.0</v>
      </c>
      <c r="AI504" s="14">
        <v>468.8</v>
      </c>
      <c r="AJ504" s="14">
        <v>5.78</v>
      </c>
      <c r="AK504" s="14">
        <v>5.76</v>
      </c>
      <c r="AL504" s="14">
        <v>5.7</v>
      </c>
      <c r="AM504" s="14">
        <v>5.75</v>
      </c>
      <c r="AN504" s="14">
        <v>5.7</v>
      </c>
      <c r="AO504" s="14">
        <v>5.7379999999999995</v>
      </c>
      <c r="AP504" s="14">
        <v>50.0</v>
      </c>
      <c r="AQ504" s="14">
        <v>92.0</v>
      </c>
      <c r="AR504" s="14">
        <v>28.0</v>
      </c>
      <c r="AS504" s="14">
        <v>21.0</v>
      </c>
      <c r="AT504" s="14">
        <v>2.96</v>
      </c>
      <c r="AU504" s="14">
        <v>1.309E7</v>
      </c>
      <c r="AV504" s="14">
        <v>1.43</v>
      </c>
      <c r="AW504" s="14">
        <v>10.9</v>
      </c>
      <c r="AX504" s="14">
        <v>602000.0</v>
      </c>
      <c r="AY504" s="14">
        <v>0.5</v>
      </c>
      <c r="AZ504" s="14">
        <v>0.007</v>
      </c>
      <c r="BA504" s="14">
        <f t="shared" si="1"/>
        <v>11.407</v>
      </c>
    </row>
    <row r="505" ht="14.25" customHeight="1">
      <c r="A505" s="10" t="s">
        <v>812</v>
      </c>
      <c r="B505" s="12" t="s">
        <v>102</v>
      </c>
      <c r="C505" s="12"/>
      <c r="D505" s="12"/>
      <c r="E505" s="44">
        <v>44496.0</v>
      </c>
      <c r="F505" s="29">
        <v>1.0</v>
      </c>
      <c r="G505" s="12" t="s">
        <v>813</v>
      </c>
      <c r="H505" s="45">
        <v>0.58333333333212</v>
      </c>
      <c r="I505" s="45">
        <v>0.666666666667879</v>
      </c>
      <c r="J505" s="12">
        <v>3.5</v>
      </c>
      <c r="K505" s="12">
        <v>0.12</v>
      </c>
      <c r="L505" s="14">
        <v>78.667</v>
      </c>
      <c r="M505" s="14">
        <v>79.686</v>
      </c>
      <c r="N505" s="14">
        <v>76.564</v>
      </c>
      <c r="O505" s="14">
        <v>81.443</v>
      </c>
      <c r="P505" s="14">
        <v>78.149</v>
      </c>
      <c r="Q505" s="14">
        <v>78.90180000000001</v>
      </c>
      <c r="R505" s="20">
        <v>7.71</v>
      </c>
      <c r="S505" s="20">
        <v>7.69</v>
      </c>
      <c r="T505" s="20">
        <v>7.67</v>
      </c>
      <c r="U505" s="20">
        <v>7.67</v>
      </c>
      <c r="V505" s="20">
        <v>7.66</v>
      </c>
      <c r="W505" s="14">
        <v>7.6800000000000015</v>
      </c>
      <c r="X505" s="14">
        <v>13.0</v>
      </c>
      <c r="Y505" s="14">
        <v>12.7</v>
      </c>
      <c r="Z505" s="14">
        <v>12.8</v>
      </c>
      <c r="AA505" s="14">
        <v>12.8</v>
      </c>
      <c r="AB505" s="14">
        <v>13.0</v>
      </c>
      <c r="AC505" s="14">
        <v>12.86</v>
      </c>
      <c r="AD505" s="20">
        <v>465.0</v>
      </c>
      <c r="AE505" s="20">
        <v>471.0</v>
      </c>
      <c r="AF505" s="20">
        <v>471.0</v>
      </c>
      <c r="AG505" s="20">
        <v>474.0</v>
      </c>
      <c r="AH505" s="20">
        <v>475.0</v>
      </c>
      <c r="AI505" s="14">
        <v>471.2</v>
      </c>
      <c r="AJ505" s="14">
        <v>6.63</v>
      </c>
      <c r="AK505" s="14">
        <v>6.11</v>
      </c>
      <c r="AL505" s="14">
        <v>5.79</v>
      </c>
      <c r="AM505" s="14">
        <v>5.9</v>
      </c>
      <c r="AN505" s="14">
        <v>5.91</v>
      </c>
      <c r="AO505" s="14">
        <v>6.068</v>
      </c>
      <c r="AP505" s="14">
        <v>25.0</v>
      </c>
      <c r="AQ505" s="14">
        <v>64.0</v>
      </c>
      <c r="AR505" s="14">
        <v>23.0</v>
      </c>
      <c r="AS505" s="14">
        <v>1.2</v>
      </c>
      <c r="AT505" s="14">
        <v>1.07</v>
      </c>
      <c r="AU505" s="14">
        <v>1.178E7</v>
      </c>
      <c r="AV505" s="14">
        <v>1.22</v>
      </c>
      <c r="AW505" s="14">
        <v>23.0</v>
      </c>
      <c r="AX505" s="14">
        <v>644000.0</v>
      </c>
      <c r="AY505" s="14">
        <v>0.5</v>
      </c>
      <c r="AZ505" s="14">
        <v>0.007</v>
      </c>
      <c r="BA505" s="14">
        <f t="shared" si="1"/>
        <v>23.507</v>
      </c>
    </row>
    <row r="506" ht="14.25" customHeight="1">
      <c r="A506" s="10" t="s">
        <v>814</v>
      </c>
      <c r="B506" s="12" t="s">
        <v>120</v>
      </c>
      <c r="C506" s="12"/>
      <c r="D506" s="12"/>
      <c r="E506" s="44">
        <v>44502.0</v>
      </c>
      <c r="F506" s="29">
        <v>1.0</v>
      </c>
      <c r="G506" s="12" t="s">
        <v>815</v>
      </c>
      <c r="H506" s="45">
        <v>0.666666666667879</v>
      </c>
      <c r="I506" s="45">
        <v>0.75</v>
      </c>
      <c r="J506" s="12">
        <v>5.1</v>
      </c>
      <c r="K506" s="12">
        <v>0.11</v>
      </c>
      <c r="L506" s="14">
        <v>79.781</v>
      </c>
      <c r="M506" s="14">
        <v>80.512</v>
      </c>
      <c r="N506" s="14">
        <v>79.048</v>
      </c>
      <c r="O506" s="14">
        <v>79.664</v>
      </c>
      <c r="P506" s="14">
        <v>81.038</v>
      </c>
      <c r="Q506" s="14">
        <v>80.0086</v>
      </c>
      <c r="R506" s="20">
        <v>7.59</v>
      </c>
      <c r="S506" s="20">
        <v>7.28</v>
      </c>
      <c r="T506" s="20">
        <v>7.02</v>
      </c>
      <c r="U506" s="20">
        <v>6.82</v>
      </c>
      <c r="V506" s="20">
        <v>6.86</v>
      </c>
      <c r="W506" s="14">
        <v>7.114</v>
      </c>
      <c r="X506" s="14">
        <v>20.8</v>
      </c>
      <c r="Y506" s="14">
        <v>19.7</v>
      </c>
      <c r="Z506" s="14">
        <v>18.4</v>
      </c>
      <c r="AA506" s="14">
        <v>17.7</v>
      </c>
      <c r="AB506" s="14">
        <v>17.3</v>
      </c>
      <c r="AC506" s="14">
        <v>18.779999999999998</v>
      </c>
      <c r="AD506" s="20">
        <v>269.0</v>
      </c>
      <c r="AE506" s="20">
        <v>225.0</v>
      </c>
      <c r="AF506" s="20">
        <v>206.0</v>
      </c>
      <c r="AG506" s="20">
        <v>188.8</v>
      </c>
      <c r="AH506" s="20">
        <v>188.5</v>
      </c>
      <c r="AI506" s="14">
        <v>215.45999999999998</v>
      </c>
      <c r="AJ506" s="14">
        <v>4.04</v>
      </c>
      <c r="AK506" s="14">
        <v>3.91</v>
      </c>
      <c r="AL506" s="14">
        <v>5.47</v>
      </c>
      <c r="AM506" s="14">
        <v>5.2</v>
      </c>
      <c r="AN506" s="14">
        <v>4.97</v>
      </c>
      <c r="AO506" s="14">
        <v>4.718</v>
      </c>
      <c r="AP506" s="14">
        <v>8.0</v>
      </c>
      <c r="AQ506" s="14">
        <v>22.0</v>
      </c>
      <c r="AR506" s="14">
        <v>22.0</v>
      </c>
      <c r="AS506" s="14">
        <v>1.2</v>
      </c>
      <c r="AT506" s="14">
        <v>0.07</v>
      </c>
      <c r="AU506" s="14">
        <v>1.679E7</v>
      </c>
      <c r="AV506" s="14">
        <v>0.32</v>
      </c>
      <c r="AW506" s="14">
        <v>5.3</v>
      </c>
      <c r="AX506" s="14">
        <v>1.585E7</v>
      </c>
      <c r="AY506" s="14">
        <v>1.4</v>
      </c>
      <c r="AZ506" s="14">
        <v>0.317</v>
      </c>
      <c r="BA506" s="14">
        <f t="shared" si="1"/>
        <v>7.017</v>
      </c>
    </row>
    <row r="507" ht="14.25" customHeight="1">
      <c r="A507" s="10" t="s">
        <v>816</v>
      </c>
      <c r="B507" s="12" t="s">
        <v>53</v>
      </c>
      <c r="C507" s="12"/>
      <c r="D507" s="12"/>
      <c r="E507" s="44">
        <v>44477.0</v>
      </c>
      <c r="F507" s="29">
        <v>1.0</v>
      </c>
      <c r="G507" s="12" t="s">
        <v>817</v>
      </c>
      <c r="H507" s="45">
        <v>0.33333333333212</v>
      </c>
      <c r="I507" s="45">
        <v>0.416666666667879</v>
      </c>
      <c r="J507" s="12">
        <v>2.0</v>
      </c>
      <c r="K507" s="12">
        <v>0.05</v>
      </c>
      <c r="L507" s="14">
        <v>25.917</v>
      </c>
      <c r="M507" s="14">
        <v>26.208</v>
      </c>
      <c r="N507" s="14">
        <v>27.009</v>
      </c>
      <c r="O507" s="14">
        <v>26.78</v>
      </c>
      <c r="P507" s="14">
        <v>27.357</v>
      </c>
      <c r="Q507" s="14">
        <v>26.654200000000003</v>
      </c>
      <c r="R507" s="20">
        <v>8.03</v>
      </c>
      <c r="S507" s="20">
        <v>7.83</v>
      </c>
      <c r="T507" s="20">
        <v>7.83</v>
      </c>
      <c r="U507" s="20">
        <v>7.84</v>
      </c>
      <c r="V507" s="20">
        <v>7.79</v>
      </c>
      <c r="W507" s="14">
        <v>7.864</v>
      </c>
      <c r="X507" s="14">
        <v>15.2</v>
      </c>
      <c r="Y507" s="14">
        <v>15.7</v>
      </c>
      <c r="Z507" s="14">
        <v>15.8</v>
      </c>
      <c r="AA507" s="14">
        <v>15.9</v>
      </c>
      <c r="AB507" s="14">
        <v>16.7</v>
      </c>
      <c r="AC507" s="14">
        <v>15.86</v>
      </c>
      <c r="AD507" s="20">
        <v>266.0</v>
      </c>
      <c r="AE507" s="20">
        <v>255.0</v>
      </c>
      <c r="AF507" s="20">
        <v>254.0</v>
      </c>
      <c r="AG507" s="20">
        <v>225.0</v>
      </c>
      <c r="AH507" s="20">
        <v>254.0</v>
      </c>
      <c r="AI507" s="14">
        <v>250.8</v>
      </c>
      <c r="AJ507" s="14">
        <v>2.86</v>
      </c>
      <c r="AK507" s="14">
        <v>6.19</v>
      </c>
      <c r="AL507" s="14">
        <v>6.41</v>
      </c>
      <c r="AM507" s="14">
        <v>5.1</v>
      </c>
      <c r="AN507" s="14">
        <v>4.92</v>
      </c>
      <c r="AO507" s="14">
        <v>5.096000000000001</v>
      </c>
      <c r="AP507" s="14">
        <v>13.0</v>
      </c>
      <c r="AQ507" s="14">
        <v>38.0</v>
      </c>
      <c r="AR507" s="14">
        <v>40.0</v>
      </c>
      <c r="AS507" s="14">
        <v>1.2</v>
      </c>
      <c r="AT507" s="14">
        <v>0.14</v>
      </c>
      <c r="AU507" s="14">
        <v>153900.0</v>
      </c>
      <c r="AV507" s="14">
        <v>0.95</v>
      </c>
      <c r="AW507" s="14">
        <v>9.5</v>
      </c>
      <c r="AX507" s="14">
        <v>1086.0</v>
      </c>
      <c r="AY507" s="14">
        <v>4.4</v>
      </c>
      <c r="AZ507" s="14">
        <v>0.216</v>
      </c>
      <c r="BA507" s="14">
        <f t="shared" si="1"/>
        <v>14.116</v>
      </c>
    </row>
    <row r="508" ht="14.25" customHeight="1">
      <c r="A508" s="10" t="s">
        <v>818</v>
      </c>
      <c r="B508" s="12" t="s">
        <v>55</v>
      </c>
      <c r="C508" s="12"/>
      <c r="D508" s="12"/>
      <c r="E508" s="44">
        <v>44477.0</v>
      </c>
      <c r="F508" s="29">
        <v>1.0</v>
      </c>
      <c r="G508" s="12" t="s">
        <v>819</v>
      </c>
      <c r="H508" s="45">
        <v>0.33333333333212</v>
      </c>
      <c r="I508" s="45">
        <v>0.416666666667879</v>
      </c>
      <c r="J508" s="12">
        <v>3.0</v>
      </c>
      <c r="K508" s="12">
        <v>0.16</v>
      </c>
      <c r="L508" s="14">
        <v>99.796</v>
      </c>
      <c r="M508" s="14">
        <v>104.955</v>
      </c>
      <c r="N508" s="14">
        <v>107.425</v>
      </c>
      <c r="O508" s="14">
        <v>107.137</v>
      </c>
      <c r="P508" s="14">
        <v>109.32</v>
      </c>
      <c r="Q508" s="14">
        <v>105.7266</v>
      </c>
      <c r="R508" s="20">
        <v>7.42</v>
      </c>
      <c r="S508" s="20">
        <v>7.45</v>
      </c>
      <c r="T508" s="20">
        <v>7.3</v>
      </c>
      <c r="U508" s="20">
        <v>7.04</v>
      </c>
      <c r="V508" s="20">
        <v>7.57</v>
      </c>
      <c r="W508" s="14">
        <v>7.356</v>
      </c>
      <c r="X508" s="14">
        <v>13.2</v>
      </c>
      <c r="Y508" s="14">
        <v>13.6</v>
      </c>
      <c r="Z508" s="14">
        <v>14.1</v>
      </c>
      <c r="AA508" s="14">
        <v>15.1</v>
      </c>
      <c r="AB508" s="14">
        <v>16.0</v>
      </c>
      <c r="AC508" s="14">
        <v>14.4</v>
      </c>
      <c r="AD508" s="20">
        <v>564.0</v>
      </c>
      <c r="AE508" s="20">
        <v>677.0</v>
      </c>
      <c r="AF508" s="20">
        <v>766.0</v>
      </c>
      <c r="AG508" s="20">
        <v>849.0</v>
      </c>
      <c r="AH508" s="20">
        <v>902.0</v>
      </c>
      <c r="AI508" s="14">
        <v>751.6</v>
      </c>
      <c r="AJ508" s="14">
        <v>3.25</v>
      </c>
      <c r="AK508" s="14">
        <v>3.29</v>
      </c>
      <c r="AL508" s="14">
        <v>3.11</v>
      </c>
      <c r="AM508" s="14">
        <v>2.67</v>
      </c>
      <c r="AN508" s="14">
        <v>2.34</v>
      </c>
      <c r="AO508" s="14">
        <v>2.932</v>
      </c>
      <c r="AP508" s="14">
        <v>75.0</v>
      </c>
      <c r="AQ508" s="14">
        <v>156.0</v>
      </c>
      <c r="AR508" s="14">
        <v>108.0</v>
      </c>
      <c r="AS508" s="14">
        <v>1.2</v>
      </c>
      <c r="AT508" s="14">
        <v>2.12</v>
      </c>
      <c r="AU508" s="14">
        <v>7540000.0</v>
      </c>
      <c r="AV508" s="14">
        <v>4.15</v>
      </c>
      <c r="AW508" s="14">
        <v>41.2</v>
      </c>
      <c r="AX508" s="14">
        <v>629000.0</v>
      </c>
      <c r="AY508" s="14">
        <v>0.6</v>
      </c>
      <c r="AZ508" s="14">
        <v>0.007</v>
      </c>
      <c r="BA508" s="14">
        <f t="shared" si="1"/>
        <v>41.807</v>
      </c>
    </row>
    <row r="509" ht="14.25" customHeight="1">
      <c r="A509" s="10" t="s">
        <v>820</v>
      </c>
      <c r="B509" s="12" t="s">
        <v>59</v>
      </c>
      <c r="C509" s="12"/>
      <c r="D509" s="12"/>
      <c r="E509" s="44">
        <v>44477.0</v>
      </c>
      <c r="F509" s="29">
        <v>1.0</v>
      </c>
      <c r="G509" s="12" t="s">
        <v>821</v>
      </c>
      <c r="H509" s="45">
        <v>0.58333333333212</v>
      </c>
      <c r="I509" s="45">
        <v>0.666666666667879</v>
      </c>
      <c r="J509" s="12">
        <v>1.6</v>
      </c>
      <c r="K509" s="12">
        <v>0.26</v>
      </c>
      <c r="L509" s="14">
        <v>82.816</v>
      </c>
      <c r="M509" s="14">
        <v>83.176</v>
      </c>
      <c r="N509" s="14">
        <v>84.064</v>
      </c>
      <c r="O509" s="14">
        <v>82.186</v>
      </c>
      <c r="P509" s="14">
        <v>81.266</v>
      </c>
      <c r="Q509" s="14">
        <v>82.70160000000001</v>
      </c>
      <c r="R509" s="20">
        <v>7.54</v>
      </c>
      <c r="S509" s="20">
        <v>7.51</v>
      </c>
      <c r="T509" s="20">
        <v>7.44</v>
      </c>
      <c r="U509" s="20">
        <v>7.42</v>
      </c>
      <c r="V509" s="20">
        <v>7.46</v>
      </c>
      <c r="W509" s="14">
        <v>7.474000000000001</v>
      </c>
      <c r="X509" s="14">
        <v>18.0</v>
      </c>
      <c r="Y509" s="14">
        <v>17.7</v>
      </c>
      <c r="Z509" s="14">
        <v>17.8</v>
      </c>
      <c r="AA509" s="14">
        <v>17.6</v>
      </c>
      <c r="AB509" s="14">
        <v>15.6</v>
      </c>
      <c r="AC509" s="14">
        <v>17.339999999999996</v>
      </c>
      <c r="AD509" s="20">
        <v>632.0</v>
      </c>
      <c r="AE509" s="20">
        <v>637.0</v>
      </c>
      <c r="AF509" s="20">
        <v>641.0</v>
      </c>
      <c r="AG509" s="20">
        <v>638.0</v>
      </c>
      <c r="AH509" s="20">
        <v>637.0</v>
      </c>
      <c r="AI509" s="14">
        <v>637.0</v>
      </c>
      <c r="AJ509" s="14">
        <v>2.49</v>
      </c>
      <c r="AK509" s="14">
        <v>2.54</v>
      </c>
      <c r="AL509" s="14">
        <v>2.12</v>
      </c>
      <c r="AM509" s="14">
        <v>2.54</v>
      </c>
      <c r="AN509" s="14">
        <v>2.56</v>
      </c>
      <c r="AO509" s="14">
        <v>2.45</v>
      </c>
      <c r="AP509" s="14">
        <v>184.0</v>
      </c>
      <c r="AQ509" s="14">
        <v>225.0</v>
      </c>
      <c r="AR509" s="14">
        <v>136.0</v>
      </c>
      <c r="AS509" s="14">
        <v>1.2</v>
      </c>
      <c r="AT509" s="14">
        <v>3.56</v>
      </c>
      <c r="AU509" s="14">
        <v>1.43E7</v>
      </c>
      <c r="AV509" s="14">
        <v>2.94</v>
      </c>
      <c r="AW509" s="14">
        <v>25.2</v>
      </c>
      <c r="AX509" s="14">
        <v>629000.0</v>
      </c>
      <c r="AY509" s="14">
        <v>0.7</v>
      </c>
      <c r="AZ509" s="14">
        <v>0.007</v>
      </c>
      <c r="BA509" s="14">
        <f t="shared" si="1"/>
        <v>25.907</v>
      </c>
    </row>
    <row r="510" ht="14.25" customHeight="1">
      <c r="A510" s="10" t="s">
        <v>822</v>
      </c>
      <c r="B510" s="12" t="s">
        <v>104</v>
      </c>
      <c r="C510" s="12"/>
      <c r="D510" s="12"/>
      <c r="E510" s="44">
        <v>44491.0</v>
      </c>
      <c r="F510" s="29">
        <v>1.0</v>
      </c>
      <c r="G510" s="12" t="s">
        <v>823</v>
      </c>
      <c r="H510" s="45">
        <v>0.416666666667879</v>
      </c>
      <c r="I510" s="45">
        <v>0.5</v>
      </c>
      <c r="J510" s="12">
        <v>0.9</v>
      </c>
      <c r="K510" s="12">
        <v>0.14</v>
      </c>
      <c r="L510" s="14">
        <v>44.87</v>
      </c>
      <c r="M510" s="14">
        <v>47.848</v>
      </c>
      <c r="N510" s="14">
        <v>44.508</v>
      </c>
      <c r="O510" s="14">
        <v>43.968</v>
      </c>
      <c r="P510" s="14">
        <v>40.078</v>
      </c>
      <c r="Q510" s="14">
        <v>44.254400000000004</v>
      </c>
      <c r="R510" s="20">
        <v>8.62</v>
      </c>
      <c r="S510" s="20">
        <v>9.37</v>
      </c>
      <c r="T510" s="20">
        <v>8.4</v>
      </c>
      <c r="U510" s="20">
        <v>8.13</v>
      </c>
      <c r="V510" s="20">
        <v>7.99</v>
      </c>
      <c r="W510" s="14">
        <v>8.502</v>
      </c>
      <c r="X510" s="14">
        <v>15.9</v>
      </c>
      <c r="Y510" s="14">
        <v>14.7</v>
      </c>
      <c r="Z510" s="14">
        <v>14.3</v>
      </c>
      <c r="AA510" s="14">
        <v>17.0</v>
      </c>
      <c r="AB510" s="14">
        <v>15.5</v>
      </c>
      <c r="AC510" s="14">
        <v>15.48</v>
      </c>
      <c r="AD510" s="20">
        <v>575.0</v>
      </c>
      <c r="AE510" s="20">
        <v>623.0</v>
      </c>
      <c r="AF510" s="20">
        <v>608.0</v>
      </c>
      <c r="AG510" s="20">
        <v>640.0</v>
      </c>
      <c r="AH510" s="20">
        <v>625.0</v>
      </c>
      <c r="AI510" s="14">
        <v>614.2</v>
      </c>
      <c r="AJ510" s="14">
        <v>4.87</v>
      </c>
      <c r="AK510" s="14">
        <v>6.35</v>
      </c>
      <c r="AL510" s="14">
        <v>5.3</v>
      </c>
      <c r="AM510" s="14">
        <v>4.86</v>
      </c>
      <c r="AN510" s="14">
        <v>4.88</v>
      </c>
      <c r="AO510" s="14">
        <v>5.252</v>
      </c>
      <c r="AP510" s="14">
        <v>72.0</v>
      </c>
      <c r="AQ510" s="14">
        <v>284.0</v>
      </c>
      <c r="AR510" s="14">
        <v>1670.0</v>
      </c>
      <c r="AS510" s="14">
        <v>34.0</v>
      </c>
      <c r="AT510" s="14">
        <v>0.13</v>
      </c>
      <c r="AU510" s="14">
        <v>9570000.0</v>
      </c>
      <c r="AV510" s="14">
        <v>2.12</v>
      </c>
      <c r="AW510" s="14">
        <v>31.9</v>
      </c>
      <c r="AX510" s="14">
        <v>668000.0</v>
      </c>
      <c r="AY510" s="14">
        <v>1.9</v>
      </c>
      <c r="AZ510" s="14">
        <v>0.007</v>
      </c>
      <c r="BA510" s="14">
        <f t="shared" si="1"/>
        <v>33.807</v>
      </c>
    </row>
    <row r="511" ht="14.25" customHeight="1">
      <c r="A511" s="10" t="s">
        <v>824</v>
      </c>
      <c r="B511" s="12" t="s">
        <v>126</v>
      </c>
      <c r="C511" s="12"/>
      <c r="D511" s="12"/>
      <c r="E511" s="44">
        <v>44491.0</v>
      </c>
      <c r="F511" s="29">
        <v>1.0</v>
      </c>
      <c r="G511" s="12" t="s">
        <v>825</v>
      </c>
      <c r="H511" s="45">
        <v>0.58333333333212</v>
      </c>
      <c r="I511" s="45">
        <v>0.666666666667879</v>
      </c>
      <c r="J511" s="12">
        <v>1.0</v>
      </c>
      <c r="K511" s="12">
        <v>0.1</v>
      </c>
      <c r="L511" s="14">
        <v>31.621</v>
      </c>
      <c r="M511" s="14">
        <v>31.097</v>
      </c>
      <c r="N511" s="14">
        <v>30.28</v>
      </c>
      <c r="O511" s="14">
        <v>30.846</v>
      </c>
      <c r="P511" s="14">
        <v>30.123</v>
      </c>
      <c r="Q511" s="14">
        <v>30.793400000000002</v>
      </c>
      <c r="R511" s="20">
        <v>7.63</v>
      </c>
      <c r="S511" s="20">
        <v>7.54</v>
      </c>
      <c r="T511" s="20">
        <v>7.53</v>
      </c>
      <c r="U511" s="20">
        <v>7.25</v>
      </c>
      <c r="V511" s="20">
        <v>7.51</v>
      </c>
      <c r="W511" s="14">
        <v>7.492</v>
      </c>
      <c r="X511" s="14">
        <v>14.7</v>
      </c>
      <c r="Y511" s="14">
        <v>14.6</v>
      </c>
      <c r="Z511" s="14">
        <v>14.5</v>
      </c>
      <c r="AA511" s="14">
        <v>14.2</v>
      </c>
      <c r="AB511" s="14">
        <v>14.1</v>
      </c>
      <c r="AC511" s="14">
        <v>14.419999999999998</v>
      </c>
      <c r="AD511" s="20">
        <v>607.0</v>
      </c>
      <c r="AE511" s="20">
        <v>620.0</v>
      </c>
      <c r="AF511" s="20">
        <v>586.0</v>
      </c>
      <c r="AG511" s="20">
        <v>585.0</v>
      </c>
      <c r="AH511" s="20">
        <v>568.0</v>
      </c>
      <c r="AI511" s="14">
        <v>593.2</v>
      </c>
      <c r="AJ511" s="14">
        <v>4.49</v>
      </c>
      <c r="AK511" s="14">
        <v>4.26</v>
      </c>
      <c r="AL511" s="14">
        <v>4.28</v>
      </c>
      <c r="AM511" s="14">
        <v>4.36</v>
      </c>
      <c r="AN511" s="14">
        <v>4.27</v>
      </c>
      <c r="AO511" s="14">
        <v>4.332</v>
      </c>
      <c r="AP511" s="14">
        <v>74.0</v>
      </c>
      <c r="AQ511" s="14">
        <v>168.0</v>
      </c>
      <c r="AR511" s="14">
        <v>284.0</v>
      </c>
      <c r="AS511" s="14">
        <v>29.0</v>
      </c>
      <c r="AT511" s="14">
        <v>0.31</v>
      </c>
      <c r="AU511" s="14">
        <v>1.232E8</v>
      </c>
      <c r="AV511" s="14">
        <v>2.54</v>
      </c>
      <c r="AW511" s="14">
        <v>29.1</v>
      </c>
      <c r="AX511" s="14">
        <v>957000.0</v>
      </c>
      <c r="AY511" s="14">
        <v>1.0</v>
      </c>
      <c r="AZ511" s="14">
        <v>0.007</v>
      </c>
      <c r="BA511" s="14">
        <f t="shared" si="1"/>
        <v>30.107</v>
      </c>
    </row>
    <row r="512" ht="14.25" customHeight="1">
      <c r="A512" s="10" t="s">
        <v>826</v>
      </c>
      <c r="B512" s="12" t="s">
        <v>131</v>
      </c>
      <c r="C512" s="12"/>
      <c r="D512" s="12"/>
      <c r="E512" s="44">
        <v>44491.0</v>
      </c>
      <c r="F512" s="29">
        <v>1.0</v>
      </c>
      <c r="G512" s="12" t="s">
        <v>827</v>
      </c>
      <c r="H512" s="45">
        <v>0.33333333333212</v>
      </c>
      <c r="I512" s="45">
        <v>0.416666666667879</v>
      </c>
      <c r="J512" s="12">
        <v>3.1</v>
      </c>
      <c r="K512" s="12">
        <v>0.56</v>
      </c>
      <c r="L512" s="14">
        <v>302.111</v>
      </c>
      <c r="M512" s="14">
        <v>314.114</v>
      </c>
      <c r="N512" s="14">
        <v>317.729</v>
      </c>
      <c r="O512" s="14">
        <v>323.28</v>
      </c>
      <c r="P512" s="14">
        <v>317.839</v>
      </c>
      <c r="Q512" s="14">
        <v>315.0146</v>
      </c>
      <c r="R512" s="20">
        <v>8.06</v>
      </c>
      <c r="S512" s="20">
        <v>7.88</v>
      </c>
      <c r="T512" s="20">
        <v>7.87</v>
      </c>
      <c r="U512" s="20">
        <v>7.83</v>
      </c>
      <c r="V512" s="20">
        <v>7.81</v>
      </c>
      <c r="W512" s="14">
        <v>7.890000000000001</v>
      </c>
      <c r="X512" s="14">
        <v>13.3</v>
      </c>
      <c r="Y512" s="14">
        <v>13.0</v>
      </c>
      <c r="Z512" s="14">
        <v>15.5</v>
      </c>
      <c r="AA512" s="14">
        <v>14.8</v>
      </c>
      <c r="AB512" s="14">
        <v>14.8</v>
      </c>
      <c r="AC512" s="14">
        <v>14.279999999999998</v>
      </c>
      <c r="AD512" s="20">
        <v>169.8</v>
      </c>
      <c r="AE512" s="20">
        <v>189.7</v>
      </c>
      <c r="AF512" s="20">
        <v>171.9</v>
      </c>
      <c r="AG512" s="20">
        <v>171.4</v>
      </c>
      <c r="AH512" s="20">
        <v>180.9</v>
      </c>
      <c r="AI512" s="14">
        <v>176.73999999999998</v>
      </c>
      <c r="AJ512" s="14">
        <v>5.22</v>
      </c>
      <c r="AK512" s="14">
        <v>5.37</v>
      </c>
      <c r="AL512" s="14">
        <v>4.44</v>
      </c>
      <c r="AM512" s="14">
        <v>4.77</v>
      </c>
      <c r="AN512" s="14">
        <v>5.0</v>
      </c>
      <c r="AO512" s="14">
        <v>4.96</v>
      </c>
      <c r="AP512" s="14">
        <v>15.0</v>
      </c>
      <c r="AQ512" s="14">
        <v>45.0</v>
      </c>
      <c r="AR512" s="14">
        <v>37.0</v>
      </c>
      <c r="AS512" s="14">
        <v>1.2</v>
      </c>
      <c r="AT512" s="14">
        <v>0.21</v>
      </c>
      <c r="AU512" s="14">
        <v>1.423E8</v>
      </c>
      <c r="AV512" s="14">
        <v>1.17</v>
      </c>
      <c r="AW512" s="14">
        <v>12.9</v>
      </c>
      <c r="AX512" s="14">
        <v>79200.0</v>
      </c>
      <c r="AY512" s="14">
        <v>0.3</v>
      </c>
      <c r="AZ512" s="14">
        <v>0.029</v>
      </c>
      <c r="BA512" s="14">
        <f t="shared" si="1"/>
        <v>13.229</v>
      </c>
    </row>
    <row r="513" ht="14.25" customHeight="1">
      <c r="A513" s="10" t="s">
        <v>828</v>
      </c>
      <c r="B513" s="12" t="s">
        <v>91</v>
      </c>
      <c r="C513" s="12"/>
      <c r="D513" s="12"/>
      <c r="E513" s="44">
        <v>44498.0</v>
      </c>
      <c r="F513" s="29">
        <v>1.0</v>
      </c>
      <c r="G513" s="12" t="s">
        <v>829</v>
      </c>
      <c r="H513" s="45">
        <v>0.416666666667879</v>
      </c>
      <c r="I513" s="45">
        <v>0.5</v>
      </c>
      <c r="J513" s="12">
        <v>6.2</v>
      </c>
      <c r="K513" s="12">
        <v>0.58</v>
      </c>
      <c r="L513" s="14">
        <v>371.78</v>
      </c>
      <c r="M513" s="14">
        <v>367.598</v>
      </c>
      <c r="N513" s="14">
        <v>371.481</v>
      </c>
      <c r="O513" s="14">
        <v>371.481</v>
      </c>
      <c r="P513" s="14">
        <v>375.962</v>
      </c>
      <c r="Q513" s="14">
        <v>371.6604</v>
      </c>
      <c r="R513" s="20">
        <v>6.69</v>
      </c>
      <c r="S513" s="20">
        <v>6.66</v>
      </c>
      <c r="T513" s="20">
        <v>6.7</v>
      </c>
      <c r="U513" s="20">
        <v>6.71</v>
      </c>
      <c r="V513" s="20">
        <v>6.72</v>
      </c>
      <c r="W513" s="14">
        <v>6.696000000000001</v>
      </c>
      <c r="X513" s="14">
        <v>17.7</v>
      </c>
      <c r="Y513" s="14">
        <v>17.8</v>
      </c>
      <c r="Z513" s="14">
        <v>17.5</v>
      </c>
      <c r="AA513" s="14">
        <v>17.4</v>
      </c>
      <c r="AB513" s="14">
        <v>17.4</v>
      </c>
      <c r="AC513" s="14">
        <v>17.560000000000002</v>
      </c>
      <c r="AD513" s="20">
        <v>249.0</v>
      </c>
      <c r="AE513" s="20">
        <v>231.0</v>
      </c>
      <c r="AF513" s="20">
        <v>251.0</v>
      </c>
      <c r="AG513" s="20">
        <v>255.0</v>
      </c>
      <c r="AH513" s="20">
        <v>267.0</v>
      </c>
      <c r="AI513" s="14">
        <v>250.6</v>
      </c>
      <c r="AJ513" s="14">
        <v>0.93</v>
      </c>
      <c r="AK513" s="14">
        <v>0.9</v>
      </c>
      <c r="AL513" s="14">
        <v>0.81</v>
      </c>
      <c r="AM513" s="14">
        <v>0.95</v>
      </c>
      <c r="AN513" s="14">
        <v>1.0</v>
      </c>
      <c r="AO513" s="14">
        <v>0.9179999999999999</v>
      </c>
      <c r="AP513" s="14">
        <v>10.0</v>
      </c>
      <c r="AQ513" s="14">
        <v>33.0</v>
      </c>
      <c r="AR513" s="14">
        <v>15.0</v>
      </c>
      <c r="AS513" s="14">
        <v>1.2</v>
      </c>
      <c r="AT513" s="14">
        <v>0.07</v>
      </c>
      <c r="AU513" s="14">
        <v>1414000.0</v>
      </c>
      <c r="AV513" s="14">
        <v>0.8</v>
      </c>
      <c r="AW513" s="14">
        <v>9.0</v>
      </c>
      <c r="AX513" s="14">
        <v>110600.0</v>
      </c>
      <c r="AY513" s="14">
        <v>0.2</v>
      </c>
      <c r="AZ513" s="14">
        <v>0.007</v>
      </c>
      <c r="BA513" s="14">
        <f t="shared" si="1"/>
        <v>9.207</v>
      </c>
    </row>
    <row r="514" ht="14.25" customHeight="1">
      <c r="A514" s="10" t="s">
        <v>830</v>
      </c>
      <c r="B514" s="12" t="s">
        <v>89</v>
      </c>
      <c r="C514" s="12"/>
      <c r="D514" s="12"/>
      <c r="E514" s="44">
        <v>44505.0</v>
      </c>
      <c r="F514" s="29">
        <v>1.0</v>
      </c>
      <c r="G514" s="12" t="s">
        <v>831</v>
      </c>
      <c r="H514" s="45">
        <v>0.666666666667879</v>
      </c>
      <c r="I514" s="45">
        <v>0.75</v>
      </c>
      <c r="J514" s="12">
        <v>5.1</v>
      </c>
      <c r="K514" s="12">
        <v>0.09</v>
      </c>
      <c r="L514" s="14">
        <v>118.077</v>
      </c>
      <c r="M514" s="14">
        <v>124.18</v>
      </c>
      <c r="N514" s="14">
        <v>117.018</v>
      </c>
      <c r="O514" s="14">
        <v>113.077</v>
      </c>
      <c r="P514" s="14">
        <v>108.503</v>
      </c>
      <c r="Q514" s="14">
        <v>116.171</v>
      </c>
      <c r="R514" s="20">
        <v>8.22</v>
      </c>
      <c r="S514" s="20">
        <v>8.12</v>
      </c>
      <c r="T514" s="20">
        <v>7.9</v>
      </c>
      <c r="U514" s="20">
        <v>8.09</v>
      </c>
      <c r="V514" s="20">
        <v>7.97</v>
      </c>
      <c r="W514" s="14">
        <v>8.059999999999999</v>
      </c>
      <c r="X514" s="14">
        <v>18.6</v>
      </c>
      <c r="Y514" s="14">
        <v>17.9</v>
      </c>
      <c r="Z514" s="14">
        <v>17.4</v>
      </c>
      <c r="AA514" s="14">
        <v>17.2</v>
      </c>
      <c r="AB514" s="14">
        <v>16.5</v>
      </c>
      <c r="AC514" s="14">
        <v>17.52</v>
      </c>
      <c r="AD514" s="20">
        <v>423.0</v>
      </c>
      <c r="AE514" s="20">
        <v>432.0</v>
      </c>
      <c r="AF514" s="20">
        <v>439.0</v>
      </c>
      <c r="AG514" s="20">
        <v>425.0</v>
      </c>
      <c r="AH514" s="20">
        <v>437.0</v>
      </c>
      <c r="AI514" s="14">
        <v>431.2</v>
      </c>
      <c r="AJ514" s="14">
        <v>6.61</v>
      </c>
      <c r="AK514" s="14">
        <v>4.98</v>
      </c>
      <c r="AL514" s="14">
        <v>5.09</v>
      </c>
      <c r="AM514" s="14">
        <v>6.03</v>
      </c>
      <c r="AN514" s="14">
        <v>5.43</v>
      </c>
      <c r="AO514" s="14">
        <v>5.628</v>
      </c>
      <c r="AP514" s="14">
        <v>10.0</v>
      </c>
      <c r="AQ514" s="14">
        <v>57.0</v>
      </c>
      <c r="AR514" s="14">
        <v>236.0</v>
      </c>
      <c r="AS514" s="14">
        <v>1.2</v>
      </c>
      <c r="AT514" s="14">
        <v>0.07</v>
      </c>
      <c r="AU514" s="14">
        <v>1.01E7</v>
      </c>
      <c r="AV514" s="14">
        <v>1.56</v>
      </c>
      <c r="AW514" s="14">
        <v>13.2</v>
      </c>
      <c r="AX514" s="14">
        <v>9340000.0</v>
      </c>
      <c r="AY514" s="14">
        <v>2.2</v>
      </c>
      <c r="AZ514" s="14">
        <v>0.518</v>
      </c>
      <c r="BA514" s="14">
        <f t="shared" si="1"/>
        <v>15.918</v>
      </c>
    </row>
    <row r="515" ht="14.25" customHeight="1">
      <c r="A515" s="10" t="s">
        <v>832</v>
      </c>
      <c r="B515" s="12" t="s">
        <v>135</v>
      </c>
      <c r="C515" s="12"/>
      <c r="D515" s="12"/>
      <c r="E515" s="44">
        <v>44491.0</v>
      </c>
      <c r="F515" s="29">
        <v>1.0</v>
      </c>
      <c r="G515" s="12" t="s">
        <v>833</v>
      </c>
      <c r="H515" s="45">
        <v>0.5</v>
      </c>
      <c r="I515" s="45">
        <v>0.58333333333212</v>
      </c>
      <c r="J515" s="12">
        <v>2.5</v>
      </c>
      <c r="K515" s="12">
        <v>0.48</v>
      </c>
      <c r="L515" s="14">
        <v>409.701</v>
      </c>
      <c r="M515" s="14">
        <v>418.864</v>
      </c>
      <c r="N515" s="14">
        <v>412.385</v>
      </c>
      <c r="O515" s="14">
        <v>414.055</v>
      </c>
      <c r="P515" s="14">
        <v>416.258</v>
      </c>
      <c r="Q515" s="14">
        <v>414.2526</v>
      </c>
      <c r="R515" s="20">
        <v>7.59</v>
      </c>
      <c r="S515" s="20">
        <v>7.64</v>
      </c>
      <c r="T515" s="20">
        <v>7.6</v>
      </c>
      <c r="U515" s="20">
        <v>7.61</v>
      </c>
      <c r="V515" s="20">
        <v>7.63</v>
      </c>
      <c r="W515" s="14">
        <v>7.614</v>
      </c>
      <c r="X515" s="14">
        <v>17.0</v>
      </c>
      <c r="Y515" s="14">
        <v>16.2</v>
      </c>
      <c r="Z515" s="14">
        <v>16.1</v>
      </c>
      <c r="AA515" s="14">
        <v>16.5</v>
      </c>
      <c r="AB515" s="14">
        <v>16.8</v>
      </c>
      <c r="AC515" s="14">
        <v>16.520000000000003</v>
      </c>
      <c r="AD515" s="20">
        <v>245.0</v>
      </c>
      <c r="AE515" s="20">
        <v>258.0</v>
      </c>
      <c r="AF515" s="20">
        <v>260.0</v>
      </c>
      <c r="AG515" s="20">
        <v>265.0</v>
      </c>
      <c r="AH515" s="20">
        <v>260.0</v>
      </c>
      <c r="AI515" s="14">
        <v>257.6</v>
      </c>
      <c r="AJ515" s="14">
        <v>4.02</v>
      </c>
      <c r="AK515" s="14">
        <v>3.79</v>
      </c>
      <c r="AL515" s="14">
        <v>3.74</v>
      </c>
      <c r="AM515" s="14">
        <v>3.65</v>
      </c>
      <c r="AN515" s="14">
        <v>3.88</v>
      </c>
      <c r="AO515" s="14">
        <v>3.8160000000000003</v>
      </c>
      <c r="AP515" s="14">
        <v>14.0</v>
      </c>
      <c r="AQ515" s="14">
        <v>50.0</v>
      </c>
      <c r="AR515" s="14">
        <v>31.0</v>
      </c>
      <c r="AS515" s="14">
        <v>1.2</v>
      </c>
      <c r="AT515" s="14">
        <v>0.41</v>
      </c>
      <c r="AU515" s="14">
        <v>7760000.0</v>
      </c>
      <c r="AV515" s="14">
        <v>1.18</v>
      </c>
      <c r="AW515" s="14">
        <v>15.4</v>
      </c>
      <c r="AX515" s="14">
        <v>5520.0</v>
      </c>
      <c r="AY515" s="14">
        <v>0.5</v>
      </c>
      <c r="AZ515" s="14">
        <v>0.007</v>
      </c>
      <c r="BA515" s="14">
        <f t="shared" si="1"/>
        <v>15.907</v>
      </c>
    </row>
    <row r="516" ht="14.25" customHeight="1">
      <c r="A516" s="10" t="s">
        <v>834</v>
      </c>
      <c r="B516" s="12" t="s">
        <v>133</v>
      </c>
      <c r="C516" s="12"/>
      <c r="D516" s="12"/>
      <c r="E516" s="44">
        <v>44491.0</v>
      </c>
      <c r="F516" s="29">
        <v>1.0</v>
      </c>
      <c r="G516" s="12" t="s">
        <v>835</v>
      </c>
      <c r="H516" s="45">
        <v>0.666666666667879</v>
      </c>
      <c r="I516" s="45">
        <v>0.75</v>
      </c>
      <c r="J516" s="12">
        <v>4.8</v>
      </c>
      <c r="K516" s="12">
        <v>0.35</v>
      </c>
      <c r="L516" s="14">
        <v>254.695</v>
      </c>
      <c r="M516" s="14">
        <v>262.951</v>
      </c>
      <c r="N516" s="14">
        <v>271.478</v>
      </c>
      <c r="O516" s="14">
        <v>260.424</v>
      </c>
      <c r="P516" s="14">
        <v>259.411</v>
      </c>
      <c r="Q516" s="14">
        <v>261.7918</v>
      </c>
      <c r="R516" s="20">
        <v>7.35</v>
      </c>
      <c r="S516" s="20">
        <v>7.31</v>
      </c>
      <c r="T516" s="20">
        <v>7.2</v>
      </c>
      <c r="U516" s="20">
        <v>7.12</v>
      </c>
      <c r="V516" s="20">
        <v>7.06</v>
      </c>
      <c r="W516" s="14">
        <v>7.208</v>
      </c>
      <c r="X516" s="14">
        <v>14.5</v>
      </c>
      <c r="Y516" s="14">
        <v>13.7</v>
      </c>
      <c r="Z516" s="14">
        <v>13.7</v>
      </c>
      <c r="AA516" s="14">
        <v>13.5</v>
      </c>
      <c r="AB516" s="14">
        <v>13.5</v>
      </c>
      <c r="AC516" s="14">
        <v>13.780000000000001</v>
      </c>
      <c r="AD516" s="20">
        <v>98.8</v>
      </c>
      <c r="AE516" s="20">
        <v>92.0</v>
      </c>
      <c r="AF516" s="20">
        <v>86.3</v>
      </c>
      <c r="AG516" s="20">
        <v>83.7</v>
      </c>
      <c r="AH516" s="20">
        <v>81.1</v>
      </c>
      <c r="AI516" s="14">
        <v>88.38</v>
      </c>
      <c r="AJ516" s="14">
        <v>5.88</v>
      </c>
      <c r="AK516" s="14">
        <v>5.34</v>
      </c>
      <c r="AL516" s="14">
        <v>5.76</v>
      </c>
      <c r="AM516" s="14">
        <v>5.53</v>
      </c>
      <c r="AN516" s="14">
        <v>5.5</v>
      </c>
      <c r="AO516" s="14">
        <v>5.601999999999999</v>
      </c>
      <c r="AP516" s="14">
        <v>5.0</v>
      </c>
      <c r="AQ516" s="14">
        <v>21.0</v>
      </c>
      <c r="AR516" s="14">
        <v>18.0</v>
      </c>
      <c r="AS516" s="14">
        <v>1.2</v>
      </c>
      <c r="AT516" s="14">
        <v>0.07</v>
      </c>
      <c r="AU516" s="14">
        <v>8080.0</v>
      </c>
      <c r="AV516" s="14">
        <v>0.25</v>
      </c>
      <c r="AW516" s="14">
        <v>2.2</v>
      </c>
      <c r="AX516" s="14">
        <v>4910.0</v>
      </c>
      <c r="AY516" s="14">
        <v>0.8</v>
      </c>
      <c r="AZ516" s="14">
        <v>0.025</v>
      </c>
      <c r="BA516" s="14">
        <f t="shared" si="1"/>
        <v>3.025</v>
      </c>
    </row>
    <row r="517" ht="14.25" customHeight="1">
      <c r="A517" s="10" t="s">
        <v>836</v>
      </c>
      <c r="B517" s="12" t="s">
        <v>70</v>
      </c>
      <c r="C517" s="12"/>
      <c r="D517" s="12"/>
      <c r="E517" s="44">
        <v>44504.0</v>
      </c>
      <c r="F517" s="29">
        <v>1.0</v>
      </c>
      <c r="G517" s="12" t="s">
        <v>837</v>
      </c>
      <c r="H517" s="45">
        <v>0.33333333333212</v>
      </c>
      <c r="I517" s="45">
        <v>0.416666666667879</v>
      </c>
      <c r="J517" s="12">
        <v>12.8</v>
      </c>
      <c r="K517" s="12">
        <v>0.69</v>
      </c>
      <c r="L517" s="14">
        <v>896.079</v>
      </c>
      <c r="M517" s="14">
        <v>786.509</v>
      </c>
      <c r="N517" s="14">
        <v>733.135</v>
      </c>
      <c r="O517" s="14">
        <v>668.622</v>
      </c>
      <c r="P517" s="14">
        <v>655.158</v>
      </c>
      <c r="Q517" s="14">
        <v>747.9005999999999</v>
      </c>
      <c r="R517" s="20">
        <v>7.65</v>
      </c>
      <c r="S517" s="20">
        <v>6.93</v>
      </c>
      <c r="T517" s="20">
        <v>7.02</v>
      </c>
      <c r="U517" s="20">
        <v>6.99</v>
      </c>
      <c r="V517" s="20">
        <v>7.01</v>
      </c>
      <c r="W517" s="14">
        <v>7.12</v>
      </c>
      <c r="X517" s="14">
        <v>14.2</v>
      </c>
      <c r="Y517" s="14">
        <v>14.8</v>
      </c>
      <c r="Z517" s="14">
        <v>15.3</v>
      </c>
      <c r="AA517" s="14">
        <v>15.5</v>
      </c>
      <c r="AB517" s="14">
        <v>15.4</v>
      </c>
      <c r="AC517" s="14">
        <v>15.040000000000001</v>
      </c>
      <c r="AD517" s="20">
        <v>257.0</v>
      </c>
      <c r="AE517" s="20">
        <v>259.0</v>
      </c>
      <c r="AF517" s="20">
        <v>270.0</v>
      </c>
      <c r="AG517" s="20">
        <v>243.0</v>
      </c>
      <c r="AH517" s="20">
        <v>242.0</v>
      </c>
      <c r="AI517" s="14">
        <v>254.2</v>
      </c>
      <c r="AJ517" s="14">
        <v>5.17</v>
      </c>
      <c r="AK517" s="14">
        <v>5.13</v>
      </c>
      <c r="AL517" s="14">
        <v>5.5</v>
      </c>
      <c r="AM517" s="14">
        <v>5.54</v>
      </c>
      <c r="AN517" s="14">
        <v>5.52</v>
      </c>
      <c r="AO517" s="14">
        <v>5.372</v>
      </c>
      <c r="AP517" s="14">
        <v>21.0</v>
      </c>
      <c r="AQ517" s="14">
        <v>39.0</v>
      </c>
      <c r="AR517" s="14">
        <v>20.0</v>
      </c>
      <c r="AS517" s="14">
        <v>1.2</v>
      </c>
      <c r="AT517" s="14">
        <v>0.07</v>
      </c>
      <c r="AU517" s="14">
        <v>1.565E7</v>
      </c>
      <c r="AV517" s="14">
        <v>0.87</v>
      </c>
      <c r="AW517" s="14">
        <v>7.8</v>
      </c>
      <c r="AX517" s="14">
        <v>125000.0</v>
      </c>
      <c r="AY517" s="14">
        <v>1.5</v>
      </c>
      <c r="AZ517" s="14">
        <v>0.149</v>
      </c>
      <c r="BA517" s="14">
        <f t="shared" si="1"/>
        <v>9.449</v>
      </c>
    </row>
    <row r="518" ht="14.25" customHeight="1">
      <c r="A518" s="10" t="s">
        <v>838</v>
      </c>
      <c r="B518" s="12" t="s">
        <v>57</v>
      </c>
      <c r="C518" s="12"/>
      <c r="D518" s="12"/>
      <c r="E518" s="44">
        <v>44512.0</v>
      </c>
      <c r="F518" s="29">
        <v>1.0</v>
      </c>
      <c r="G518" s="12" t="s">
        <v>839</v>
      </c>
      <c r="H518" s="45">
        <v>0.58333333333212</v>
      </c>
      <c r="I518" s="45">
        <v>0.666666666667879</v>
      </c>
      <c r="J518" s="12">
        <v>0.8</v>
      </c>
      <c r="K518" s="12">
        <v>0.27</v>
      </c>
      <c r="L518" s="14">
        <v>37.713</v>
      </c>
      <c r="M518" s="14">
        <v>36.884</v>
      </c>
      <c r="N518" s="14">
        <v>37.367</v>
      </c>
      <c r="O518" s="14">
        <v>37.569</v>
      </c>
      <c r="P518" s="14">
        <v>36.506</v>
      </c>
      <c r="Q518" s="14">
        <v>37.207800000000006</v>
      </c>
      <c r="R518" s="20">
        <v>7.84</v>
      </c>
      <c r="S518" s="20">
        <v>7.45</v>
      </c>
      <c r="T518" s="20">
        <v>7.47</v>
      </c>
      <c r="U518" s="20">
        <v>7.43</v>
      </c>
      <c r="V518" s="20">
        <v>7.42</v>
      </c>
      <c r="W518" s="14">
        <v>7.522</v>
      </c>
      <c r="X518" s="14">
        <v>18.1</v>
      </c>
      <c r="Y518" s="14">
        <v>18.6</v>
      </c>
      <c r="Z518" s="14">
        <v>18.1</v>
      </c>
      <c r="AA518" s="14">
        <v>17.8</v>
      </c>
      <c r="AB518" s="14">
        <v>17.3</v>
      </c>
      <c r="AC518" s="14">
        <v>17.98</v>
      </c>
      <c r="AD518" s="20">
        <v>231.0</v>
      </c>
      <c r="AE518" s="20">
        <v>228.0</v>
      </c>
      <c r="AF518" s="20">
        <v>221.0</v>
      </c>
      <c r="AG518" s="20">
        <v>210.0</v>
      </c>
      <c r="AH518" s="20">
        <v>221.0</v>
      </c>
      <c r="AI518" s="14">
        <v>222.2</v>
      </c>
      <c r="AJ518" s="14">
        <v>5.81</v>
      </c>
      <c r="AK518" s="14">
        <v>5.36</v>
      </c>
      <c r="AL518" s="14">
        <v>5.28</v>
      </c>
      <c r="AM518" s="14">
        <v>5.85</v>
      </c>
      <c r="AN518" s="14">
        <v>5.38</v>
      </c>
      <c r="AO518" s="14">
        <v>5.536</v>
      </c>
      <c r="AP518" s="14">
        <v>20.0</v>
      </c>
      <c r="AQ518" s="14">
        <v>65.0</v>
      </c>
      <c r="AR518" s="14">
        <v>115.0</v>
      </c>
      <c r="AS518" s="14">
        <v>1.2</v>
      </c>
      <c r="AT518" s="14">
        <v>0.07</v>
      </c>
      <c r="AU518" s="14">
        <v>1483000.0</v>
      </c>
      <c r="AV518" s="14">
        <v>0.29</v>
      </c>
      <c r="AW518" s="14">
        <v>2.8</v>
      </c>
      <c r="AX518" s="14">
        <v>98400.0</v>
      </c>
      <c r="AY518" s="14">
        <v>1.3</v>
      </c>
      <c r="AZ518" s="14">
        <v>0.023</v>
      </c>
      <c r="BA518" s="14">
        <f t="shared" si="1"/>
        <v>4.123</v>
      </c>
    </row>
    <row r="519" ht="14.25" customHeight="1">
      <c r="A519" s="10" t="s">
        <v>840</v>
      </c>
      <c r="B519" s="12" t="s">
        <v>100</v>
      </c>
      <c r="C519" s="12"/>
      <c r="D519" s="12"/>
      <c r="E519" s="44">
        <v>44496.0</v>
      </c>
      <c r="F519" s="29">
        <v>1.0</v>
      </c>
      <c r="G519" s="12" t="s">
        <v>841</v>
      </c>
      <c r="H519" s="45">
        <v>0.416666666667879</v>
      </c>
      <c r="I519" s="45">
        <v>0.5</v>
      </c>
      <c r="J519" s="12">
        <v>1.6</v>
      </c>
      <c r="K519" s="12">
        <v>0.27</v>
      </c>
      <c r="L519" s="14">
        <v>121.05</v>
      </c>
      <c r="M519" s="14">
        <v>122.09</v>
      </c>
      <c r="N519" s="14">
        <v>123.145</v>
      </c>
      <c r="O519" s="14">
        <v>114.64</v>
      </c>
      <c r="P519" s="14">
        <v>120.844</v>
      </c>
      <c r="Q519" s="14">
        <v>120.3538</v>
      </c>
      <c r="R519" s="20">
        <v>7.47</v>
      </c>
      <c r="S519" s="20">
        <v>7.6</v>
      </c>
      <c r="T519" s="20">
        <v>7.51</v>
      </c>
      <c r="U519" s="20">
        <v>7.38</v>
      </c>
      <c r="V519" s="20">
        <v>7.39</v>
      </c>
      <c r="W519" s="14">
        <v>7.469999999999999</v>
      </c>
      <c r="X519" s="14">
        <v>13.4</v>
      </c>
      <c r="Y519" s="14">
        <v>13.7</v>
      </c>
      <c r="Z519" s="14">
        <v>13.6</v>
      </c>
      <c r="AA519" s="14">
        <v>13.9</v>
      </c>
      <c r="AB519" s="14">
        <v>14.4</v>
      </c>
      <c r="AC519" s="14">
        <v>13.8</v>
      </c>
      <c r="AD519" s="20">
        <v>366.0</v>
      </c>
      <c r="AE519" s="20">
        <v>368.0</v>
      </c>
      <c r="AF519" s="20">
        <v>378.0</v>
      </c>
      <c r="AG519" s="20">
        <v>383.0</v>
      </c>
      <c r="AH519" s="20">
        <v>405.0</v>
      </c>
      <c r="AI519" s="14">
        <v>380.0</v>
      </c>
      <c r="AJ519" s="14">
        <v>4.04</v>
      </c>
      <c r="AK519" s="14">
        <v>3.13</v>
      </c>
      <c r="AL519" s="14">
        <v>3.6</v>
      </c>
      <c r="AM519" s="14">
        <v>3.25</v>
      </c>
      <c r="AN519" s="14">
        <v>3.17</v>
      </c>
      <c r="AO519" s="14">
        <v>3.4379999999999997</v>
      </c>
      <c r="AP519" s="14">
        <v>71.0</v>
      </c>
      <c r="AQ519" s="14">
        <v>104.0</v>
      </c>
      <c r="AR519" s="14">
        <v>70.0</v>
      </c>
      <c r="AS519" s="14">
        <v>1.2</v>
      </c>
      <c r="AT519" s="14">
        <v>2.11</v>
      </c>
      <c r="AU519" s="14">
        <v>1.497E7</v>
      </c>
      <c r="AV519" s="14">
        <v>0.84</v>
      </c>
      <c r="AW519" s="14">
        <v>17.1</v>
      </c>
      <c r="AX519" s="14">
        <v>784000.0</v>
      </c>
      <c r="AY519" s="14">
        <v>0.6</v>
      </c>
      <c r="AZ519" s="14">
        <v>0.007</v>
      </c>
      <c r="BA519" s="14">
        <f t="shared" si="1"/>
        <v>17.707</v>
      </c>
    </row>
    <row r="520" ht="14.25" customHeight="1">
      <c r="A520" s="10" t="s">
        <v>842</v>
      </c>
      <c r="B520" s="12" t="s">
        <v>135</v>
      </c>
      <c r="C520" s="12"/>
      <c r="D520" s="12"/>
      <c r="E520" s="44">
        <v>44517.0</v>
      </c>
      <c r="F520" s="29">
        <v>1.0</v>
      </c>
      <c r="G520" s="12" t="s">
        <v>843</v>
      </c>
      <c r="H520" s="45">
        <v>0.33333333333212</v>
      </c>
      <c r="I520" s="45">
        <v>0.416666666667879</v>
      </c>
      <c r="J520" s="12">
        <v>2.1</v>
      </c>
      <c r="K520" s="12">
        <v>0.41</v>
      </c>
      <c r="L520" s="14">
        <v>199.326</v>
      </c>
      <c r="M520" s="14">
        <v>201.708</v>
      </c>
      <c r="N520" s="14">
        <v>201.313</v>
      </c>
      <c r="O520" s="14">
        <v>202.351</v>
      </c>
      <c r="P520" s="14">
        <v>201.676</v>
      </c>
      <c r="Q520" s="14">
        <v>201.2748</v>
      </c>
      <c r="R520" s="20">
        <v>7.55</v>
      </c>
      <c r="S520" s="20">
        <v>7.54</v>
      </c>
      <c r="T520" s="20">
        <v>7.48</v>
      </c>
      <c r="U520" s="20">
        <v>7.5</v>
      </c>
      <c r="V520" s="20">
        <v>7.46</v>
      </c>
      <c r="W520" s="14">
        <v>7.506</v>
      </c>
      <c r="X520" s="14">
        <v>12.7</v>
      </c>
      <c r="Y520" s="14">
        <v>12.6</v>
      </c>
      <c r="Z520" s="14">
        <v>13.1</v>
      </c>
      <c r="AA520" s="14">
        <v>13.6</v>
      </c>
      <c r="AB520" s="14">
        <v>13.8</v>
      </c>
      <c r="AC520" s="14">
        <v>13.16</v>
      </c>
      <c r="AD520" s="20">
        <v>357.0</v>
      </c>
      <c r="AE520" s="20">
        <v>402.0</v>
      </c>
      <c r="AF520" s="20">
        <v>442.0</v>
      </c>
      <c r="AG520" s="20">
        <v>450.0</v>
      </c>
      <c r="AH520" s="20">
        <v>439.0</v>
      </c>
      <c r="AI520" s="14">
        <v>418.0</v>
      </c>
      <c r="AJ520" s="14">
        <v>4.28</v>
      </c>
      <c r="AK520" s="14">
        <v>3.92</v>
      </c>
      <c r="AL520" s="14">
        <v>3.47</v>
      </c>
      <c r="AM520" s="14">
        <v>3.8</v>
      </c>
      <c r="AN520" s="14">
        <v>3.41</v>
      </c>
      <c r="AO520" s="14">
        <v>3.776</v>
      </c>
      <c r="AP520" s="14">
        <v>36.0</v>
      </c>
      <c r="AQ520" s="14">
        <v>55.0</v>
      </c>
      <c r="AR520" s="14">
        <v>34.0</v>
      </c>
      <c r="AS520" s="14">
        <v>1.2</v>
      </c>
      <c r="AT520" s="14">
        <v>0.17</v>
      </c>
      <c r="AU520" s="14">
        <v>1391000.0</v>
      </c>
      <c r="AV520" s="14">
        <v>2.83</v>
      </c>
      <c r="AW520" s="14">
        <v>20.2</v>
      </c>
      <c r="AX520" s="14">
        <v>119100.0</v>
      </c>
      <c r="AY520" s="14">
        <v>0.6</v>
      </c>
      <c r="AZ520" s="14">
        <v>0.007</v>
      </c>
      <c r="BA520" s="14">
        <f t="shared" si="1"/>
        <v>20.807</v>
      </c>
    </row>
    <row r="521" ht="14.25" customHeight="1">
      <c r="A521" s="10" t="s">
        <v>844</v>
      </c>
      <c r="B521" s="12" t="s">
        <v>106</v>
      </c>
      <c r="C521" s="12"/>
      <c r="D521" s="12"/>
      <c r="E521" s="44">
        <v>44491.0</v>
      </c>
      <c r="F521" s="29">
        <v>1.0</v>
      </c>
      <c r="G521" s="12" t="s">
        <v>845</v>
      </c>
      <c r="H521" s="45">
        <v>0.25</v>
      </c>
      <c r="I521" s="45">
        <v>0.33333333333212</v>
      </c>
      <c r="J521" s="12">
        <v>1.2</v>
      </c>
      <c r="K521" s="12">
        <v>0.23</v>
      </c>
      <c r="L521" s="14">
        <v>55.139</v>
      </c>
      <c r="M521" s="14">
        <v>56.618</v>
      </c>
      <c r="N521" s="14">
        <v>59.554</v>
      </c>
      <c r="O521" s="14">
        <v>58.914</v>
      </c>
      <c r="P521" s="14">
        <v>57.756</v>
      </c>
      <c r="Q521" s="14">
        <v>57.596199999999996</v>
      </c>
      <c r="R521" s="20">
        <v>7.42</v>
      </c>
      <c r="S521" s="20">
        <v>7.78</v>
      </c>
      <c r="T521" s="20">
        <v>7.84</v>
      </c>
      <c r="U521" s="20">
        <v>7.72</v>
      </c>
      <c r="V521" s="20">
        <v>7.85</v>
      </c>
      <c r="W521" s="14">
        <v>7.7219999999999995</v>
      </c>
      <c r="X521" s="14">
        <v>13.1</v>
      </c>
      <c r="Y521" s="14">
        <v>13.2</v>
      </c>
      <c r="Z521" s="14">
        <v>12.6</v>
      </c>
      <c r="AA521" s="14">
        <v>13.2</v>
      </c>
      <c r="AB521" s="14">
        <v>13.3</v>
      </c>
      <c r="AC521" s="14">
        <v>13.079999999999998</v>
      </c>
      <c r="AD521" s="20">
        <v>439.0</v>
      </c>
      <c r="AE521" s="20">
        <v>449.0</v>
      </c>
      <c r="AF521" s="20">
        <v>461.0</v>
      </c>
      <c r="AG521" s="20">
        <v>474.0</v>
      </c>
      <c r="AH521" s="20">
        <v>482.0</v>
      </c>
      <c r="AI521" s="14">
        <v>461.0</v>
      </c>
      <c r="AJ521" s="14">
        <v>5.27</v>
      </c>
      <c r="AK521" s="14">
        <v>5.11</v>
      </c>
      <c r="AL521" s="14">
        <v>5.02</v>
      </c>
      <c r="AM521" s="14">
        <v>5.12</v>
      </c>
      <c r="AN521" s="14">
        <v>5.22</v>
      </c>
      <c r="AO521" s="14">
        <v>5.148</v>
      </c>
      <c r="AP521" s="14">
        <v>12.0</v>
      </c>
      <c r="AQ521" s="14">
        <v>60.0</v>
      </c>
      <c r="AR521" s="14">
        <v>55.0</v>
      </c>
      <c r="AS521" s="14">
        <v>1.2</v>
      </c>
      <c r="AT521" s="14">
        <v>0.1</v>
      </c>
      <c r="AU521" s="14">
        <v>1.445E7</v>
      </c>
      <c r="AV521" s="14">
        <v>1.75</v>
      </c>
      <c r="AW521" s="14">
        <v>28.8</v>
      </c>
      <c r="AX521" s="14">
        <v>595000.0</v>
      </c>
      <c r="AY521" s="14">
        <v>0.3</v>
      </c>
      <c r="AZ521" s="14">
        <v>0.042</v>
      </c>
      <c r="BA521" s="14">
        <f t="shared" si="1"/>
        <v>29.142</v>
      </c>
    </row>
    <row r="522" ht="14.25" customHeight="1">
      <c r="A522" s="10" t="s">
        <v>846</v>
      </c>
      <c r="B522" s="12" t="s">
        <v>133</v>
      </c>
      <c r="C522" s="12"/>
      <c r="D522" s="12"/>
      <c r="E522" s="44">
        <v>44517.0</v>
      </c>
      <c r="F522" s="29">
        <v>1.0</v>
      </c>
      <c r="G522" s="12" t="s">
        <v>847</v>
      </c>
      <c r="H522" s="45">
        <v>0.5</v>
      </c>
      <c r="I522" s="45">
        <v>0.58333333333212</v>
      </c>
      <c r="J522" s="12">
        <v>3.0</v>
      </c>
      <c r="K522" s="12">
        <v>0.22</v>
      </c>
      <c r="L522" s="14">
        <v>135.205</v>
      </c>
      <c r="M522" s="14">
        <v>133.519</v>
      </c>
      <c r="N522" s="14">
        <v>132.011</v>
      </c>
      <c r="O522" s="14">
        <v>132.987</v>
      </c>
      <c r="P522" s="14">
        <v>131.048</v>
      </c>
      <c r="Q522" s="14">
        <v>132.954</v>
      </c>
      <c r="R522" s="20">
        <v>7.39</v>
      </c>
      <c r="S522" s="20">
        <v>7.42</v>
      </c>
      <c r="T522" s="20">
        <v>7.18</v>
      </c>
      <c r="U522" s="20">
        <v>7.31</v>
      </c>
      <c r="V522" s="20">
        <v>7.22</v>
      </c>
      <c r="W522" s="14">
        <v>7.303999999999999</v>
      </c>
      <c r="X522" s="14">
        <v>12.5</v>
      </c>
      <c r="Y522" s="14">
        <v>12.5</v>
      </c>
      <c r="Z522" s="14">
        <v>12.2</v>
      </c>
      <c r="AA522" s="14">
        <v>12.1</v>
      </c>
      <c r="AB522" s="14">
        <v>12.0</v>
      </c>
      <c r="AC522" s="14">
        <v>12.260000000000002</v>
      </c>
      <c r="AD522" s="20">
        <v>175.6</v>
      </c>
      <c r="AE522" s="20">
        <v>178.7</v>
      </c>
      <c r="AF522" s="20">
        <v>163.1</v>
      </c>
      <c r="AG522" s="20">
        <v>169.8</v>
      </c>
      <c r="AH522" s="20">
        <v>166.4</v>
      </c>
      <c r="AI522" s="14">
        <v>170.72</v>
      </c>
      <c r="AJ522" s="14">
        <v>4.75</v>
      </c>
      <c r="AK522" s="14">
        <v>4.32</v>
      </c>
      <c r="AL522" s="14">
        <v>5.37</v>
      </c>
      <c r="AM522" s="14">
        <v>5.1</v>
      </c>
      <c r="AN522" s="14">
        <v>5.13</v>
      </c>
      <c r="AO522" s="14">
        <v>4.933999999999999</v>
      </c>
      <c r="AP522" s="14">
        <v>9.0</v>
      </c>
      <c r="AQ522" s="14">
        <v>25.0</v>
      </c>
      <c r="AR522" s="14">
        <v>15.0</v>
      </c>
      <c r="AS522" s="14">
        <v>1.2</v>
      </c>
      <c r="AT522" s="14">
        <v>0.07</v>
      </c>
      <c r="AU522" s="14">
        <v>982000.0</v>
      </c>
      <c r="AV522" s="14">
        <v>0.46</v>
      </c>
      <c r="AW522" s="14">
        <v>5.0</v>
      </c>
      <c r="AX522" s="14">
        <v>95800.0</v>
      </c>
      <c r="AY522" s="14">
        <v>1.1</v>
      </c>
      <c r="AZ522" s="14">
        <v>0.038</v>
      </c>
      <c r="BA522" s="14">
        <f t="shared" si="1"/>
        <v>6.138</v>
      </c>
    </row>
    <row r="523" ht="14.25" customHeight="1">
      <c r="A523" s="10" t="s">
        <v>848</v>
      </c>
      <c r="B523" s="12" t="s">
        <v>131</v>
      </c>
      <c r="C523" s="12"/>
      <c r="D523" s="12"/>
      <c r="E523" s="44">
        <v>44517.0</v>
      </c>
      <c r="F523" s="29">
        <v>1.0</v>
      </c>
      <c r="G523" s="12" t="s">
        <v>849</v>
      </c>
      <c r="H523" s="45">
        <v>0.666666666667879</v>
      </c>
      <c r="I523" s="45">
        <v>0.75</v>
      </c>
      <c r="J523" s="12">
        <v>3.1</v>
      </c>
      <c r="K523" s="12">
        <v>0.43</v>
      </c>
      <c r="L523" s="14">
        <v>162.66</v>
      </c>
      <c r="M523" s="14">
        <v>162.541</v>
      </c>
      <c r="N523" s="14">
        <v>163.616</v>
      </c>
      <c r="O523" s="14">
        <v>163.994</v>
      </c>
      <c r="P523" s="14">
        <v>162.838</v>
      </c>
      <c r="Q523" s="14">
        <v>163.1298</v>
      </c>
      <c r="R523" s="20">
        <v>7.16</v>
      </c>
      <c r="S523" s="20">
        <v>7.31</v>
      </c>
      <c r="T523" s="20">
        <v>7.15</v>
      </c>
      <c r="U523" s="20">
        <v>7.2</v>
      </c>
      <c r="V523" s="20">
        <v>7.22</v>
      </c>
      <c r="W523" s="14">
        <v>7.208</v>
      </c>
      <c r="X523" s="14">
        <v>14.2</v>
      </c>
      <c r="Y523" s="14">
        <v>13.9</v>
      </c>
      <c r="Z523" s="14">
        <v>13.7</v>
      </c>
      <c r="AA523" s="14">
        <v>12.6</v>
      </c>
      <c r="AB523" s="14">
        <v>12.4</v>
      </c>
      <c r="AC523" s="14">
        <v>13.36</v>
      </c>
      <c r="AD523" s="20">
        <v>338.0</v>
      </c>
      <c r="AE523" s="20">
        <v>325.0</v>
      </c>
      <c r="AF523" s="20">
        <v>322.0</v>
      </c>
      <c r="AG523" s="20">
        <v>332.0</v>
      </c>
      <c r="AH523" s="20">
        <v>321.0</v>
      </c>
      <c r="AI523" s="14">
        <v>327.6</v>
      </c>
      <c r="AJ523" s="14">
        <v>3.4</v>
      </c>
      <c r="AK523" s="14">
        <v>3.14</v>
      </c>
      <c r="AL523" s="14">
        <v>3.06</v>
      </c>
      <c r="AM523" s="14">
        <v>3.07</v>
      </c>
      <c r="AN523" s="14">
        <v>3.15</v>
      </c>
      <c r="AO523" s="14">
        <v>3.164</v>
      </c>
      <c r="AP523" s="14">
        <v>50.0</v>
      </c>
      <c r="AQ523" s="14">
        <v>88.0</v>
      </c>
      <c r="AR523" s="14">
        <v>32.0</v>
      </c>
      <c r="AS523" s="14">
        <v>1.2</v>
      </c>
      <c r="AT523" s="14">
        <v>0.24</v>
      </c>
      <c r="AU523" s="14">
        <v>1.169E7</v>
      </c>
      <c r="AV523" s="14">
        <v>0.75</v>
      </c>
      <c r="AW523" s="14">
        <v>9.2</v>
      </c>
      <c r="AX523" s="14">
        <v>98400.0</v>
      </c>
      <c r="AY523" s="14">
        <v>0.6</v>
      </c>
      <c r="AZ523" s="14">
        <v>0.007</v>
      </c>
      <c r="BA523" s="14">
        <f t="shared" si="1"/>
        <v>9.807</v>
      </c>
    </row>
    <row r="524" ht="14.25" customHeight="1">
      <c r="A524" s="10" t="s">
        <v>850</v>
      </c>
      <c r="B524" s="12" t="s">
        <v>77</v>
      </c>
      <c r="C524" s="12"/>
      <c r="D524" s="12"/>
      <c r="E524" s="44">
        <v>44519.0</v>
      </c>
      <c r="F524" s="29">
        <v>1.0</v>
      </c>
      <c r="G524" s="12" t="s">
        <v>851</v>
      </c>
      <c r="H524" s="45">
        <v>0.666666666667879</v>
      </c>
      <c r="I524" s="45">
        <v>0.75</v>
      </c>
      <c r="J524" s="12">
        <v>3.3</v>
      </c>
      <c r="K524" s="12">
        <v>0.13</v>
      </c>
      <c r="L524" s="14">
        <v>187.515</v>
      </c>
      <c r="M524" s="14">
        <v>185.222</v>
      </c>
      <c r="N524" s="14">
        <v>186.205</v>
      </c>
      <c r="O524" s="14">
        <v>184.31</v>
      </c>
      <c r="P524" s="14">
        <v>185.175</v>
      </c>
      <c r="Q524" s="14">
        <v>185.6854</v>
      </c>
      <c r="R524" s="20">
        <v>7.47</v>
      </c>
      <c r="S524" s="20">
        <v>7.55</v>
      </c>
      <c r="T524" s="20">
        <v>7.48</v>
      </c>
      <c r="U524" s="20">
        <v>7.47</v>
      </c>
      <c r="V524" s="20">
        <v>7.42</v>
      </c>
      <c r="W524" s="14">
        <v>7.478</v>
      </c>
      <c r="X524" s="14">
        <v>18.1</v>
      </c>
      <c r="Y524" s="14">
        <v>17.8</v>
      </c>
      <c r="Z524" s="14">
        <v>17.6</v>
      </c>
      <c r="AA524" s="14">
        <v>17.3</v>
      </c>
      <c r="AB524" s="14">
        <v>17.3</v>
      </c>
      <c r="AC524" s="14">
        <v>17.62</v>
      </c>
      <c r="AD524" s="20">
        <v>274.0</v>
      </c>
      <c r="AE524" s="20">
        <v>383.0</v>
      </c>
      <c r="AF524" s="20">
        <v>387.0</v>
      </c>
      <c r="AG524" s="20">
        <v>386.0</v>
      </c>
      <c r="AH524" s="20">
        <v>384.0</v>
      </c>
      <c r="AI524" s="14">
        <v>362.8</v>
      </c>
      <c r="AJ524" s="14">
        <v>3.97</v>
      </c>
      <c r="AK524" s="14">
        <v>3.6</v>
      </c>
      <c r="AL524" s="14">
        <v>3.54</v>
      </c>
      <c r="AM524" s="14">
        <v>3.8</v>
      </c>
      <c r="AN524" s="14">
        <v>3.21</v>
      </c>
      <c r="AO524" s="14">
        <v>3.624</v>
      </c>
      <c r="AP524" s="14">
        <v>54.0</v>
      </c>
      <c r="AQ524" s="14">
        <v>84.0</v>
      </c>
      <c r="AR524" s="14">
        <v>28.0</v>
      </c>
      <c r="AS524" s="14">
        <v>10.0</v>
      </c>
      <c r="AT524" s="14">
        <v>0.25</v>
      </c>
      <c r="AU524" s="14">
        <v>1.553E7</v>
      </c>
      <c r="AV524" s="14">
        <v>2.22</v>
      </c>
      <c r="AW524" s="14">
        <v>22.4</v>
      </c>
      <c r="AX524" s="14">
        <v>5450000.0</v>
      </c>
      <c r="AY524" s="14">
        <v>0.5</v>
      </c>
      <c r="AZ524" s="14">
        <v>0.007</v>
      </c>
      <c r="BA524" s="14">
        <f t="shared" si="1"/>
        <v>22.907</v>
      </c>
    </row>
    <row r="525" ht="14.25" customHeight="1">
      <c r="A525" s="10" t="s">
        <v>852</v>
      </c>
      <c r="B525" s="12" t="s">
        <v>81</v>
      </c>
      <c r="C525" s="12"/>
      <c r="D525" s="12"/>
      <c r="E525" s="44">
        <v>44498.0</v>
      </c>
      <c r="F525" s="29">
        <v>1.0</v>
      </c>
      <c r="G525" s="12" t="s">
        <v>853</v>
      </c>
      <c r="H525" s="45">
        <v>0.5</v>
      </c>
      <c r="I525" s="45">
        <v>0.58333333333212</v>
      </c>
      <c r="J525" s="12">
        <v>5.0</v>
      </c>
      <c r="K525" s="12">
        <v>0.17</v>
      </c>
      <c r="L525" s="14">
        <v>207.103</v>
      </c>
      <c r="M525" s="14">
        <v>210.394</v>
      </c>
      <c r="N525" s="14">
        <v>214.397</v>
      </c>
      <c r="O525" s="14">
        <v>220.219</v>
      </c>
      <c r="P525" s="14" t="s">
        <v>161</v>
      </c>
      <c r="Q525" s="14">
        <v>213.02825</v>
      </c>
      <c r="R525" s="20">
        <v>7.77</v>
      </c>
      <c r="S525" s="20">
        <v>7.72</v>
      </c>
      <c r="T525" s="20">
        <v>7.76</v>
      </c>
      <c r="U525" s="20">
        <v>7.71</v>
      </c>
      <c r="V525" s="20" t="s">
        <v>161</v>
      </c>
      <c r="W525" s="14">
        <v>7.74</v>
      </c>
      <c r="X525" s="14">
        <v>21.3</v>
      </c>
      <c r="Y525" s="14">
        <v>21.1</v>
      </c>
      <c r="Z525" s="14">
        <v>21.9</v>
      </c>
      <c r="AA525" s="14">
        <v>21.2</v>
      </c>
      <c r="AB525" s="14" t="s">
        <v>161</v>
      </c>
      <c r="AC525" s="14">
        <v>21.375000000000004</v>
      </c>
      <c r="AD525" s="20">
        <v>291.0</v>
      </c>
      <c r="AE525" s="20">
        <v>289.0</v>
      </c>
      <c r="AF525" s="20">
        <v>291.0</v>
      </c>
      <c r="AG525" s="20">
        <v>291.0</v>
      </c>
      <c r="AH525" s="20" t="s">
        <v>161</v>
      </c>
      <c r="AI525" s="14">
        <v>290.5</v>
      </c>
      <c r="AJ525" s="14">
        <v>6.63</v>
      </c>
      <c r="AK525" s="14">
        <v>6.84</v>
      </c>
      <c r="AL525" s="14">
        <v>5.99</v>
      </c>
      <c r="AM525" s="14">
        <v>6.98</v>
      </c>
      <c r="AN525" s="14" t="s">
        <v>161</v>
      </c>
      <c r="AO525" s="14">
        <v>6.61</v>
      </c>
      <c r="AP525" s="14">
        <v>5.0</v>
      </c>
      <c r="AQ525" s="14">
        <v>23.0</v>
      </c>
      <c r="AR525" s="14">
        <v>12.0</v>
      </c>
      <c r="AS525" s="14">
        <v>1.2</v>
      </c>
      <c r="AT525" s="14">
        <v>0.13</v>
      </c>
      <c r="AU525" s="14">
        <v>733000.0</v>
      </c>
      <c r="AV525" s="14">
        <v>0.47</v>
      </c>
      <c r="AW525" s="14">
        <v>7.3</v>
      </c>
      <c r="AX525" s="14">
        <v>62000.0</v>
      </c>
      <c r="AY525" s="14">
        <v>2.9</v>
      </c>
      <c r="AZ525" s="14">
        <v>0.351</v>
      </c>
      <c r="BA525" s="14">
        <f t="shared" si="1"/>
        <v>10.551</v>
      </c>
    </row>
    <row r="526" ht="14.25" customHeight="1">
      <c r="A526" s="10" t="s">
        <v>854</v>
      </c>
      <c r="B526" s="12" t="s">
        <v>114</v>
      </c>
      <c r="C526" s="12"/>
      <c r="D526" s="12"/>
      <c r="E526" s="44">
        <v>44498.0</v>
      </c>
      <c r="F526" s="29">
        <v>1.0</v>
      </c>
      <c r="G526" s="12" t="s">
        <v>855</v>
      </c>
      <c r="H526" s="45">
        <v>0.416666666667879</v>
      </c>
      <c r="I526" s="45">
        <v>0.5</v>
      </c>
      <c r="J526" s="12">
        <v>4.0</v>
      </c>
      <c r="K526" s="12">
        <v>0.07</v>
      </c>
      <c r="L526" s="14">
        <v>11.29</v>
      </c>
      <c r="M526" s="14">
        <v>11.084</v>
      </c>
      <c r="N526" s="14">
        <v>11.436</v>
      </c>
      <c r="O526" s="14">
        <v>11.387</v>
      </c>
      <c r="P526" s="14">
        <v>11.381</v>
      </c>
      <c r="Q526" s="14">
        <v>11.3156</v>
      </c>
      <c r="R526" s="20">
        <v>7.06</v>
      </c>
      <c r="S526" s="20">
        <v>7.29</v>
      </c>
      <c r="T526" s="20">
        <v>7.34</v>
      </c>
      <c r="U526" s="20">
        <v>7.21</v>
      </c>
      <c r="V526" s="20">
        <v>7.28</v>
      </c>
      <c r="W526" s="14">
        <v>7.236</v>
      </c>
      <c r="X526" s="14">
        <v>19.9</v>
      </c>
      <c r="Y526" s="14">
        <v>21.4</v>
      </c>
      <c r="Z526" s="14">
        <v>20.1</v>
      </c>
      <c r="AA526" s="14">
        <v>19.9</v>
      </c>
      <c r="AB526" s="14">
        <v>20.3</v>
      </c>
      <c r="AC526" s="14">
        <v>20.32</v>
      </c>
      <c r="AD526" s="20">
        <v>297.0</v>
      </c>
      <c r="AE526" s="20">
        <v>315.0</v>
      </c>
      <c r="AF526" s="20">
        <v>331.0</v>
      </c>
      <c r="AG526" s="20">
        <v>318.0</v>
      </c>
      <c r="AH526" s="20">
        <v>321.0</v>
      </c>
      <c r="AI526" s="14">
        <v>316.4</v>
      </c>
      <c r="AJ526" s="14">
        <v>4.98</v>
      </c>
      <c r="AK526" s="14">
        <v>5.08</v>
      </c>
      <c r="AL526" s="14">
        <v>5.96</v>
      </c>
      <c r="AM526" s="14">
        <v>5.89</v>
      </c>
      <c r="AN526" s="14">
        <v>5.34</v>
      </c>
      <c r="AO526" s="14">
        <v>5.45</v>
      </c>
      <c r="AP526" s="14">
        <v>11.0</v>
      </c>
      <c r="AQ526" s="14">
        <v>22.0</v>
      </c>
      <c r="AR526" s="14">
        <v>18.0</v>
      </c>
      <c r="AS526" s="14">
        <v>1.2</v>
      </c>
      <c r="AT526" s="14">
        <v>0.07</v>
      </c>
      <c r="AU526" s="14">
        <v>1106000.0</v>
      </c>
      <c r="AV526" s="14">
        <v>0.44</v>
      </c>
      <c r="AW526" s="14">
        <v>6.2</v>
      </c>
      <c r="AX526" s="14">
        <v>13170.0</v>
      </c>
      <c r="AY526" s="14">
        <v>1.3</v>
      </c>
      <c r="AZ526" s="14">
        <v>0.155</v>
      </c>
      <c r="BA526" s="14">
        <f t="shared" si="1"/>
        <v>7.655</v>
      </c>
    </row>
    <row r="527" ht="14.25" customHeight="1">
      <c r="A527" s="10" t="s">
        <v>856</v>
      </c>
      <c r="B527" s="12" t="s">
        <v>83</v>
      </c>
      <c r="C527" s="12"/>
      <c r="D527" s="12"/>
      <c r="E527" s="44">
        <v>44525.0</v>
      </c>
      <c r="F527" s="29">
        <v>1.0</v>
      </c>
      <c r="G527" s="12" t="s">
        <v>857</v>
      </c>
      <c r="H527" s="45">
        <v>0.25</v>
      </c>
      <c r="I527" s="45">
        <v>0.33333333333212</v>
      </c>
      <c r="J527" s="12">
        <v>4.56</v>
      </c>
      <c r="K527" s="12">
        <v>0.2</v>
      </c>
      <c r="L527" s="14">
        <v>171.832</v>
      </c>
      <c r="M527" s="14">
        <v>174.134</v>
      </c>
      <c r="N527" s="14">
        <v>172.544</v>
      </c>
      <c r="O527" s="14">
        <v>176.128</v>
      </c>
      <c r="P527" s="14">
        <v>176.966</v>
      </c>
      <c r="Q527" s="14">
        <v>174.3208</v>
      </c>
      <c r="R527" s="20">
        <v>7.67</v>
      </c>
      <c r="S527" s="20">
        <v>7.71</v>
      </c>
      <c r="T527" s="20">
        <v>7.68</v>
      </c>
      <c r="U527" s="20">
        <v>7.67</v>
      </c>
      <c r="V527" s="20">
        <v>7.65</v>
      </c>
      <c r="W527" s="14">
        <v>7.675999999999999</v>
      </c>
      <c r="X527" s="14">
        <v>13.5</v>
      </c>
      <c r="Y527" s="14">
        <v>13.3</v>
      </c>
      <c r="Z527" s="14">
        <v>13.4</v>
      </c>
      <c r="AA527" s="14">
        <v>13.5</v>
      </c>
      <c r="AB527" s="14">
        <v>13.5</v>
      </c>
      <c r="AC527" s="14">
        <v>13.440000000000001</v>
      </c>
      <c r="AD527" s="20">
        <v>291.0</v>
      </c>
      <c r="AE527" s="20">
        <v>298.0</v>
      </c>
      <c r="AF527" s="20">
        <v>299.0</v>
      </c>
      <c r="AG527" s="20">
        <v>273.0</v>
      </c>
      <c r="AH527" s="20">
        <v>293.0</v>
      </c>
      <c r="AI527" s="14">
        <v>290.8</v>
      </c>
      <c r="AJ527" s="14">
        <v>3.05</v>
      </c>
      <c r="AK527" s="14">
        <v>2.78</v>
      </c>
      <c r="AL527" s="14">
        <v>2.9</v>
      </c>
      <c r="AM527" s="14">
        <v>2.69</v>
      </c>
      <c r="AN527" s="14">
        <v>2.46</v>
      </c>
      <c r="AO527" s="14">
        <v>2.776</v>
      </c>
      <c r="AP527" s="14">
        <v>27.0</v>
      </c>
      <c r="AQ527" s="14">
        <v>57.0</v>
      </c>
      <c r="AR527" s="14">
        <v>23.0</v>
      </c>
      <c r="AS527" s="14">
        <v>1.2</v>
      </c>
      <c r="AT527" s="14">
        <v>0.14</v>
      </c>
      <c r="AU527" s="14">
        <v>1.599E7</v>
      </c>
      <c r="AV527" s="14">
        <v>3.04</v>
      </c>
      <c r="AW527" s="14">
        <v>16.5</v>
      </c>
      <c r="AX527" s="14">
        <v>1224000.0</v>
      </c>
      <c r="AY527" s="14">
        <v>0.4</v>
      </c>
      <c r="AZ527" s="14">
        <v>0.007</v>
      </c>
      <c r="BA527" s="14">
        <f t="shared" si="1"/>
        <v>16.907</v>
      </c>
    </row>
    <row r="528" ht="14.25" customHeight="1">
      <c r="A528" s="10" t="s">
        <v>858</v>
      </c>
      <c r="B528" s="12" t="s">
        <v>114</v>
      </c>
      <c r="C528" s="12"/>
      <c r="D528" s="12"/>
      <c r="E528" s="44">
        <v>44505.0</v>
      </c>
      <c r="F528" s="29">
        <v>1.0</v>
      </c>
      <c r="G528" s="12" t="s">
        <v>859</v>
      </c>
      <c r="H528" s="45">
        <v>0.5</v>
      </c>
      <c r="I528" s="45">
        <v>0.58333333333212</v>
      </c>
      <c r="J528" s="12">
        <v>3.9</v>
      </c>
      <c r="K528" s="12">
        <v>0.09</v>
      </c>
      <c r="L528" s="14">
        <v>31.946</v>
      </c>
      <c r="M528" s="14">
        <v>31.764</v>
      </c>
      <c r="N528" s="14">
        <v>31.887</v>
      </c>
      <c r="O528" s="14">
        <v>31.576</v>
      </c>
      <c r="P528" s="14">
        <v>31.517</v>
      </c>
      <c r="Q528" s="14">
        <v>31.738</v>
      </c>
      <c r="R528" s="20">
        <v>6.55</v>
      </c>
      <c r="S528" s="20">
        <v>6.63</v>
      </c>
      <c r="T528" s="20">
        <v>6.72</v>
      </c>
      <c r="U528" s="20">
        <v>6.7</v>
      </c>
      <c r="V528" s="20">
        <v>6.69</v>
      </c>
      <c r="W528" s="14">
        <v>6.6579999999999995</v>
      </c>
      <c r="X528" s="14">
        <v>17.4</v>
      </c>
      <c r="Y528" s="14">
        <v>17.4</v>
      </c>
      <c r="Z528" s="14">
        <v>16.9</v>
      </c>
      <c r="AA528" s="14">
        <v>17.1</v>
      </c>
      <c r="AB528" s="14">
        <v>17.1</v>
      </c>
      <c r="AC528" s="14">
        <v>17.18</v>
      </c>
      <c r="AD528" s="20">
        <v>386.0</v>
      </c>
      <c r="AE528" s="20">
        <v>396.0</v>
      </c>
      <c r="AF528" s="20">
        <v>401.0</v>
      </c>
      <c r="AG528" s="20">
        <v>362.0</v>
      </c>
      <c r="AH528" s="20">
        <v>354.0</v>
      </c>
      <c r="AI528" s="14">
        <v>379.8</v>
      </c>
      <c r="AJ528" s="14">
        <v>1.79</v>
      </c>
      <c r="AK528" s="14">
        <v>1.8</v>
      </c>
      <c r="AL528" s="14">
        <v>1.6</v>
      </c>
      <c r="AM528" s="14">
        <v>1.67</v>
      </c>
      <c r="AN528" s="14">
        <v>1.8</v>
      </c>
      <c r="AO528" s="14">
        <v>1.732</v>
      </c>
      <c r="AP528" s="14">
        <v>8.0</v>
      </c>
      <c r="AQ528" s="14">
        <v>22.0</v>
      </c>
      <c r="AR528" s="14">
        <v>10.0</v>
      </c>
      <c r="AS528" s="14">
        <v>1.2</v>
      </c>
      <c r="AT528" s="14">
        <v>0.24</v>
      </c>
      <c r="AU528" s="14">
        <v>1.191E7</v>
      </c>
      <c r="AV528" s="14">
        <v>0.5</v>
      </c>
      <c r="AW528" s="14">
        <v>11.2</v>
      </c>
      <c r="AX528" s="14">
        <v>9830000.0</v>
      </c>
      <c r="AY528" s="14">
        <v>0.7</v>
      </c>
      <c r="AZ528" s="14">
        <v>0.053</v>
      </c>
      <c r="BA528" s="14">
        <f t="shared" si="1"/>
        <v>11.953</v>
      </c>
    </row>
    <row r="529" ht="14.25" customHeight="1">
      <c r="A529" s="10" t="s">
        <v>860</v>
      </c>
      <c r="B529" s="12" t="s">
        <v>89</v>
      </c>
      <c r="C529" s="12"/>
      <c r="D529" s="12"/>
      <c r="E529" s="44">
        <v>44529.0</v>
      </c>
      <c r="F529" s="29">
        <v>1.0</v>
      </c>
      <c r="G529" s="12" t="s">
        <v>861</v>
      </c>
      <c r="H529" s="45">
        <v>0.25</v>
      </c>
      <c r="I529" s="45">
        <v>0.33333333333212</v>
      </c>
      <c r="J529" s="12">
        <v>5.0</v>
      </c>
      <c r="K529" s="12">
        <v>0.1</v>
      </c>
      <c r="L529" s="14">
        <v>73.982</v>
      </c>
      <c r="M529" s="14">
        <v>74.994</v>
      </c>
      <c r="N529" s="14">
        <v>75.263</v>
      </c>
      <c r="O529" s="14">
        <v>75.546</v>
      </c>
      <c r="P529" s="14">
        <v>80.301</v>
      </c>
      <c r="Q529" s="14">
        <v>76.0172</v>
      </c>
      <c r="R529" s="20">
        <v>6.86</v>
      </c>
      <c r="S529" s="20">
        <v>7.06</v>
      </c>
      <c r="T529" s="20">
        <v>7.09</v>
      </c>
      <c r="U529" s="20">
        <v>7.17</v>
      </c>
      <c r="V529" s="20">
        <v>7.11</v>
      </c>
      <c r="W529" s="14">
        <v>7.058</v>
      </c>
      <c r="X529" s="14">
        <v>17.0</v>
      </c>
      <c r="Y529" s="14">
        <v>16.8</v>
      </c>
      <c r="Z529" s="14">
        <v>16.8</v>
      </c>
      <c r="AA529" s="14">
        <v>17.7</v>
      </c>
      <c r="AB529" s="14">
        <v>16.9</v>
      </c>
      <c r="AC529" s="14">
        <v>17.04</v>
      </c>
      <c r="AD529" s="20">
        <v>328.0</v>
      </c>
      <c r="AE529" s="20">
        <v>284.0</v>
      </c>
      <c r="AF529" s="20">
        <v>285.0</v>
      </c>
      <c r="AG529" s="20">
        <v>275.0</v>
      </c>
      <c r="AH529" s="20">
        <v>287.0</v>
      </c>
      <c r="AI529" s="14">
        <v>291.8</v>
      </c>
      <c r="AJ529" s="14">
        <v>4.72</v>
      </c>
      <c r="AK529" s="14">
        <v>4.29</v>
      </c>
      <c r="AL529" s="14">
        <v>4.66</v>
      </c>
      <c r="AM529" s="14">
        <v>4.81</v>
      </c>
      <c r="AN529" s="14">
        <v>4.41</v>
      </c>
      <c r="AO529" s="14">
        <v>4.578</v>
      </c>
      <c r="AP529" s="14">
        <v>10.0</v>
      </c>
      <c r="AQ529" s="14">
        <v>25.0</v>
      </c>
      <c r="AR529" s="14">
        <v>22.0</v>
      </c>
      <c r="AS529" s="14">
        <v>1.2</v>
      </c>
      <c r="AT529" s="14">
        <v>0.07</v>
      </c>
      <c r="AU529" s="14">
        <v>128100.0</v>
      </c>
      <c r="AV529" s="14">
        <v>0.06</v>
      </c>
      <c r="AW529" s="14">
        <v>5.9</v>
      </c>
      <c r="AX529" s="14">
        <v>8330.0</v>
      </c>
      <c r="AY529" s="14">
        <v>2.4</v>
      </c>
      <c r="AZ529" s="14">
        <v>0.109</v>
      </c>
      <c r="BA529" s="14">
        <f t="shared" si="1"/>
        <v>8.409</v>
      </c>
    </row>
    <row r="530" ht="14.25" customHeight="1">
      <c r="A530" s="10" t="s">
        <v>862</v>
      </c>
      <c r="B530" s="12" t="s">
        <v>145</v>
      </c>
      <c r="C530" s="12"/>
      <c r="D530" s="12"/>
      <c r="E530" s="44">
        <v>44511.0</v>
      </c>
      <c r="F530" s="29">
        <v>1.0</v>
      </c>
      <c r="G530" s="12" t="s">
        <v>863</v>
      </c>
      <c r="H530" s="45">
        <v>0.666666666667879</v>
      </c>
      <c r="I530" s="45">
        <v>0.75</v>
      </c>
      <c r="J530" s="12">
        <v>0.07</v>
      </c>
      <c r="K530" s="12"/>
      <c r="L530" s="14">
        <v>0.556</v>
      </c>
      <c r="M530" s="14">
        <v>0.568</v>
      </c>
      <c r="N530" s="14">
        <v>0.507</v>
      </c>
      <c r="O530" s="14">
        <v>0.558</v>
      </c>
      <c r="P530" s="14">
        <v>0.65</v>
      </c>
      <c r="Q530" s="14">
        <v>0.5678</v>
      </c>
      <c r="R530" s="20">
        <v>7.61</v>
      </c>
      <c r="S530" s="20">
        <v>7.58</v>
      </c>
      <c r="T530" s="20">
        <v>7.67</v>
      </c>
      <c r="U530" s="20">
        <v>7.51</v>
      </c>
      <c r="V530" s="20">
        <v>7.56</v>
      </c>
      <c r="W530" s="14">
        <v>7.586</v>
      </c>
      <c r="X530" s="14">
        <v>14.4</v>
      </c>
      <c r="Y530" s="14">
        <v>14.3</v>
      </c>
      <c r="Z530" s="14">
        <v>14.4</v>
      </c>
      <c r="AA530" s="14">
        <v>14.2</v>
      </c>
      <c r="AB530" s="14">
        <v>14.6</v>
      </c>
      <c r="AC530" s="14">
        <v>14.379999999999999</v>
      </c>
      <c r="AD530" s="20">
        <v>784.0</v>
      </c>
      <c r="AE530" s="20">
        <v>790.0</v>
      </c>
      <c r="AF530" s="20">
        <v>785.0</v>
      </c>
      <c r="AG530" s="20">
        <v>782.0</v>
      </c>
      <c r="AH530" s="20">
        <v>780.0</v>
      </c>
      <c r="AI530" s="14">
        <v>784.2</v>
      </c>
      <c r="AJ530" s="14">
        <v>3.4</v>
      </c>
      <c r="AK530" s="14">
        <v>3.32</v>
      </c>
      <c r="AL530" s="14">
        <v>3.42</v>
      </c>
      <c r="AM530" s="14">
        <v>3.41</v>
      </c>
      <c r="AN530" s="14">
        <v>3.43</v>
      </c>
      <c r="AO530" s="14">
        <v>3.396</v>
      </c>
      <c r="AP530" s="14">
        <v>75.0</v>
      </c>
      <c r="AQ530" s="14">
        <v>202.0</v>
      </c>
      <c r="AR530" s="14">
        <v>290.0</v>
      </c>
      <c r="AS530" s="14">
        <v>1.2</v>
      </c>
      <c r="AT530" s="14">
        <v>1.42</v>
      </c>
      <c r="AU530" s="14">
        <v>6890000.0</v>
      </c>
      <c r="AV530" s="14">
        <v>0.27</v>
      </c>
      <c r="AW530" s="14">
        <v>9.5</v>
      </c>
      <c r="AX530" s="14">
        <v>72200.0</v>
      </c>
      <c r="AY530" s="14">
        <v>1.2</v>
      </c>
      <c r="AZ530" s="14">
        <v>0.007</v>
      </c>
      <c r="BA530" s="14">
        <f t="shared" si="1"/>
        <v>10.707</v>
      </c>
    </row>
    <row r="531" ht="14.25" customHeight="1">
      <c r="A531" s="10" t="s">
        <v>864</v>
      </c>
      <c r="B531" s="12" t="s">
        <v>77</v>
      </c>
      <c r="C531" s="12"/>
      <c r="D531" s="12"/>
      <c r="E531" s="44">
        <v>44504.0</v>
      </c>
      <c r="F531" s="29">
        <v>1.0</v>
      </c>
      <c r="G531" s="12" t="s">
        <v>865</v>
      </c>
      <c r="H531" s="45">
        <v>0.33333333333212</v>
      </c>
      <c r="I531" s="45">
        <v>0.416666666667879</v>
      </c>
      <c r="J531" s="12">
        <v>3.6</v>
      </c>
      <c r="K531" s="12">
        <v>0.25</v>
      </c>
      <c r="L531" s="14">
        <v>464.697</v>
      </c>
      <c r="M531" s="14">
        <v>470.915</v>
      </c>
      <c r="N531" s="14">
        <v>469.761</v>
      </c>
      <c r="O531" s="14">
        <v>470.79</v>
      </c>
      <c r="P531" s="14">
        <v>472.08</v>
      </c>
      <c r="Q531" s="14">
        <v>469.6486</v>
      </c>
      <c r="R531" s="20">
        <v>6.85</v>
      </c>
      <c r="S531" s="20">
        <v>6.77</v>
      </c>
      <c r="T531" s="20">
        <v>6.82</v>
      </c>
      <c r="U531" s="20">
        <v>6.88</v>
      </c>
      <c r="V531" s="20">
        <v>6.93</v>
      </c>
      <c r="W531" s="14">
        <v>6.85</v>
      </c>
      <c r="X531" s="14">
        <v>15.4</v>
      </c>
      <c r="Y531" s="14">
        <v>15.6</v>
      </c>
      <c r="Z531" s="14">
        <v>15.0</v>
      </c>
      <c r="AA531" s="14">
        <v>16.5</v>
      </c>
      <c r="AB531" s="14">
        <v>16.2</v>
      </c>
      <c r="AC531" s="14">
        <v>15.74</v>
      </c>
      <c r="AD531" s="20">
        <v>165.8</v>
      </c>
      <c r="AE531" s="20">
        <v>171.1</v>
      </c>
      <c r="AF531" s="20">
        <v>178.3</v>
      </c>
      <c r="AG531" s="20">
        <v>186.5</v>
      </c>
      <c r="AH531" s="20">
        <v>198.0</v>
      </c>
      <c r="AI531" s="14">
        <v>179.94</v>
      </c>
      <c r="AJ531" s="14">
        <v>4.53</v>
      </c>
      <c r="AK531" s="14">
        <v>5.52</v>
      </c>
      <c r="AL531" s="14">
        <v>5.92</v>
      </c>
      <c r="AM531" s="14">
        <v>5.31</v>
      </c>
      <c r="AN531" s="14">
        <v>5.61</v>
      </c>
      <c r="AO531" s="14">
        <v>5.378</v>
      </c>
      <c r="AP531" s="14">
        <v>8.0</v>
      </c>
      <c r="AQ531" s="14">
        <v>17.0</v>
      </c>
      <c r="AR531" s="14">
        <v>34.0</v>
      </c>
      <c r="AS531" s="14">
        <v>1.2</v>
      </c>
      <c r="AT531" s="14">
        <v>0.07</v>
      </c>
      <c r="AU531" s="14">
        <v>8330000.0</v>
      </c>
      <c r="AV531" s="14">
        <v>0.68</v>
      </c>
      <c r="AW531" s="14">
        <v>5.0</v>
      </c>
      <c r="AX531" s="14">
        <v>6380.0</v>
      </c>
      <c r="AY531" s="14">
        <v>2.7</v>
      </c>
      <c r="AZ531" s="14">
        <v>0.043</v>
      </c>
      <c r="BA531" s="14">
        <f t="shared" si="1"/>
        <v>7.743</v>
      </c>
    </row>
    <row r="532" ht="14.25" customHeight="1">
      <c r="A532" s="10" t="s">
        <v>866</v>
      </c>
      <c r="B532" s="12" t="s">
        <v>55</v>
      </c>
      <c r="C532" s="12"/>
      <c r="D532" s="12"/>
      <c r="E532" s="44">
        <v>44526.0</v>
      </c>
      <c r="F532" s="29">
        <v>1.0</v>
      </c>
      <c r="G532" s="12" t="s">
        <v>867</v>
      </c>
      <c r="H532" s="45">
        <v>0.416666666667879</v>
      </c>
      <c r="I532" s="45">
        <v>0.5</v>
      </c>
      <c r="J532" s="12">
        <v>2.9</v>
      </c>
      <c r="K532" s="12">
        <v>0.14</v>
      </c>
      <c r="L532" s="14">
        <v>167.923</v>
      </c>
      <c r="M532" s="14">
        <v>168.526</v>
      </c>
      <c r="N532" s="14">
        <v>168.006</v>
      </c>
      <c r="O532" s="14">
        <v>168.089</v>
      </c>
      <c r="P532" s="14">
        <v>168.609</v>
      </c>
      <c r="Q532" s="14">
        <v>168.23060000000004</v>
      </c>
      <c r="R532" s="20">
        <v>8.14</v>
      </c>
      <c r="S532" s="20">
        <v>8.15</v>
      </c>
      <c r="T532" s="20">
        <v>8.09</v>
      </c>
      <c r="U532" s="20">
        <v>8.11</v>
      </c>
      <c r="V532" s="20">
        <v>8.12</v>
      </c>
      <c r="W532" s="14">
        <v>8.121999999999998</v>
      </c>
      <c r="X532" s="14">
        <v>16.8</v>
      </c>
      <c r="Y532" s="14">
        <v>17.3</v>
      </c>
      <c r="Z532" s="14">
        <v>18.6</v>
      </c>
      <c r="AA532" s="14">
        <v>18.3</v>
      </c>
      <c r="AB532" s="14">
        <v>18.3</v>
      </c>
      <c r="AC532" s="14">
        <v>17.86</v>
      </c>
      <c r="AD532" s="20">
        <v>566.0</v>
      </c>
      <c r="AE532" s="20">
        <v>568.0</v>
      </c>
      <c r="AF532" s="20">
        <v>572.0</v>
      </c>
      <c r="AG532" s="20">
        <v>593.0</v>
      </c>
      <c r="AH532" s="20">
        <v>594.0</v>
      </c>
      <c r="AI532" s="14">
        <v>578.6</v>
      </c>
      <c r="AJ532" s="14">
        <v>4.24</v>
      </c>
      <c r="AK532" s="14">
        <v>3.77</v>
      </c>
      <c r="AL532" s="14">
        <v>3.99</v>
      </c>
      <c r="AM532" s="14">
        <v>3.64</v>
      </c>
      <c r="AN532" s="14">
        <v>4.98</v>
      </c>
      <c r="AO532" s="14">
        <v>4.1240000000000006</v>
      </c>
      <c r="AP532" s="14">
        <v>78.0</v>
      </c>
      <c r="AQ532" s="14">
        <v>138.0</v>
      </c>
      <c r="AR532" s="14">
        <v>310.0</v>
      </c>
      <c r="AS532" s="14">
        <v>1.2</v>
      </c>
      <c r="AT532" s="14">
        <v>0.17</v>
      </c>
      <c r="AU532" s="14">
        <v>7.8E7</v>
      </c>
      <c r="AV532" s="14">
        <v>3.95</v>
      </c>
      <c r="AW532" s="14">
        <v>20.4</v>
      </c>
      <c r="AX532" s="14">
        <v>651000.0</v>
      </c>
      <c r="AY532" s="14">
        <v>0.5</v>
      </c>
      <c r="AZ532" s="14">
        <v>0.007</v>
      </c>
      <c r="BA532" s="14">
        <f t="shared" si="1"/>
        <v>20.907</v>
      </c>
    </row>
    <row r="533" ht="14.25" customHeight="1">
      <c r="A533" s="10" t="s">
        <v>868</v>
      </c>
      <c r="B533" s="12" t="s">
        <v>59</v>
      </c>
      <c r="C533" s="12"/>
      <c r="D533" s="12"/>
      <c r="E533" s="44">
        <v>44526.0</v>
      </c>
      <c r="F533" s="29">
        <v>1.0</v>
      </c>
      <c r="G533" s="12" t="s">
        <v>869</v>
      </c>
      <c r="H533" s="45">
        <v>0.666666666667879</v>
      </c>
      <c r="I533" s="45">
        <v>0.75</v>
      </c>
      <c r="J533" s="12">
        <v>2.0</v>
      </c>
      <c r="K533" s="12">
        <v>0.16</v>
      </c>
      <c r="L533" s="14">
        <v>87.603</v>
      </c>
      <c r="M533" s="14">
        <v>87.744</v>
      </c>
      <c r="N533" s="14">
        <v>87.941</v>
      </c>
      <c r="O533" s="14">
        <v>88.492</v>
      </c>
      <c r="P533" s="14">
        <v>87.593</v>
      </c>
      <c r="Q533" s="14">
        <v>87.87460000000002</v>
      </c>
      <c r="R533" s="20">
        <v>7.86</v>
      </c>
      <c r="S533" s="20">
        <v>7.9</v>
      </c>
      <c r="T533" s="20">
        <v>7.83</v>
      </c>
      <c r="U533" s="20">
        <v>7.9</v>
      </c>
      <c r="V533" s="20">
        <v>7.88</v>
      </c>
      <c r="W533" s="14">
        <v>7.8740000000000006</v>
      </c>
      <c r="X533" s="14">
        <v>17.8</v>
      </c>
      <c r="Y533" s="14">
        <v>17.7</v>
      </c>
      <c r="Z533" s="14">
        <v>17.7</v>
      </c>
      <c r="AA533" s="14">
        <v>17.3</v>
      </c>
      <c r="AB533" s="14">
        <v>17.4</v>
      </c>
      <c r="AC533" s="14">
        <v>17.580000000000002</v>
      </c>
      <c r="AD533" s="20">
        <v>423.0</v>
      </c>
      <c r="AE533" s="20">
        <v>429.0</v>
      </c>
      <c r="AF533" s="20">
        <v>427.0</v>
      </c>
      <c r="AG533" s="20">
        <v>418.0</v>
      </c>
      <c r="AH533" s="20">
        <v>419.0</v>
      </c>
      <c r="AI533" s="14">
        <v>423.2</v>
      </c>
      <c r="AJ533" s="14">
        <v>4.43</v>
      </c>
      <c r="AK533" s="14">
        <v>4.12</v>
      </c>
      <c r="AL533" s="14">
        <v>4.06</v>
      </c>
      <c r="AM533" s="14">
        <v>4.16</v>
      </c>
      <c r="AN533" s="14">
        <v>4.46</v>
      </c>
      <c r="AO533" s="14">
        <v>4.246</v>
      </c>
      <c r="AP533" s="14">
        <v>46.0</v>
      </c>
      <c r="AQ533" s="14">
        <v>102.0</v>
      </c>
      <c r="AR533" s="14">
        <v>58.0</v>
      </c>
      <c r="AS533" s="14">
        <v>39.0</v>
      </c>
      <c r="AT533" s="14">
        <v>0.14</v>
      </c>
      <c r="AU533" s="14">
        <v>9340000.0</v>
      </c>
      <c r="AV533" s="14">
        <v>1.51</v>
      </c>
      <c r="AW533" s="14">
        <v>10.1</v>
      </c>
      <c r="AX533" s="14">
        <v>58800.0</v>
      </c>
      <c r="AY533" s="14">
        <v>0.4</v>
      </c>
      <c r="AZ533" s="14">
        <v>0.007</v>
      </c>
      <c r="BA533" s="14">
        <f t="shared" si="1"/>
        <v>10.507</v>
      </c>
    </row>
    <row r="534" ht="14.25" customHeight="1">
      <c r="A534" s="10" t="s">
        <v>870</v>
      </c>
      <c r="B534" s="12" t="s">
        <v>65</v>
      </c>
      <c r="C534" s="12"/>
      <c r="D534" s="12"/>
      <c r="E534" s="44">
        <v>44519.0</v>
      </c>
      <c r="F534" s="29">
        <v>1.0</v>
      </c>
      <c r="G534" s="12" t="s">
        <v>871</v>
      </c>
      <c r="H534" s="45">
        <v>0.5</v>
      </c>
      <c r="I534" s="45">
        <v>0.58333333333212</v>
      </c>
      <c r="J534" s="12">
        <v>7.2</v>
      </c>
      <c r="K534" s="12">
        <v>0.19</v>
      </c>
      <c r="L534" s="14">
        <v>324.603</v>
      </c>
      <c r="M534" s="14">
        <v>318.276</v>
      </c>
      <c r="N534" s="14">
        <v>323.356</v>
      </c>
      <c r="O534" s="14">
        <v>319.568</v>
      </c>
      <c r="P534" s="14">
        <v>321.82</v>
      </c>
      <c r="Q534" s="14">
        <v>321.52459999999996</v>
      </c>
      <c r="R534" s="20">
        <v>7.15</v>
      </c>
      <c r="S534" s="20">
        <v>7.18</v>
      </c>
      <c r="T534" s="20">
        <v>7.28</v>
      </c>
      <c r="U534" s="20">
        <v>7.77</v>
      </c>
      <c r="V534" s="20">
        <v>7.41</v>
      </c>
      <c r="W534" s="14">
        <v>7.358</v>
      </c>
      <c r="X534" s="14">
        <v>18.9</v>
      </c>
      <c r="Y534" s="14">
        <v>19.0</v>
      </c>
      <c r="Z534" s="14">
        <v>19.4</v>
      </c>
      <c r="AA534" s="14">
        <v>19.3</v>
      </c>
      <c r="AB534" s="14">
        <v>19.3</v>
      </c>
      <c r="AC534" s="14">
        <v>19.18</v>
      </c>
      <c r="AD534" s="20">
        <v>353.0</v>
      </c>
      <c r="AE534" s="20">
        <v>345.0</v>
      </c>
      <c r="AF534" s="20">
        <v>353.0</v>
      </c>
      <c r="AG534" s="20">
        <v>323.0</v>
      </c>
      <c r="AH534" s="20">
        <v>401.0</v>
      </c>
      <c r="AI534" s="14">
        <v>355.0</v>
      </c>
      <c r="AJ534" s="14">
        <v>0.84</v>
      </c>
      <c r="AK534" s="14">
        <v>0.93</v>
      </c>
      <c r="AL534" s="14">
        <v>0.62</v>
      </c>
      <c r="AM534" s="14">
        <v>0.9</v>
      </c>
      <c r="AN534" s="14">
        <v>0.98</v>
      </c>
      <c r="AO534" s="14">
        <v>0.8539999999999999</v>
      </c>
      <c r="AP534" s="14">
        <v>16.0</v>
      </c>
      <c r="AQ534" s="14">
        <v>52.0</v>
      </c>
      <c r="AR534" s="14">
        <v>30.0</v>
      </c>
      <c r="AS534" s="14">
        <v>1.2</v>
      </c>
      <c r="AT534" s="14">
        <v>1.27</v>
      </c>
      <c r="AU534" s="14">
        <v>1470000.0</v>
      </c>
      <c r="AV534" s="14">
        <v>1.74</v>
      </c>
      <c r="AW534" s="14">
        <v>13.2</v>
      </c>
      <c r="AX534" s="14">
        <v>121000.0</v>
      </c>
      <c r="AY534" s="14">
        <v>0.4</v>
      </c>
      <c r="AZ534" s="14">
        <v>0.007</v>
      </c>
      <c r="BA534" s="14">
        <f t="shared" si="1"/>
        <v>13.607</v>
      </c>
    </row>
    <row r="535" ht="14.25" customHeight="1">
      <c r="A535" s="10" t="s">
        <v>872</v>
      </c>
      <c r="B535" s="12" t="s">
        <v>70</v>
      </c>
      <c r="C535" s="12"/>
      <c r="D535" s="12"/>
      <c r="E535" s="44">
        <v>44519.0</v>
      </c>
      <c r="F535" s="29">
        <v>1.0</v>
      </c>
      <c r="G535" s="12" t="s">
        <v>873</v>
      </c>
      <c r="H535" s="45">
        <v>0.666666666667879</v>
      </c>
      <c r="I535" s="45">
        <v>0.75</v>
      </c>
      <c r="J535" s="12">
        <v>8.1</v>
      </c>
      <c r="K535" s="12">
        <v>0.18</v>
      </c>
      <c r="L535" s="14">
        <v>331.678</v>
      </c>
      <c r="M535" s="14">
        <v>337.407</v>
      </c>
      <c r="N535" s="14">
        <v>333.457</v>
      </c>
      <c r="O535" s="14">
        <v>336.295</v>
      </c>
      <c r="P535" s="14">
        <v>332.637</v>
      </c>
      <c r="Q535" s="14">
        <v>334.2948</v>
      </c>
      <c r="R535" s="20">
        <v>7.42</v>
      </c>
      <c r="S535" s="20">
        <v>7.51</v>
      </c>
      <c r="T535" s="20">
        <v>7.43</v>
      </c>
      <c r="U535" s="20">
        <v>7.57</v>
      </c>
      <c r="V535" s="20">
        <v>7.37</v>
      </c>
      <c r="W535" s="14">
        <v>7.459999999999999</v>
      </c>
      <c r="X535" s="14">
        <v>17.9</v>
      </c>
      <c r="Y535" s="14">
        <v>17.7</v>
      </c>
      <c r="Z535" s="14">
        <v>17.7</v>
      </c>
      <c r="AA535" s="14">
        <v>17.4</v>
      </c>
      <c r="AB535" s="14">
        <v>17.1</v>
      </c>
      <c r="AC535" s="14">
        <v>17.559999999999995</v>
      </c>
      <c r="AD535" s="20">
        <v>451.0</v>
      </c>
      <c r="AE535" s="20">
        <v>444.0</v>
      </c>
      <c r="AF535" s="20">
        <v>433.0</v>
      </c>
      <c r="AG535" s="20">
        <v>428.0</v>
      </c>
      <c r="AH535" s="20">
        <v>467.0</v>
      </c>
      <c r="AI535" s="14">
        <v>444.6</v>
      </c>
      <c r="AJ535" s="14">
        <v>0.5</v>
      </c>
      <c r="AK535" s="14">
        <v>0.6</v>
      </c>
      <c r="AL535" s="14">
        <v>0.58</v>
      </c>
      <c r="AM535" s="14">
        <v>0.51</v>
      </c>
      <c r="AN535" s="14">
        <v>0.53</v>
      </c>
      <c r="AO535" s="14">
        <v>0.5440000000000002</v>
      </c>
      <c r="AP535" s="14">
        <v>53.0</v>
      </c>
      <c r="AQ535" s="14">
        <v>88.0</v>
      </c>
      <c r="AR535" s="14">
        <v>45.0</v>
      </c>
      <c r="AS535" s="14">
        <v>1.2</v>
      </c>
      <c r="AT535" s="14">
        <v>1.94</v>
      </c>
      <c r="AU535" s="14">
        <v>1.553E7</v>
      </c>
      <c r="AV535" s="14">
        <v>2.4</v>
      </c>
      <c r="AW535" s="14">
        <v>22.7</v>
      </c>
      <c r="AX535" s="14">
        <v>88200.0</v>
      </c>
      <c r="AY535" s="14">
        <v>0.5</v>
      </c>
      <c r="AZ535" s="14">
        <v>0.007</v>
      </c>
      <c r="BA535" s="14">
        <f t="shared" si="1"/>
        <v>23.207</v>
      </c>
    </row>
    <row r="536" ht="14.25" customHeight="1">
      <c r="A536" s="10" t="s">
        <v>874</v>
      </c>
      <c r="B536" s="12" t="s">
        <v>67</v>
      </c>
      <c r="C536" s="12"/>
      <c r="D536" s="12"/>
      <c r="E536" s="44">
        <v>44531.0</v>
      </c>
      <c r="F536" s="29">
        <v>1.0</v>
      </c>
      <c r="G536" s="12" t="s">
        <v>875</v>
      </c>
      <c r="H536" s="45">
        <v>0.666666666667879</v>
      </c>
      <c r="I536" s="45">
        <v>0.75</v>
      </c>
      <c r="J536" s="12">
        <v>2.1</v>
      </c>
      <c r="K536" s="12">
        <v>0.1</v>
      </c>
      <c r="L536" s="14">
        <v>55.959</v>
      </c>
      <c r="M536" s="14">
        <v>56.171</v>
      </c>
      <c r="N536" s="14">
        <v>56.0</v>
      </c>
      <c r="O536" s="14">
        <v>55.674</v>
      </c>
      <c r="P536" s="14">
        <v>55.51</v>
      </c>
      <c r="Q536" s="14">
        <v>55.86280000000001</v>
      </c>
      <c r="R536" s="20">
        <v>7.95</v>
      </c>
      <c r="S536" s="20">
        <v>8.01</v>
      </c>
      <c r="T536" s="20">
        <v>8.02</v>
      </c>
      <c r="U536" s="20">
        <v>7.96</v>
      </c>
      <c r="V536" s="20">
        <v>8.01</v>
      </c>
      <c r="W536" s="14">
        <v>7.99</v>
      </c>
      <c r="X536" s="14">
        <v>14.9</v>
      </c>
      <c r="Y536" s="14">
        <v>14.4</v>
      </c>
      <c r="Z536" s="14">
        <v>14.3</v>
      </c>
      <c r="AA536" s="14">
        <v>14.4</v>
      </c>
      <c r="AB536" s="14">
        <v>14.2</v>
      </c>
      <c r="AC536" s="14">
        <v>14.440000000000001</v>
      </c>
      <c r="AD536" s="20">
        <v>469.0</v>
      </c>
      <c r="AE536" s="20">
        <v>456.0</v>
      </c>
      <c r="AF536" s="20">
        <v>454.0</v>
      </c>
      <c r="AG536" s="20">
        <v>455.0</v>
      </c>
      <c r="AH536" s="20">
        <v>445.0</v>
      </c>
      <c r="AI536" s="14">
        <v>455.8</v>
      </c>
      <c r="AJ536" s="14">
        <v>5.59</v>
      </c>
      <c r="AK536" s="14">
        <v>5.16</v>
      </c>
      <c r="AL536" s="14">
        <v>5.41</v>
      </c>
      <c r="AM536" s="14">
        <v>5.44</v>
      </c>
      <c r="AN536" s="14">
        <v>5.14</v>
      </c>
      <c r="AO536" s="14">
        <v>5.348000000000001</v>
      </c>
      <c r="AP536" s="14">
        <v>26.0</v>
      </c>
      <c r="AQ536" s="14">
        <v>64.0</v>
      </c>
      <c r="AR536" s="14">
        <v>26.0</v>
      </c>
      <c r="AS536" s="14">
        <v>1.2</v>
      </c>
      <c r="AT536" s="14">
        <v>0.2</v>
      </c>
      <c r="AU536" s="14">
        <v>7540000.0</v>
      </c>
      <c r="AV536" s="14">
        <v>2.64</v>
      </c>
      <c r="AW536" s="14">
        <v>16.5</v>
      </c>
      <c r="AX536" s="14">
        <v>95900.0</v>
      </c>
      <c r="AY536" s="14">
        <v>0.5</v>
      </c>
      <c r="AZ536" s="14">
        <v>0.007</v>
      </c>
      <c r="BA536" s="14">
        <f t="shared" si="1"/>
        <v>17.007</v>
      </c>
    </row>
    <row r="537" ht="14.25" customHeight="1">
      <c r="A537" s="10" t="s">
        <v>876</v>
      </c>
      <c r="B537" s="12" t="s">
        <v>61</v>
      </c>
      <c r="C537" s="12"/>
      <c r="D537" s="12"/>
      <c r="E537" s="44">
        <v>44525.0</v>
      </c>
      <c r="F537" s="29">
        <v>1.0</v>
      </c>
      <c r="G537" s="12" t="s">
        <v>877</v>
      </c>
      <c r="H537" s="45">
        <v>0.58333333333212</v>
      </c>
      <c r="I537" s="45">
        <v>0.666666666667879</v>
      </c>
      <c r="J537" s="12">
        <v>5.76</v>
      </c>
      <c r="K537" s="12">
        <v>0.12</v>
      </c>
      <c r="L537" s="14">
        <v>362.839</v>
      </c>
      <c r="M537" s="14">
        <v>362.206</v>
      </c>
      <c r="N537" s="14">
        <v>364.871</v>
      </c>
      <c r="O537" s="14" t="s">
        <v>161</v>
      </c>
      <c r="P537" s="14" t="s">
        <v>161</v>
      </c>
      <c r="Q537" s="14">
        <v>363.3053333333334</v>
      </c>
      <c r="R537" s="20">
        <v>7.74</v>
      </c>
      <c r="S537" s="20">
        <v>7.67</v>
      </c>
      <c r="T537" s="20">
        <v>7.61</v>
      </c>
      <c r="U537" s="20" t="s">
        <v>161</v>
      </c>
      <c r="V537" s="20" t="s">
        <v>161</v>
      </c>
      <c r="W537" s="14">
        <v>7.673333333333333</v>
      </c>
      <c r="X537" s="14">
        <v>19.1</v>
      </c>
      <c r="Y537" s="14">
        <v>17.7</v>
      </c>
      <c r="Z537" s="14">
        <v>17.4</v>
      </c>
      <c r="AA537" s="14" t="s">
        <v>161</v>
      </c>
      <c r="AB537" s="14" t="s">
        <v>161</v>
      </c>
      <c r="AC537" s="14">
        <v>18.066666666666666</v>
      </c>
      <c r="AD537" s="20">
        <v>452.0</v>
      </c>
      <c r="AE537" s="20">
        <v>468.0</v>
      </c>
      <c r="AF537" s="20">
        <v>457.0</v>
      </c>
      <c r="AG537" s="20" t="s">
        <v>161</v>
      </c>
      <c r="AH537" s="20" t="s">
        <v>161</v>
      </c>
      <c r="AI537" s="14">
        <v>459.0</v>
      </c>
      <c r="AJ537" s="14">
        <v>0.65</v>
      </c>
      <c r="AK537" s="14">
        <v>0.67</v>
      </c>
      <c r="AL537" s="14">
        <v>0.76</v>
      </c>
      <c r="AM537" s="14" t="s">
        <v>161</v>
      </c>
      <c r="AN537" s="14" t="s">
        <v>161</v>
      </c>
      <c r="AO537" s="14">
        <v>0.6933333333333334</v>
      </c>
      <c r="AP537" s="14">
        <v>82.0</v>
      </c>
      <c r="AQ537" s="14">
        <v>138.0</v>
      </c>
      <c r="AR537" s="14">
        <v>60.0</v>
      </c>
      <c r="AS537" s="14">
        <v>1.2</v>
      </c>
      <c r="AT537" s="14">
        <v>3.69</v>
      </c>
      <c r="AU537" s="14">
        <v>8.39E7</v>
      </c>
      <c r="AV537" s="14">
        <v>6.52</v>
      </c>
      <c r="AW537" s="14">
        <v>29.7</v>
      </c>
      <c r="AX537" s="14">
        <v>1296000.0</v>
      </c>
      <c r="AY537" s="14">
        <v>0.9</v>
      </c>
      <c r="AZ537" s="14">
        <v>0.007</v>
      </c>
      <c r="BA537" s="14">
        <f t="shared" si="1"/>
        <v>30.607</v>
      </c>
    </row>
    <row r="538" ht="14.25" customHeight="1">
      <c r="A538" s="10" t="s">
        <v>878</v>
      </c>
      <c r="B538" s="16" t="s">
        <v>93</v>
      </c>
      <c r="C538" s="12"/>
      <c r="D538" s="12"/>
      <c r="E538" s="44">
        <v>44525.0</v>
      </c>
      <c r="F538" s="29">
        <v>1.0</v>
      </c>
      <c r="G538" s="12" t="s">
        <v>879</v>
      </c>
      <c r="H538" s="45">
        <v>0.33333333333212</v>
      </c>
      <c r="I538" s="45">
        <v>0.416666666667879</v>
      </c>
      <c r="J538" s="12">
        <v>5.2</v>
      </c>
      <c r="K538" s="12">
        <v>0.04</v>
      </c>
      <c r="L538" s="14">
        <v>49.514</v>
      </c>
      <c r="M538" s="14">
        <v>50.943</v>
      </c>
      <c r="N538" s="14">
        <v>51.145</v>
      </c>
      <c r="O538" s="14">
        <v>52.253</v>
      </c>
      <c r="P538" s="14">
        <v>53.292</v>
      </c>
      <c r="Q538" s="14">
        <v>51.42940000000001</v>
      </c>
      <c r="R538" s="20">
        <v>8.3</v>
      </c>
      <c r="S538" s="20">
        <v>8.32</v>
      </c>
      <c r="T538" s="20">
        <v>8.33</v>
      </c>
      <c r="U538" s="20">
        <v>8.36</v>
      </c>
      <c r="V538" s="20">
        <v>8.36</v>
      </c>
      <c r="W538" s="14">
        <v>8.334</v>
      </c>
      <c r="X538" s="14">
        <v>16.0</v>
      </c>
      <c r="Y538" s="14">
        <v>16.1</v>
      </c>
      <c r="Z538" s="14">
        <v>15.7</v>
      </c>
      <c r="AA538" s="14">
        <v>16.0</v>
      </c>
      <c r="AB538" s="14">
        <v>15.8</v>
      </c>
      <c r="AC538" s="14">
        <v>15.919999999999998</v>
      </c>
      <c r="AD538" s="20">
        <v>629.0</v>
      </c>
      <c r="AE538" s="20">
        <v>741.0</v>
      </c>
      <c r="AF538" s="20">
        <v>771.0</v>
      </c>
      <c r="AG538" s="20">
        <v>795.0</v>
      </c>
      <c r="AH538" s="20">
        <v>777.0</v>
      </c>
      <c r="AI538" s="14">
        <v>742.6</v>
      </c>
      <c r="AJ538" s="14">
        <v>4.95</v>
      </c>
      <c r="AK538" s="14">
        <v>3.93</v>
      </c>
      <c r="AL538" s="14">
        <v>3.8</v>
      </c>
      <c r="AM538" s="14">
        <v>4.32</v>
      </c>
      <c r="AN538" s="14">
        <v>4.02</v>
      </c>
      <c r="AO538" s="14">
        <v>4.204</v>
      </c>
      <c r="AP538" s="14">
        <v>58.0</v>
      </c>
      <c r="AQ538" s="14">
        <v>203.0</v>
      </c>
      <c r="AR538" s="14">
        <v>64.0</v>
      </c>
      <c r="AS538" s="14">
        <v>1.2</v>
      </c>
      <c r="AT538" s="14">
        <v>2.82</v>
      </c>
      <c r="AU538" s="14">
        <v>1.576E7</v>
      </c>
      <c r="AV538" s="14">
        <v>8.79</v>
      </c>
      <c r="AW538" s="14">
        <v>57.1</v>
      </c>
      <c r="AX538" s="14">
        <v>1291000.0</v>
      </c>
      <c r="AY538" s="14">
        <v>1.1</v>
      </c>
      <c r="AZ538" s="14">
        <v>0.007</v>
      </c>
      <c r="BA538" s="14">
        <f t="shared" si="1"/>
        <v>58.207</v>
      </c>
    </row>
    <row r="539" ht="14.25" customHeight="1">
      <c r="A539" s="10" t="s">
        <v>880</v>
      </c>
      <c r="B539" s="16" t="s">
        <v>79</v>
      </c>
      <c r="C539" s="12"/>
      <c r="D539" s="12"/>
      <c r="E539" s="46">
        <v>44525.0</v>
      </c>
      <c r="F539" s="47">
        <v>1.0</v>
      </c>
      <c r="G539" s="18" t="s">
        <v>881</v>
      </c>
      <c r="H539" s="13">
        <v>0.58333333333212</v>
      </c>
      <c r="I539" s="13">
        <v>0.666666666667879</v>
      </c>
      <c r="J539" s="18">
        <v>1.3</v>
      </c>
      <c r="K539" s="18">
        <v>0.1</v>
      </c>
      <c r="L539" s="15">
        <v>37.578</v>
      </c>
      <c r="M539" s="15">
        <v>37.69</v>
      </c>
      <c r="N539" s="15">
        <v>38.402</v>
      </c>
      <c r="O539" s="15">
        <v>37.76</v>
      </c>
      <c r="P539" s="15">
        <v>37.695</v>
      </c>
      <c r="Q539" s="15">
        <v>37.825</v>
      </c>
      <c r="R539" s="20">
        <v>7.46</v>
      </c>
      <c r="S539" s="20">
        <v>7.31</v>
      </c>
      <c r="T539" s="20">
        <v>7.48</v>
      </c>
      <c r="U539" s="20">
        <v>7.35</v>
      </c>
      <c r="V539" s="20">
        <v>7.21</v>
      </c>
      <c r="W539" s="15">
        <v>7.362</v>
      </c>
      <c r="X539" s="15">
        <v>13.8</v>
      </c>
      <c r="Y539" s="15">
        <v>15.0</v>
      </c>
      <c r="Z539" s="15">
        <v>14.3</v>
      </c>
      <c r="AA539" s="15">
        <v>13.6</v>
      </c>
      <c r="AB539" s="15">
        <v>13.4</v>
      </c>
      <c r="AC539" s="15">
        <v>14.020000000000001</v>
      </c>
      <c r="AD539" s="20">
        <v>101.8</v>
      </c>
      <c r="AE539" s="20">
        <v>96.2</v>
      </c>
      <c r="AF539" s="20">
        <v>96.5</v>
      </c>
      <c r="AG539" s="20">
        <v>96.3</v>
      </c>
      <c r="AH539" s="20">
        <v>90.5</v>
      </c>
      <c r="AI539" s="15">
        <v>96.26</v>
      </c>
      <c r="AJ539" s="15">
        <v>5.25</v>
      </c>
      <c r="AK539" s="15">
        <v>5.53</v>
      </c>
      <c r="AL539" s="15">
        <v>5.11</v>
      </c>
      <c r="AM539" s="15">
        <v>4.78</v>
      </c>
      <c r="AN539" s="15">
        <v>5.09</v>
      </c>
      <c r="AO539" s="15">
        <v>5.152</v>
      </c>
      <c r="AP539" s="15">
        <v>9.0</v>
      </c>
      <c r="AQ539" s="15">
        <v>15.0</v>
      </c>
      <c r="AR539" s="15">
        <v>5.0</v>
      </c>
      <c r="AS539" s="15">
        <v>1.2</v>
      </c>
      <c r="AT539" s="15">
        <v>0.07</v>
      </c>
      <c r="AU539" s="15">
        <v>1281000.0</v>
      </c>
      <c r="AV539" s="15">
        <v>0.48</v>
      </c>
      <c r="AW539" s="15">
        <v>3.9</v>
      </c>
      <c r="AX539" s="15">
        <v>10540.0</v>
      </c>
      <c r="AY539" s="15">
        <v>0.7</v>
      </c>
      <c r="AZ539" s="15">
        <v>0.024</v>
      </c>
      <c r="BA539" s="15">
        <f t="shared" si="1"/>
        <v>4.624</v>
      </c>
    </row>
    <row r="540" ht="14.25" customHeight="1">
      <c r="A540" s="10" t="s">
        <v>882</v>
      </c>
      <c r="B540" s="12" t="s">
        <v>104</v>
      </c>
      <c r="C540" s="12"/>
      <c r="D540" s="12"/>
      <c r="E540" s="44">
        <v>44530.0</v>
      </c>
      <c r="F540" s="29">
        <v>1.0</v>
      </c>
      <c r="G540" s="12" t="s">
        <v>883</v>
      </c>
      <c r="H540" s="45">
        <v>0.33333333333212</v>
      </c>
      <c r="I540" s="45">
        <v>0.416666666667879</v>
      </c>
      <c r="J540" s="12">
        <v>0.9</v>
      </c>
      <c r="K540" s="12">
        <v>0.17</v>
      </c>
      <c r="L540" s="14">
        <v>20.929</v>
      </c>
      <c r="M540" s="14">
        <v>21.322</v>
      </c>
      <c r="N540" s="14">
        <v>14.218</v>
      </c>
      <c r="O540" s="14">
        <v>13.974</v>
      </c>
      <c r="P540" s="14">
        <v>21.699</v>
      </c>
      <c r="Q540" s="14">
        <v>18.4284</v>
      </c>
      <c r="R540" s="20">
        <v>10.71</v>
      </c>
      <c r="S540" s="20">
        <v>10.86</v>
      </c>
      <c r="T540" s="20">
        <v>9.12</v>
      </c>
      <c r="U540" s="20">
        <v>8.69</v>
      </c>
      <c r="V540" s="20">
        <v>8.91</v>
      </c>
      <c r="W540" s="14">
        <v>9.657999999999998</v>
      </c>
      <c r="X540" s="14">
        <v>13.9</v>
      </c>
      <c r="Y540" s="14">
        <v>13.9</v>
      </c>
      <c r="Z540" s="14">
        <v>14.1</v>
      </c>
      <c r="AA540" s="14">
        <v>13.9</v>
      </c>
      <c r="AB540" s="14">
        <v>15.9</v>
      </c>
      <c r="AC540" s="14">
        <v>14.34</v>
      </c>
      <c r="AD540" s="20">
        <v>617.0</v>
      </c>
      <c r="AE540" s="20">
        <v>628.0</v>
      </c>
      <c r="AF540" s="20">
        <v>645.0</v>
      </c>
      <c r="AG540" s="20">
        <v>669.0</v>
      </c>
      <c r="AH540" s="20">
        <v>661.0</v>
      </c>
      <c r="AI540" s="14">
        <v>644.0</v>
      </c>
      <c r="AJ540" s="14">
        <v>3.91</v>
      </c>
      <c r="AK540" s="14">
        <v>3.52</v>
      </c>
      <c r="AL540" s="14">
        <v>4.81</v>
      </c>
      <c r="AM540" s="14">
        <v>4.34</v>
      </c>
      <c r="AN540" s="14">
        <v>3.93</v>
      </c>
      <c r="AO540" s="14">
        <v>4.101999999999999</v>
      </c>
      <c r="AP540" s="14">
        <v>70.0</v>
      </c>
      <c r="AQ540" s="14">
        <v>216.0</v>
      </c>
      <c r="AR540" s="14">
        <v>3820.0</v>
      </c>
      <c r="AS540" s="14">
        <v>1.2</v>
      </c>
      <c r="AT540" s="14">
        <v>0.23</v>
      </c>
      <c r="AU540" s="14">
        <v>675000.0</v>
      </c>
      <c r="AV540" s="14">
        <v>0.21</v>
      </c>
      <c r="AW540" s="14">
        <v>27.7</v>
      </c>
      <c r="AX540" s="14">
        <v>5440.0</v>
      </c>
      <c r="AY540" s="14">
        <v>0.6</v>
      </c>
      <c r="AZ540" s="14">
        <v>0.558</v>
      </c>
      <c r="BA540" s="14">
        <f t="shared" si="1"/>
        <v>28.858</v>
      </c>
    </row>
    <row r="541" ht="14.25" customHeight="1">
      <c r="A541" s="10" t="s">
        <v>884</v>
      </c>
      <c r="B541" s="12" t="s">
        <v>97</v>
      </c>
      <c r="C541" s="12"/>
      <c r="D541" s="12"/>
      <c r="E541" s="44">
        <v>44533.0</v>
      </c>
      <c r="F541" s="29">
        <v>1.0</v>
      </c>
      <c r="G541" s="12" t="s">
        <v>885</v>
      </c>
      <c r="H541" s="45">
        <v>0.58333333333212</v>
      </c>
      <c r="I541" s="45">
        <v>0.666666666667879</v>
      </c>
      <c r="J541" s="12">
        <v>2.1</v>
      </c>
      <c r="K541" s="12">
        <v>0.2</v>
      </c>
      <c r="L541" s="14">
        <v>129.494</v>
      </c>
      <c r="M541" s="14">
        <v>130.828</v>
      </c>
      <c r="N541" s="14">
        <v>134.976</v>
      </c>
      <c r="O541" s="14">
        <v>135.164</v>
      </c>
      <c r="P541" s="14">
        <v>137.94</v>
      </c>
      <c r="Q541" s="14">
        <v>133.68040000000002</v>
      </c>
      <c r="R541" s="20">
        <v>7.48</v>
      </c>
      <c r="S541" s="20">
        <v>7.44</v>
      </c>
      <c r="T541" s="20">
        <v>7.49</v>
      </c>
      <c r="U541" s="20">
        <v>7.21</v>
      </c>
      <c r="V541" s="20">
        <v>7.69</v>
      </c>
      <c r="W541" s="14">
        <v>7.462000000000001</v>
      </c>
      <c r="X541" s="14">
        <v>20.9</v>
      </c>
      <c r="Y541" s="14">
        <v>20.9</v>
      </c>
      <c r="Z541" s="14">
        <v>20.7</v>
      </c>
      <c r="AA541" s="14">
        <v>20.7</v>
      </c>
      <c r="AB541" s="14">
        <v>20.9</v>
      </c>
      <c r="AC541" s="14">
        <v>20.82</v>
      </c>
      <c r="AD541" s="20">
        <v>484.0</v>
      </c>
      <c r="AE541" s="20">
        <v>445.0</v>
      </c>
      <c r="AF541" s="20">
        <v>486.0</v>
      </c>
      <c r="AG541" s="20">
        <v>489.0</v>
      </c>
      <c r="AH541" s="20">
        <v>491.0</v>
      </c>
      <c r="AI541" s="14">
        <v>479.0</v>
      </c>
      <c r="AJ541" s="14">
        <v>3.76</v>
      </c>
      <c r="AK541" s="14">
        <v>2.64</v>
      </c>
      <c r="AL541" s="14">
        <v>3.38</v>
      </c>
      <c r="AM541" s="14">
        <v>2.48</v>
      </c>
      <c r="AN541" s="14">
        <v>3.13</v>
      </c>
      <c r="AO541" s="14">
        <v>3.0780000000000003</v>
      </c>
      <c r="AP541" s="14">
        <v>193.0</v>
      </c>
      <c r="AQ541" s="14">
        <v>249.0</v>
      </c>
      <c r="AR541" s="14">
        <v>118.0</v>
      </c>
      <c r="AS541" s="14">
        <v>68.0</v>
      </c>
      <c r="AT541" s="14">
        <v>3.1</v>
      </c>
      <c r="AU541" s="14">
        <v>1.782E8</v>
      </c>
      <c r="AV541" s="14">
        <v>4.43</v>
      </c>
      <c r="AW541" s="14">
        <v>30.5</v>
      </c>
      <c r="AX541" s="14">
        <v>1.455E7</v>
      </c>
      <c r="AY541" s="14">
        <v>0.1</v>
      </c>
      <c r="AZ541" s="14">
        <v>0.007</v>
      </c>
      <c r="BA541" s="14">
        <f t="shared" si="1"/>
        <v>30.607</v>
      </c>
    </row>
    <row r="542" ht="14.25" customHeight="1">
      <c r="A542" s="10" t="s">
        <v>886</v>
      </c>
      <c r="B542" s="12" t="s">
        <v>106</v>
      </c>
      <c r="C542" s="12"/>
      <c r="D542" s="12"/>
      <c r="E542" s="44">
        <v>44530.0</v>
      </c>
      <c r="F542" s="29">
        <v>1.0</v>
      </c>
      <c r="G542" s="12" t="s">
        <v>887</v>
      </c>
      <c r="H542" s="45">
        <v>0.5</v>
      </c>
      <c r="I542" s="45">
        <v>0.58333333333212</v>
      </c>
      <c r="J542" s="12">
        <v>0.7</v>
      </c>
      <c r="K542" s="12">
        <v>0.2</v>
      </c>
      <c r="L542" s="14">
        <v>46.008</v>
      </c>
      <c r="M542" s="14">
        <v>44.287</v>
      </c>
      <c r="N542" s="14">
        <v>44.198</v>
      </c>
      <c r="O542" s="14">
        <v>44.142</v>
      </c>
      <c r="P542" s="14">
        <v>44.834</v>
      </c>
      <c r="Q542" s="14">
        <v>44.693799999999996</v>
      </c>
      <c r="R542" s="20">
        <v>10.19</v>
      </c>
      <c r="S542" s="20">
        <v>10.04</v>
      </c>
      <c r="T542" s="20">
        <v>9.92</v>
      </c>
      <c r="U542" s="20">
        <v>9.83</v>
      </c>
      <c r="V542" s="20">
        <v>10.52</v>
      </c>
      <c r="W542" s="14">
        <v>10.1</v>
      </c>
      <c r="X542" s="14">
        <v>16.3</v>
      </c>
      <c r="Y542" s="14">
        <v>15.0</v>
      </c>
      <c r="Z542" s="14">
        <v>16.1</v>
      </c>
      <c r="AA542" s="14">
        <v>16.5</v>
      </c>
      <c r="AB542" s="14">
        <v>16.6</v>
      </c>
      <c r="AC542" s="14">
        <v>16.1</v>
      </c>
      <c r="AD542" s="20">
        <v>577.0</v>
      </c>
      <c r="AE542" s="20">
        <v>574.0</v>
      </c>
      <c r="AF542" s="20">
        <v>621.0</v>
      </c>
      <c r="AG542" s="20">
        <v>633.0</v>
      </c>
      <c r="AH542" s="20">
        <v>529.0</v>
      </c>
      <c r="AI542" s="14">
        <v>586.8</v>
      </c>
      <c r="AJ542" s="14">
        <v>5.52</v>
      </c>
      <c r="AK542" s="14">
        <v>5.94</v>
      </c>
      <c r="AL542" s="14">
        <v>5.8</v>
      </c>
      <c r="AM542" s="14">
        <v>5.71</v>
      </c>
      <c r="AN542" s="14">
        <v>5.74</v>
      </c>
      <c r="AO542" s="14">
        <v>5.742</v>
      </c>
      <c r="AP542" s="14">
        <v>105.0</v>
      </c>
      <c r="AQ542" s="14">
        <v>276.0</v>
      </c>
      <c r="AR542" s="14">
        <v>3675.0</v>
      </c>
      <c r="AS542" s="14">
        <v>1.2</v>
      </c>
      <c r="AT542" s="14">
        <v>0.39</v>
      </c>
      <c r="AU542" s="14">
        <v>73800.0</v>
      </c>
      <c r="AV542" s="14">
        <v>0.09</v>
      </c>
      <c r="AW542" s="14">
        <v>29.7</v>
      </c>
      <c r="AX542" s="14">
        <v>6870.0</v>
      </c>
      <c r="AY542" s="14">
        <v>1.0</v>
      </c>
      <c r="AZ542" s="14">
        <v>1.207</v>
      </c>
      <c r="BA542" s="14">
        <f t="shared" si="1"/>
        <v>31.907</v>
      </c>
    </row>
    <row r="543" ht="14.25" customHeight="1">
      <c r="A543" s="10" t="s">
        <v>888</v>
      </c>
      <c r="B543" s="12" t="s">
        <v>70</v>
      </c>
      <c r="C543" s="12"/>
      <c r="D543" s="12"/>
      <c r="E543" s="44">
        <v>44537.0</v>
      </c>
      <c r="F543" s="29">
        <v>1.0</v>
      </c>
      <c r="G543" s="12" t="s">
        <v>889</v>
      </c>
      <c r="H543" s="45">
        <v>0.58333333333212</v>
      </c>
      <c r="I543" s="45">
        <v>0.666666666667879</v>
      </c>
      <c r="J543" s="12">
        <v>7.56</v>
      </c>
      <c r="K543" s="12">
        <v>0.17</v>
      </c>
      <c r="L543" s="14">
        <v>258.948</v>
      </c>
      <c r="M543" s="14">
        <v>258.724</v>
      </c>
      <c r="N543" s="14">
        <v>260.146</v>
      </c>
      <c r="O543" s="14">
        <v>262.366</v>
      </c>
      <c r="P543" s="14">
        <v>259.523</v>
      </c>
      <c r="Q543" s="14">
        <v>259.9414</v>
      </c>
      <c r="R543" s="20">
        <v>7.35</v>
      </c>
      <c r="S543" s="20">
        <v>7.21</v>
      </c>
      <c r="T543" s="20">
        <v>7.29</v>
      </c>
      <c r="U543" s="20">
        <v>7.38</v>
      </c>
      <c r="V543" s="20">
        <v>7.26</v>
      </c>
      <c r="W543" s="14">
        <v>7.297999999999999</v>
      </c>
      <c r="X543" s="14">
        <v>19.1</v>
      </c>
      <c r="Y543" s="14">
        <v>19.0</v>
      </c>
      <c r="Z543" s="14">
        <v>18.9</v>
      </c>
      <c r="AA543" s="14">
        <v>19.0</v>
      </c>
      <c r="AB543" s="14">
        <v>19.0</v>
      </c>
      <c r="AC543" s="14">
        <v>19.0</v>
      </c>
      <c r="AD543" s="20">
        <v>465.0</v>
      </c>
      <c r="AE543" s="20">
        <v>465.0</v>
      </c>
      <c r="AF543" s="20">
        <v>461.0</v>
      </c>
      <c r="AG543" s="20">
        <v>468.0</v>
      </c>
      <c r="AH543" s="20">
        <v>456.0</v>
      </c>
      <c r="AI543" s="14">
        <v>463.0</v>
      </c>
      <c r="AJ543" s="14">
        <v>0.1</v>
      </c>
      <c r="AK543" s="14">
        <v>0.22</v>
      </c>
      <c r="AL543" s="14">
        <v>0.17</v>
      </c>
      <c r="AM543" s="14">
        <v>0.19</v>
      </c>
      <c r="AN543" s="14">
        <v>0.2</v>
      </c>
      <c r="AO543" s="14">
        <v>0.176</v>
      </c>
      <c r="AP543" s="14">
        <v>87.0</v>
      </c>
      <c r="AQ543" s="14">
        <v>141.0</v>
      </c>
      <c r="AR543" s="14">
        <v>28.0</v>
      </c>
      <c r="AS543" s="14">
        <v>7.6</v>
      </c>
      <c r="AT543" s="14">
        <v>0.64</v>
      </c>
      <c r="AU543" s="14">
        <v>1.222E7</v>
      </c>
      <c r="AV543" s="14">
        <v>2.07</v>
      </c>
      <c r="AW543" s="14">
        <v>27.4</v>
      </c>
      <c r="AX543" s="14">
        <v>113000.0</v>
      </c>
      <c r="AY543" s="14">
        <v>0.5</v>
      </c>
      <c r="AZ543" s="14">
        <v>0.007</v>
      </c>
      <c r="BA543" s="14">
        <f t="shared" si="1"/>
        <v>27.907</v>
      </c>
    </row>
    <row r="544" ht="14.25" customHeight="1">
      <c r="A544" s="10" t="s">
        <v>890</v>
      </c>
      <c r="B544" s="12" t="s">
        <v>67</v>
      </c>
      <c r="C544" s="12"/>
      <c r="D544" s="12"/>
      <c r="E544" s="44">
        <v>44537.0</v>
      </c>
      <c r="F544" s="29">
        <v>1.0</v>
      </c>
      <c r="G544" s="12" t="s">
        <v>891</v>
      </c>
      <c r="H544" s="45">
        <v>0.5</v>
      </c>
      <c r="I544" s="45">
        <v>0.58333333333212</v>
      </c>
      <c r="J544" s="12">
        <v>1.9</v>
      </c>
      <c r="K544" s="12">
        <v>0.11</v>
      </c>
      <c r="L544" s="14">
        <v>39.919</v>
      </c>
      <c r="M544" s="14">
        <v>40.499</v>
      </c>
      <c r="N544" s="14">
        <v>40.964</v>
      </c>
      <c r="O544" s="14">
        <v>41.294</v>
      </c>
      <c r="P544" s="14">
        <v>42.872</v>
      </c>
      <c r="Q544" s="14">
        <v>41.1096</v>
      </c>
      <c r="R544" s="20">
        <v>7.99</v>
      </c>
      <c r="S544" s="20">
        <v>7.88</v>
      </c>
      <c r="T544" s="20">
        <v>7.87</v>
      </c>
      <c r="U544" s="20">
        <v>7.83</v>
      </c>
      <c r="V544" s="20">
        <v>7.93</v>
      </c>
      <c r="W544" s="14">
        <v>7.9</v>
      </c>
      <c r="X544" s="14">
        <v>15.5</v>
      </c>
      <c r="Y544" s="14">
        <v>15.0</v>
      </c>
      <c r="Z544" s="14">
        <v>15.4</v>
      </c>
      <c r="AA544" s="14">
        <v>16.2</v>
      </c>
      <c r="AB544" s="14">
        <v>14.9</v>
      </c>
      <c r="AC544" s="14">
        <v>15.4</v>
      </c>
      <c r="AD544" s="20">
        <v>207.0</v>
      </c>
      <c r="AE544" s="20">
        <v>242.0</v>
      </c>
      <c r="AF544" s="20">
        <v>257.0</v>
      </c>
      <c r="AG544" s="20">
        <v>261.0</v>
      </c>
      <c r="AH544" s="20">
        <v>283.0</v>
      </c>
      <c r="AI544" s="14">
        <v>250.0</v>
      </c>
      <c r="AJ544" s="14">
        <v>4.84</v>
      </c>
      <c r="AK544" s="14">
        <v>4.27</v>
      </c>
      <c r="AL544" s="14">
        <v>4.61</v>
      </c>
      <c r="AM544" s="14">
        <v>4.37</v>
      </c>
      <c r="AN544" s="14">
        <v>4.67</v>
      </c>
      <c r="AO544" s="14">
        <v>4.552</v>
      </c>
      <c r="AP544" s="14">
        <v>14.0</v>
      </c>
      <c r="AQ544" s="14">
        <v>36.0</v>
      </c>
      <c r="AR544" s="14">
        <v>27.0</v>
      </c>
      <c r="AS544" s="14">
        <v>1.2</v>
      </c>
      <c r="AT544" s="14">
        <v>0.19</v>
      </c>
      <c r="AU544" s="14">
        <v>196800.0</v>
      </c>
      <c r="AV544" s="14">
        <v>1.88</v>
      </c>
      <c r="AW544" s="14">
        <v>7.8</v>
      </c>
      <c r="AX544" s="14">
        <v>98500.0</v>
      </c>
      <c r="AY544" s="14">
        <v>0.1</v>
      </c>
      <c r="AZ544" s="14">
        <v>0.036</v>
      </c>
      <c r="BA544" s="14">
        <f t="shared" si="1"/>
        <v>7.936</v>
      </c>
    </row>
    <row r="545" ht="14.25" customHeight="1">
      <c r="A545" s="10" t="s">
        <v>892</v>
      </c>
      <c r="B545" s="12" t="s">
        <v>138</v>
      </c>
      <c r="C545" s="12"/>
      <c r="D545" s="12"/>
      <c r="E545" s="44">
        <v>44511.0</v>
      </c>
      <c r="F545" s="29">
        <v>1.0</v>
      </c>
      <c r="G545" s="12" t="s">
        <v>893</v>
      </c>
      <c r="H545" s="45">
        <v>0.58333333333212</v>
      </c>
      <c r="I545" s="45">
        <v>0.666666666667879</v>
      </c>
      <c r="J545" s="12">
        <v>0.7</v>
      </c>
      <c r="K545" s="12">
        <v>0.17</v>
      </c>
      <c r="L545" s="14">
        <v>29.306</v>
      </c>
      <c r="M545" s="14">
        <v>29.398</v>
      </c>
      <c r="N545" s="14">
        <v>29.141</v>
      </c>
      <c r="O545" s="14">
        <v>29.432</v>
      </c>
      <c r="P545" s="14">
        <v>29.576</v>
      </c>
      <c r="Q545" s="14">
        <v>29.370600000000003</v>
      </c>
      <c r="R545" s="20">
        <v>7.5</v>
      </c>
      <c r="S545" s="20">
        <v>7.3</v>
      </c>
      <c r="T545" s="20">
        <v>7.63</v>
      </c>
      <c r="U545" s="20">
        <v>7.66</v>
      </c>
      <c r="V545" s="20">
        <v>7.61</v>
      </c>
      <c r="W545" s="14">
        <v>7.540000000000001</v>
      </c>
      <c r="X545" s="14">
        <v>16.5</v>
      </c>
      <c r="Y545" s="14">
        <v>15.8</v>
      </c>
      <c r="Z545" s="14">
        <v>15.5</v>
      </c>
      <c r="AA545" s="14">
        <v>15.9</v>
      </c>
      <c r="AB545" s="14">
        <v>15.2</v>
      </c>
      <c r="AC545" s="14">
        <v>15.779999999999998</v>
      </c>
      <c r="AD545" s="20">
        <v>794.0</v>
      </c>
      <c r="AE545" s="20">
        <v>785.0</v>
      </c>
      <c r="AF545" s="20">
        <v>781.0</v>
      </c>
      <c r="AG545" s="20">
        <v>791.0</v>
      </c>
      <c r="AH545" s="20">
        <v>775.0</v>
      </c>
      <c r="AI545" s="14">
        <v>785.2</v>
      </c>
      <c r="AJ545" s="14">
        <v>4.34</v>
      </c>
      <c r="AK545" s="14">
        <v>4.3</v>
      </c>
      <c r="AL545" s="14">
        <v>4.4</v>
      </c>
      <c r="AM545" s="14">
        <v>3.38</v>
      </c>
      <c r="AN545" s="14">
        <v>3.41</v>
      </c>
      <c r="AO545" s="14">
        <v>3.966</v>
      </c>
      <c r="AP545" s="14">
        <v>186.0</v>
      </c>
      <c r="AQ545" s="14">
        <v>387.0</v>
      </c>
      <c r="AR545" s="14">
        <v>172.0</v>
      </c>
      <c r="AS545" s="14">
        <v>74.0</v>
      </c>
      <c r="AT545" s="14">
        <v>6.09</v>
      </c>
      <c r="AU545" s="14">
        <v>1.391E7</v>
      </c>
      <c r="AV545" s="14">
        <v>3.98</v>
      </c>
      <c r="AW545" s="14">
        <v>34.2</v>
      </c>
      <c r="AX545" s="14">
        <v>663000.0</v>
      </c>
      <c r="AY545" s="14">
        <v>0.9</v>
      </c>
      <c r="AZ545" s="14">
        <v>0.007</v>
      </c>
      <c r="BA545" s="14">
        <f t="shared" si="1"/>
        <v>35.107</v>
      </c>
    </row>
    <row r="546" ht="14.25" customHeight="1">
      <c r="A546" s="10" t="s">
        <v>894</v>
      </c>
      <c r="B546" s="12" t="s">
        <v>95</v>
      </c>
      <c r="C546" s="12"/>
      <c r="D546" s="12"/>
      <c r="E546" s="44">
        <v>44533.0</v>
      </c>
      <c r="F546" s="29">
        <v>1.0</v>
      </c>
      <c r="G546" s="12" t="s">
        <v>895</v>
      </c>
      <c r="H546" s="45">
        <v>0.666666666667879</v>
      </c>
      <c r="I546" s="45">
        <v>0.75</v>
      </c>
      <c r="J546" s="12">
        <v>1.5</v>
      </c>
      <c r="K546" s="12">
        <v>0.05</v>
      </c>
      <c r="L546" s="14">
        <v>4.566</v>
      </c>
      <c r="M546" s="14">
        <v>4.15</v>
      </c>
      <c r="N546" s="14">
        <v>3.76</v>
      </c>
      <c r="O546" s="14">
        <v>3.74</v>
      </c>
      <c r="P546" s="14">
        <v>3.464</v>
      </c>
      <c r="Q546" s="14">
        <v>3.936</v>
      </c>
      <c r="R546" s="20">
        <v>7.7</v>
      </c>
      <c r="S546" s="20">
        <v>7.67</v>
      </c>
      <c r="T546" s="20">
        <v>7.69</v>
      </c>
      <c r="U546" s="20">
        <v>7.72</v>
      </c>
      <c r="V546" s="20">
        <v>7.62</v>
      </c>
      <c r="W546" s="14">
        <v>7.68</v>
      </c>
      <c r="X546" s="14">
        <v>17.6</v>
      </c>
      <c r="Y546" s="14">
        <v>17.4</v>
      </c>
      <c r="Z546" s="14">
        <v>17.1</v>
      </c>
      <c r="AA546" s="14">
        <v>17.3</v>
      </c>
      <c r="AB546" s="14">
        <v>17.2</v>
      </c>
      <c r="AC546" s="14">
        <v>17.32</v>
      </c>
      <c r="AD546" s="20">
        <v>288.0</v>
      </c>
      <c r="AE546" s="20">
        <v>286.0</v>
      </c>
      <c r="AF546" s="20">
        <v>266.0</v>
      </c>
      <c r="AG546" s="20">
        <v>265.0</v>
      </c>
      <c r="AH546" s="20">
        <v>255.0</v>
      </c>
      <c r="AI546" s="14">
        <v>272.0</v>
      </c>
      <c r="AJ546" s="14">
        <v>4.55</v>
      </c>
      <c r="AK546" s="14">
        <v>4.25</v>
      </c>
      <c r="AL546" s="14">
        <v>4.78</v>
      </c>
      <c r="AM546" s="14">
        <v>4.15</v>
      </c>
      <c r="AN546" s="14">
        <v>4.82</v>
      </c>
      <c r="AO546" s="14">
        <v>4.510000000000001</v>
      </c>
      <c r="AP546" s="14">
        <v>34.0</v>
      </c>
      <c r="AQ546" s="14">
        <v>56.0</v>
      </c>
      <c r="AR546" s="14">
        <v>88.0</v>
      </c>
      <c r="AS546" s="14">
        <v>36.0</v>
      </c>
      <c r="AT546" s="14">
        <v>5.1</v>
      </c>
      <c r="AU546" s="14">
        <v>1.391E7</v>
      </c>
      <c r="AV546" s="14">
        <v>1.56</v>
      </c>
      <c r="AW546" s="14">
        <v>11.2</v>
      </c>
      <c r="AX546" s="14">
        <v>9590000.0</v>
      </c>
      <c r="AY546" s="14">
        <v>0.1</v>
      </c>
      <c r="AZ546" s="14">
        <v>0.007</v>
      </c>
      <c r="BA546" s="14">
        <f t="shared" si="1"/>
        <v>11.307</v>
      </c>
    </row>
    <row r="547" ht="14.25" customHeight="1">
      <c r="A547" s="10" t="s">
        <v>896</v>
      </c>
      <c r="B547" s="12" t="s">
        <v>126</v>
      </c>
      <c r="C547" s="12"/>
      <c r="D547" s="12"/>
      <c r="E547" s="44">
        <v>44543.0</v>
      </c>
      <c r="F547" s="29">
        <v>1.0</v>
      </c>
      <c r="G547" s="12" t="s">
        <v>897</v>
      </c>
      <c r="H547" s="45">
        <v>0.5</v>
      </c>
      <c r="I547" s="45">
        <v>0.58333333333212</v>
      </c>
      <c r="J547" s="12">
        <v>1.0</v>
      </c>
      <c r="K547" s="12">
        <v>0.1</v>
      </c>
      <c r="L547" s="14">
        <v>6.599</v>
      </c>
      <c r="M547" s="14">
        <v>6.8</v>
      </c>
      <c r="N547" s="14">
        <v>7.408</v>
      </c>
      <c r="O547" s="14">
        <v>9.527</v>
      </c>
      <c r="P547" s="14">
        <v>12.096</v>
      </c>
      <c r="Q547" s="14">
        <v>8.486</v>
      </c>
      <c r="R547" s="20">
        <v>8.34</v>
      </c>
      <c r="S547" s="20">
        <v>7.84</v>
      </c>
      <c r="T547" s="20">
        <v>7.92</v>
      </c>
      <c r="U547" s="20">
        <v>7.89</v>
      </c>
      <c r="V547" s="20">
        <v>6.87</v>
      </c>
      <c r="W547" s="14">
        <v>7.772</v>
      </c>
      <c r="X547" s="14">
        <v>17.6</v>
      </c>
      <c r="Y547" s="14">
        <v>17.5</v>
      </c>
      <c r="Z547" s="14">
        <v>17.8</v>
      </c>
      <c r="AA547" s="14">
        <v>16.8</v>
      </c>
      <c r="AB547" s="14">
        <v>17.0</v>
      </c>
      <c r="AC547" s="14">
        <v>17.34</v>
      </c>
      <c r="AD547" s="20">
        <v>660.0</v>
      </c>
      <c r="AE547" s="20">
        <v>653.0</v>
      </c>
      <c r="AF547" s="20">
        <v>671.0</v>
      </c>
      <c r="AG547" s="20">
        <v>670.0</v>
      </c>
      <c r="AH547" s="20">
        <v>671.0</v>
      </c>
      <c r="AI547" s="14">
        <v>665.0</v>
      </c>
      <c r="AJ547" s="14">
        <v>3.7</v>
      </c>
      <c r="AK547" s="14">
        <v>4.0</v>
      </c>
      <c r="AL547" s="14">
        <v>4.4</v>
      </c>
      <c r="AM547" s="14">
        <v>4.2</v>
      </c>
      <c r="AN547" s="14">
        <v>4.5</v>
      </c>
      <c r="AO547" s="14">
        <v>4.16</v>
      </c>
      <c r="AP547" s="14">
        <v>48.0</v>
      </c>
      <c r="AQ547" s="14">
        <v>132.0</v>
      </c>
      <c r="AR547" s="14">
        <v>180.0</v>
      </c>
      <c r="AS547" s="14">
        <v>1.2</v>
      </c>
      <c r="AT547" s="14">
        <v>0.16</v>
      </c>
      <c r="AU547" s="14">
        <v>1.842E8</v>
      </c>
      <c r="AV547" s="14">
        <v>2.0</v>
      </c>
      <c r="AW547" s="14">
        <v>16.5</v>
      </c>
      <c r="AX547" s="14">
        <v>889000.0</v>
      </c>
      <c r="AY547" s="14">
        <v>0.6</v>
      </c>
      <c r="AZ547" s="14">
        <v>0.007</v>
      </c>
      <c r="BA547" s="14">
        <f t="shared" si="1"/>
        <v>17.107</v>
      </c>
    </row>
    <row r="548" ht="14.25" customHeight="1">
      <c r="A548" s="10" t="s">
        <v>898</v>
      </c>
      <c r="B548" s="12" t="s">
        <v>63</v>
      </c>
      <c r="C548" s="12"/>
      <c r="D548" s="12"/>
      <c r="E548" s="44">
        <v>44533.0</v>
      </c>
      <c r="F548" s="29">
        <v>1.0</v>
      </c>
      <c r="G548" s="12" t="s">
        <v>899</v>
      </c>
      <c r="H548" s="45">
        <v>0.58333333333212</v>
      </c>
      <c r="I548" s="45">
        <v>0.666666666667879</v>
      </c>
      <c r="J548" s="12">
        <v>7.4</v>
      </c>
      <c r="K548" s="12">
        <v>0.16</v>
      </c>
      <c r="L548" s="14">
        <v>314.815</v>
      </c>
      <c r="M548" s="14">
        <v>318.021</v>
      </c>
      <c r="N548" s="14">
        <v>316.025</v>
      </c>
      <c r="O548" s="14">
        <v>314.092</v>
      </c>
      <c r="P548" s="14">
        <v>314.218</v>
      </c>
      <c r="Q548" s="14">
        <v>315.43420000000003</v>
      </c>
      <c r="R548" s="20">
        <v>7.64</v>
      </c>
      <c r="S548" s="20">
        <v>7.65</v>
      </c>
      <c r="T548" s="20">
        <v>7.63</v>
      </c>
      <c r="U548" s="20">
        <v>7.6</v>
      </c>
      <c r="V548" s="20">
        <v>7.61</v>
      </c>
      <c r="W548" s="14">
        <v>7.6259999999999994</v>
      </c>
      <c r="X548" s="14">
        <v>18.7</v>
      </c>
      <c r="Y548" s="14">
        <v>18.3</v>
      </c>
      <c r="Z548" s="14">
        <v>18.2</v>
      </c>
      <c r="AA548" s="14">
        <v>18.7</v>
      </c>
      <c r="AB548" s="14">
        <v>18.8</v>
      </c>
      <c r="AC548" s="14">
        <v>18.54</v>
      </c>
      <c r="AD548" s="20">
        <v>566.0</v>
      </c>
      <c r="AE548" s="20">
        <v>574.0</v>
      </c>
      <c r="AF548" s="20">
        <v>580.0</v>
      </c>
      <c r="AG548" s="20">
        <v>583.0</v>
      </c>
      <c r="AH548" s="20">
        <v>607.0</v>
      </c>
      <c r="AI548" s="14">
        <v>582.0</v>
      </c>
      <c r="AJ548" s="14">
        <v>0.48</v>
      </c>
      <c r="AK548" s="14">
        <v>0.38</v>
      </c>
      <c r="AL548" s="14">
        <v>0.65</v>
      </c>
      <c r="AM548" s="14">
        <v>0.61</v>
      </c>
      <c r="AN548" s="14">
        <v>0.6</v>
      </c>
      <c r="AO548" s="14">
        <v>0.544</v>
      </c>
      <c r="AP548" s="14">
        <v>149.0</v>
      </c>
      <c r="AQ548" s="14">
        <v>249.0</v>
      </c>
      <c r="AR548" s="14">
        <v>245.0</v>
      </c>
      <c r="AS548" s="14">
        <v>48.0</v>
      </c>
      <c r="AT548" s="14">
        <v>4.51</v>
      </c>
      <c r="AU548" s="14">
        <v>9840000.0</v>
      </c>
      <c r="AV548" s="14">
        <v>2.66</v>
      </c>
      <c r="AW548" s="14">
        <v>20.4</v>
      </c>
      <c r="AX548" s="14">
        <v>728000.0</v>
      </c>
      <c r="AY548" s="14">
        <v>0.1</v>
      </c>
      <c r="AZ548" s="14">
        <v>0.007</v>
      </c>
      <c r="BA548" s="14">
        <f t="shared" si="1"/>
        <v>20.507</v>
      </c>
    </row>
    <row r="549" ht="14.25" customHeight="1">
      <c r="A549" s="10" t="s">
        <v>900</v>
      </c>
      <c r="B549" s="12" t="s">
        <v>77</v>
      </c>
      <c r="C549" s="12"/>
      <c r="D549" s="12"/>
      <c r="E549" s="44">
        <v>44537.0</v>
      </c>
      <c r="F549" s="29">
        <v>1.0</v>
      </c>
      <c r="G549" s="12" t="s">
        <v>901</v>
      </c>
      <c r="H549" s="45">
        <v>0.58333333333212</v>
      </c>
      <c r="I549" s="45">
        <v>0.666666666667879</v>
      </c>
      <c r="J549" s="12">
        <v>3.3</v>
      </c>
      <c r="K549" s="12">
        <v>0.11</v>
      </c>
      <c r="L549" s="14">
        <v>87.954</v>
      </c>
      <c r="M549" s="14">
        <v>86.956</v>
      </c>
      <c r="N549" s="14">
        <v>87.935</v>
      </c>
      <c r="O549" s="14">
        <v>89.308</v>
      </c>
      <c r="P549" s="14">
        <v>88.59</v>
      </c>
      <c r="Q549" s="14">
        <v>88.14860000000002</v>
      </c>
      <c r="R549" s="20">
        <v>7.4</v>
      </c>
      <c r="S549" s="20">
        <v>7.37</v>
      </c>
      <c r="T549" s="20">
        <v>7.44</v>
      </c>
      <c r="U549" s="20">
        <v>7.47</v>
      </c>
      <c r="V549" s="20">
        <v>7.39</v>
      </c>
      <c r="W549" s="14">
        <v>7.414</v>
      </c>
      <c r="X549" s="14">
        <v>18.6</v>
      </c>
      <c r="Y549" s="14">
        <v>19.6</v>
      </c>
      <c r="Z549" s="14">
        <v>18.7</v>
      </c>
      <c r="AA549" s="14">
        <v>18.6</v>
      </c>
      <c r="AB549" s="14">
        <v>19.3</v>
      </c>
      <c r="AC549" s="14">
        <v>18.96</v>
      </c>
      <c r="AD549" s="20">
        <v>277.0</v>
      </c>
      <c r="AE549" s="20">
        <v>290.0</v>
      </c>
      <c r="AF549" s="20">
        <v>349.0</v>
      </c>
      <c r="AG549" s="20">
        <v>351.0</v>
      </c>
      <c r="AH549" s="20">
        <v>354.0</v>
      </c>
      <c r="AI549" s="14">
        <v>324.2</v>
      </c>
      <c r="AJ549" s="14">
        <v>2.67</v>
      </c>
      <c r="AK549" s="14">
        <v>2.76</v>
      </c>
      <c r="AL549" s="14">
        <v>2.91</v>
      </c>
      <c r="AM549" s="14">
        <v>3.33</v>
      </c>
      <c r="AN549" s="14">
        <v>3.19</v>
      </c>
      <c r="AO549" s="14">
        <v>2.972</v>
      </c>
      <c r="AP549" s="14">
        <v>53.0</v>
      </c>
      <c r="AQ549" s="14">
        <v>117.0</v>
      </c>
      <c r="AR549" s="14">
        <v>24.0</v>
      </c>
      <c r="AS549" s="14">
        <v>1.2</v>
      </c>
      <c r="AT549" s="14">
        <v>0.69</v>
      </c>
      <c r="AU549" s="14">
        <v>8390000.0</v>
      </c>
      <c r="AV549" s="14">
        <v>2.69</v>
      </c>
      <c r="AW549" s="14">
        <v>18.2</v>
      </c>
      <c r="AX549" s="14">
        <v>560000.0</v>
      </c>
      <c r="AY549" s="14">
        <v>0.2</v>
      </c>
      <c r="AZ549" s="14">
        <v>0.007</v>
      </c>
      <c r="BA549" s="14">
        <f t="shared" si="1"/>
        <v>18.407</v>
      </c>
    </row>
    <row r="550" ht="14.25" customHeight="1">
      <c r="A550" s="10" t="s">
        <v>902</v>
      </c>
      <c r="B550" s="12" t="s">
        <v>85</v>
      </c>
      <c r="C550" s="12"/>
      <c r="D550" s="12"/>
      <c r="E550" s="44">
        <v>44533.0</v>
      </c>
      <c r="F550" s="29">
        <v>1.0</v>
      </c>
      <c r="G550" s="12" t="s">
        <v>903</v>
      </c>
      <c r="H550" s="45">
        <v>0.666666666667879</v>
      </c>
      <c r="I550" s="45">
        <v>0.75</v>
      </c>
      <c r="J550" s="12">
        <v>5.65</v>
      </c>
      <c r="K550" s="12">
        <v>0.18</v>
      </c>
      <c r="L550" s="14">
        <v>186.464</v>
      </c>
      <c r="M550" s="14">
        <v>181.095</v>
      </c>
      <c r="N550" s="14">
        <v>184.865</v>
      </c>
      <c r="O550" s="14">
        <v>187.642</v>
      </c>
      <c r="P550" s="14">
        <v>185.402</v>
      </c>
      <c r="Q550" s="14">
        <v>185.0936</v>
      </c>
      <c r="R550" s="20">
        <v>7.62</v>
      </c>
      <c r="S550" s="20">
        <v>7.52</v>
      </c>
      <c r="T550" s="20">
        <v>7.56</v>
      </c>
      <c r="U550" s="20">
        <v>7.46</v>
      </c>
      <c r="V550" s="20">
        <v>7.48</v>
      </c>
      <c r="W550" s="14">
        <v>7.5280000000000005</v>
      </c>
      <c r="X550" s="14">
        <v>17.1</v>
      </c>
      <c r="Y550" s="14">
        <v>17.0</v>
      </c>
      <c r="Z550" s="14">
        <v>16.8</v>
      </c>
      <c r="AA550" s="14">
        <v>16.5</v>
      </c>
      <c r="AB550" s="14">
        <v>16.7</v>
      </c>
      <c r="AC550" s="14">
        <v>16.82</v>
      </c>
      <c r="AD550" s="20">
        <v>566.0</v>
      </c>
      <c r="AE550" s="20">
        <v>574.0</v>
      </c>
      <c r="AF550" s="20">
        <v>584.0</v>
      </c>
      <c r="AG550" s="20">
        <v>641.0</v>
      </c>
      <c r="AH550" s="20">
        <v>636.0</v>
      </c>
      <c r="AI550" s="14">
        <v>600.2</v>
      </c>
      <c r="AJ550" s="14">
        <v>1.1</v>
      </c>
      <c r="AK550" s="14">
        <v>1.1</v>
      </c>
      <c r="AL550" s="14">
        <v>0.32</v>
      </c>
      <c r="AM550" s="14">
        <v>0.79</v>
      </c>
      <c r="AN550" s="14">
        <v>0.72</v>
      </c>
      <c r="AO550" s="14">
        <v>0.806</v>
      </c>
      <c r="AP550" s="14">
        <v>178.0</v>
      </c>
      <c r="AQ550" s="14">
        <v>329.0</v>
      </c>
      <c r="AR550" s="14">
        <v>120.0</v>
      </c>
      <c r="AS550" s="14">
        <v>28.0</v>
      </c>
      <c r="AT550" s="14">
        <v>3.44</v>
      </c>
      <c r="AU550" s="14">
        <v>9590000.0</v>
      </c>
      <c r="AV550" s="14">
        <v>3.7</v>
      </c>
      <c r="AW550" s="14">
        <v>32.8</v>
      </c>
      <c r="AX550" s="14">
        <v>537000.0</v>
      </c>
      <c r="AY550" s="14">
        <v>0.1</v>
      </c>
      <c r="AZ550" s="14">
        <v>0.007</v>
      </c>
      <c r="BA550" s="14">
        <f t="shared" si="1"/>
        <v>32.907</v>
      </c>
    </row>
    <row r="551" ht="14.25" customHeight="1">
      <c r="A551" s="10" t="s">
        <v>904</v>
      </c>
      <c r="B551" s="12" t="s">
        <v>116</v>
      </c>
      <c r="C551" s="12"/>
      <c r="D551" s="12"/>
      <c r="E551" s="44">
        <v>44502.0</v>
      </c>
      <c r="F551" s="12">
        <v>1.0</v>
      </c>
      <c r="G551" s="12" t="s">
        <v>905</v>
      </c>
      <c r="H551" s="45">
        <v>0.5</v>
      </c>
      <c r="I551" s="45">
        <v>0.58333333333212</v>
      </c>
      <c r="J551" s="12">
        <v>4.9</v>
      </c>
      <c r="K551" s="12">
        <v>0.14</v>
      </c>
      <c r="L551" s="14">
        <v>105.905</v>
      </c>
      <c r="M551" s="14">
        <v>107.948</v>
      </c>
      <c r="N551" s="14">
        <v>107.41</v>
      </c>
      <c r="O551" s="14">
        <v>108.498</v>
      </c>
      <c r="P551" s="14">
        <v>106.316</v>
      </c>
      <c r="Q551" s="14">
        <v>107.2154</v>
      </c>
      <c r="R551" s="48">
        <v>7.1</v>
      </c>
      <c r="S551" s="48">
        <v>7.38</v>
      </c>
      <c r="T551" s="48">
        <v>7.43</v>
      </c>
      <c r="U551" s="48">
        <v>7.54</v>
      </c>
      <c r="V551" s="48">
        <v>7.56</v>
      </c>
      <c r="W551" s="14">
        <v>7.401999999999999</v>
      </c>
      <c r="X551" s="14">
        <v>19.8</v>
      </c>
      <c r="Y551" s="14">
        <v>19.6</v>
      </c>
      <c r="Z551" s="14">
        <v>18.8</v>
      </c>
      <c r="AA551" s="14">
        <v>19.2</v>
      </c>
      <c r="AB551" s="14">
        <v>18.2</v>
      </c>
      <c r="AC551" s="14">
        <v>19.12</v>
      </c>
      <c r="AD551" s="48">
        <v>210.0</v>
      </c>
      <c r="AE551" s="48">
        <v>224.0</v>
      </c>
      <c r="AF551" s="48">
        <v>221.0</v>
      </c>
      <c r="AG551" s="48">
        <v>227.0</v>
      </c>
      <c r="AH551" s="48">
        <v>241.0</v>
      </c>
      <c r="AI551" s="14">
        <v>224.6</v>
      </c>
      <c r="AJ551" s="14">
        <v>9.31</v>
      </c>
      <c r="AK551" s="14">
        <v>8.93</v>
      </c>
      <c r="AL551" s="14">
        <v>9.91</v>
      </c>
      <c r="AM551" s="14">
        <v>8.79</v>
      </c>
      <c r="AN551" s="14">
        <v>9.12</v>
      </c>
      <c r="AO551" s="14">
        <v>9.212</v>
      </c>
      <c r="AP551" s="14">
        <v>2.0</v>
      </c>
      <c r="AQ551" s="14">
        <v>26.0</v>
      </c>
      <c r="AR551" s="14">
        <v>20.0</v>
      </c>
      <c r="AS551" s="14">
        <v>1.2</v>
      </c>
      <c r="AT551" s="14">
        <v>0.13</v>
      </c>
      <c r="AU551" s="14">
        <v>1.408E7</v>
      </c>
      <c r="AV551" s="14">
        <v>0.23</v>
      </c>
      <c r="AW551" s="14">
        <v>3.4</v>
      </c>
      <c r="AX551" s="14">
        <v>1.372E7</v>
      </c>
      <c r="AY551" s="14">
        <v>1.3</v>
      </c>
      <c r="AZ551" s="14">
        <v>0.204</v>
      </c>
      <c r="BA551" s="14">
        <f t="shared" si="1"/>
        <v>4.904</v>
      </c>
    </row>
    <row r="552" ht="14.25" customHeight="1">
      <c r="A552" s="49" t="str">
        <f>IFERROR(__xludf.DUMMYFUNCTION("query(importrange(""1uYEFrEeV4LXdPsjtnZvotu0yuKfenhfzOBRPNjiHXYE"", ""RCHB-A!A4:CZ""), ""select Col3, Col8, Col80, Col104, Col4, Col103, Col9, Col5, Col6, Col16, Col17, Col38, Col39, Col40, Col41, Col42, Col52, Col18, Col19, Col20, Col21, Col22, Col48, Co"&amp;"l28, Col29, Col30, Col31, Col32, Col50, Col23, Col24, Col25, Col26, Col27, Col49, Col33, Col34, Col35, Col36, Col37, Col51, Col67, Col68, Col76, Col72, Col77, Col70, Col71, Col75, Col69, Col73, Col74 where Col102 = 'OK' and Col4 &gt; date '""&amp;TEXT(DATEVALUE("&amp;"""13/12/2021""),""yyyy-mm-dd"")&amp;""'"",0)"),"141221JM02")</f>
        <v>141221JM02</v>
      </c>
      <c r="B552" s="12" t="str">
        <f>IFERROR(__xludf.DUMMYFUNCTION("""COMPUTED_VALUE"""),"COR-Prado Veraniego")</f>
        <v>COR-Prado Veraniego</v>
      </c>
      <c r="C552" s="12"/>
      <c r="D552" s="12"/>
      <c r="E552" s="44">
        <f>IFERROR(__xludf.DUMMYFUNCTION("""COMPUTED_VALUE"""),44544.0)</f>
        <v>44544</v>
      </c>
      <c r="F552" s="12" t="str">
        <f>IFERROR(__xludf.DUMMYFUNCTION("""COMPUTED_VALUE"""),"TIPO I")</f>
        <v>TIPO I</v>
      </c>
      <c r="G552" s="12" t="str">
        <f>IFERROR(__xludf.DUMMYFUNCTION("""COMPUTED_VALUE"""),"Presenta olor y color característico al agua residual. ")</f>
        <v>Presenta olor y color característico al agua residual. </v>
      </c>
      <c r="H552" s="45">
        <f>IFERROR(__xludf.DUMMYFUNCTION("""COMPUTED_VALUE"""),0.6666666666678793)</f>
        <v>0.6666666667</v>
      </c>
      <c r="I552" s="45">
        <f>IFERROR(__xludf.DUMMYFUNCTION("""COMPUTED_VALUE"""),0.75)</f>
        <v>0.75</v>
      </c>
      <c r="J552" s="12">
        <f>IFERROR(__xludf.DUMMYFUNCTION("""COMPUTED_VALUE"""),3.4)</f>
        <v>3.4</v>
      </c>
      <c r="K552" s="12">
        <f>IFERROR(__xludf.DUMMYFUNCTION("""COMPUTED_VALUE"""),0.12)</f>
        <v>0.12</v>
      </c>
      <c r="L552" s="14">
        <f>IFERROR(__xludf.DUMMYFUNCTION("""COMPUTED_VALUE"""),134.987)</f>
        <v>134.987</v>
      </c>
      <c r="M552" s="14">
        <f>IFERROR(__xludf.DUMMYFUNCTION("""COMPUTED_VALUE"""),135.096)</f>
        <v>135.096</v>
      </c>
      <c r="N552" s="14">
        <f>IFERROR(__xludf.DUMMYFUNCTION("""COMPUTED_VALUE"""),136.099)</f>
        <v>136.099</v>
      </c>
      <c r="O552" s="14">
        <f>IFERROR(__xludf.DUMMYFUNCTION("""COMPUTED_VALUE"""),136.848)</f>
        <v>136.848</v>
      </c>
      <c r="P552" s="14">
        <f>IFERROR(__xludf.DUMMYFUNCTION("""COMPUTED_VALUE"""),140.035)</f>
        <v>140.035</v>
      </c>
      <c r="Q552" s="14">
        <f>IFERROR(__xludf.DUMMYFUNCTION("""COMPUTED_VALUE"""),136.613)</f>
        <v>136.613</v>
      </c>
      <c r="R552" s="48">
        <f>IFERROR(__xludf.DUMMYFUNCTION("""COMPUTED_VALUE"""),7.72)</f>
        <v>7.72</v>
      </c>
      <c r="S552" s="48">
        <f>IFERROR(__xludf.DUMMYFUNCTION("""COMPUTED_VALUE"""),7.69)</f>
        <v>7.69</v>
      </c>
      <c r="T552" s="48">
        <f>IFERROR(__xludf.DUMMYFUNCTION("""COMPUTED_VALUE"""),7.65)</f>
        <v>7.65</v>
      </c>
      <c r="U552" s="48">
        <f>IFERROR(__xludf.DUMMYFUNCTION("""COMPUTED_VALUE"""),7.73)</f>
        <v>7.73</v>
      </c>
      <c r="V552" s="48">
        <f>IFERROR(__xludf.DUMMYFUNCTION("""COMPUTED_VALUE"""),7.79)</f>
        <v>7.79</v>
      </c>
      <c r="W552" s="14">
        <f>IFERROR(__xludf.DUMMYFUNCTION("""COMPUTED_VALUE"""),7.716000000000001)</f>
        <v>7.716</v>
      </c>
      <c r="X552" s="14">
        <f>IFERROR(__xludf.DUMMYFUNCTION("""COMPUTED_VALUE"""),21.2)</f>
        <v>21.2</v>
      </c>
      <c r="Y552" s="14">
        <f>IFERROR(__xludf.DUMMYFUNCTION("""COMPUTED_VALUE"""),21.1)</f>
        <v>21.1</v>
      </c>
      <c r="Z552" s="14">
        <f>IFERROR(__xludf.DUMMYFUNCTION("""COMPUTED_VALUE"""),21.3)</f>
        <v>21.3</v>
      </c>
      <c r="AA552" s="14">
        <f>IFERROR(__xludf.DUMMYFUNCTION("""COMPUTED_VALUE"""),21.2)</f>
        <v>21.2</v>
      </c>
      <c r="AB552" s="14">
        <f>IFERROR(__xludf.DUMMYFUNCTION("""COMPUTED_VALUE"""),21.3)</f>
        <v>21.3</v>
      </c>
      <c r="AC552" s="14">
        <f>IFERROR(__xludf.DUMMYFUNCTION("""COMPUTED_VALUE"""),21.22)</f>
        <v>21.22</v>
      </c>
      <c r="AD552" s="48">
        <f>IFERROR(__xludf.DUMMYFUNCTION("""COMPUTED_VALUE"""),289.0)</f>
        <v>289</v>
      </c>
      <c r="AE552" s="48">
        <f>IFERROR(__xludf.DUMMYFUNCTION("""COMPUTED_VALUE"""),290.0)</f>
        <v>290</v>
      </c>
      <c r="AF552" s="48">
        <f>IFERROR(__xludf.DUMMYFUNCTION("""COMPUTED_VALUE"""),247.0)</f>
        <v>247</v>
      </c>
      <c r="AG552" s="48">
        <f>IFERROR(__xludf.DUMMYFUNCTION("""COMPUTED_VALUE"""),369.0)</f>
        <v>369</v>
      </c>
      <c r="AH552" s="48">
        <f>IFERROR(__xludf.DUMMYFUNCTION("""COMPUTED_VALUE"""),287.0)</f>
        <v>287</v>
      </c>
      <c r="AI552" s="14">
        <f>IFERROR(__xludf.DUMMYFUNCTION("""COMPUTED_VALUE"""),296.4)</f>
        <v>296.4</v>
      </c>
      <c r="AJ552" s="14">
        <f>IFERROR(__xludf.DUMMYFUNCTION("""COMPUTED_VALUE"""),4.08)</f>
        <v>4.08</v>
      </c>
      <c r="AK552" s="14">
        <f>IFERROR(__xludf.DUMMYFUNCTION("""COMPUTED_VALUE"""),4.66)</f>
        <v>4.66</v>
      </c>
      <c r="AL552" s="14">
        <f>IFERROR(__xludf.DUMMYFUNCTION("""COMPUTED_VALUE"""),3.83)</f>
        <v>3.83</v>
      </c>
      <c r="AM552" s="14">
        <f>IFERROR(__xludf.DUMMYFUNCTION("""COMPUTED_VALUE"""),3.56)</f>
        <v>3.56</v>
      </c>
      <c r="AN552" s="14">
        <f>IFERROR(__xludf.DUMMYFUNCTION("""COMPUTED_VALUE"""),3.63)</f>
        <v>3.63</v>
      </c>
      <c r="AO552" s="14">
        <f>IFERROR(__xludf.DUMMYFUNCTION("""COMPUTED_VALUE"""),3.9519999999999995)</f>
        <v>3.952</v>
      </c>
      <c r="AP552" s="14">
        <f>IFERROR(__xludf.DUMMYFUNCTION("""COMPUTED_VALUE"""),16.0)</f>
        <v>16</v>
      </c>
      <c r="AQ552" s="14">
        <f>IFERROR(__xludf.DUMMYFUNCTION("""COMPUTED_VALUE"""),45.0)</f>
        <v>45</v>
      </c>
      <c r="AR552" s="14">
        <f>IFERROR(__xludf.DUMMYFUNCTION("""COMPUTED_VALUE"""),15.0)</f>
        <v>15</v>
      </c>
      <c r="AS552" s="14">
        <f>IFERROR(__xludf.DUMMYFUNCTION("""COMPUTED_VALUE"""),1.2)</f>
        <v>1.2</v>
      </c>
      <c r="AT552" s="14">
        <f>IFERROR(__xludf.DUMMYFUNCTION("""COMPUTED_VALUE"""),0.07)</f>
        <v>0.07</v>
      </c>
      <c r="AU552" s="14">
        <f>IFERROR(__xludf.DUMMYFUNCTION("""COMPUTED_VALUE"""),1.515E8)</f>
        <v>151500000</v>
      </c>
      <c r="AV552" s="14">
        <f>IFERROR(__xludf.DUMMYFUNCTION("""COMPUTED_VALUE"""),0.33)</f>
        <v>0.33</v>
      </c>
      <c r="AW552" s="14">
        <f>IFERROR(__xludf.DUMMYFUNCTION("""COMPUTED_VALUE"""),1.0)</f>
        <v>1</v>
      </c>
      <c r="AX552" s="14">
        <f>IFERROR(__xludf.DUMMYFUNCTION("""COMPUTED_VALUE"""),1.439E8)</f>
        <v>143900000</v>
      </c>
      <c r="AY552" s="14">
        <f>IFERROR(__xludf.DUMMYFUNCTION("""COMPUTED_VALUE"""),0.5)</f>
        <v>0.5</v>
      </c>
      <c r="AZ552" s="14">
        <f>IFERROR(__xludf.DUMMYFUNCTION("""COMPUTED_VALUE"""),0.133)</f>
        <v>0.133</v>
      </c>
      <c r="BA552" s="14">
        <f t="shared" si="1"/>
        <v>1.633</v>
      </c>
    </row>
    <row r="553" ht="14.25" customHeight="1">
      <c r="A553" s="10" t="str">
        <f>IFERROR(__xludf.DUMMYFUNCTION("""COMPUTED_VALUE"""),"161221WI03")</f>
        <v>161221WI03</v>
      </c>
      <c r="B553" s="12" t="str">
        <f>IFERROR(__xludf.DUMMYFUNCTION("""COMPUTED_VALUE"""),"QSL-Barranquillita")</f>
        <v>QSL-Barranquillita</v>
      </c>
      <c r="C553" s="12"/>
      <c r="D553" s="12"/>
      <c r="E553" s="44">
        <f>IFERROR(__xludf.DUMMYFUNCTION("""COMPUTED_VALUE"""),44546.0)</f>
        <v>44546</v>
      </c>
      <c r="F553" s="12" t="str">
        <f>IFERROR(__xludf.DUMMYFUNCTION("""COMPUTED_VALUE"""),"TIPO I")</f>
        <v>TIPO I</v>
      </c>
      <c r="G553" s="12" t="str">
        <f>IFERROR(__xludf.DUMMYFUNCTION("""COMPUTED_VALUE"""),"Durante el monitoreo se pudo evidenciar que el cuerpo de agua presenta material flotante, residuos sólidos, color y se percibe olor. Además se observó que aguas arriba hay presencia de espuma blanca.")</f>
        <v>Durante el monitoreo se pudo evidenciar que el cuerpo de agua presenta material flotante, residuos sólidos, color y se percibe olor. Además se observó que aguas arriba hay presencia de espuma blanca.</v>
      </c>
      <c r="H553" s="45">
        <f>IFERROR(__xludf.DUMMYFUNCTION("""COMPUTED_VALUE"""),0.6666666666678793)</f>
        <v>0.6666666667</v>
      </c>
      <c r="I553" s="45">
        <f>IFERROR(__xludf.DUMMYFUNCTION("""COMPUTED_VALUE"""),0.75)</f>
        <v>0.75</v>
      </c>
      <c r="J553" s="12">
        <f>IFERROR(__xludf.DUMMYFUNCTION("""COMPUTED_VALUE"""),1.5)</f>
        <v>1.5</v>
      </c>
      <c r="K553" s="12">
        <f>IFERROR(__xludf.DUMMYFUNCTION("""COMPUTED_VALUE"""),0.14)</f>
        <v>0.14</v>
      </c>
      <c r="L553" s="14">
        <f>IFERROR(__xludf.DUMMYFUNCTION("""COMPUTED_VALUE"""),47.248)</f>
        <v>47.248</v>
      </c>
      <c r="M553" s="14">
        <f>IFERROR(__xludf.DUMMYFUNCTION("""COMPUTED_VALUE"""),45.044)</f>
        <v>45.044</v>
      </c>
      <c r="N553" s="14">
        <f>IFERROR(__xludf.DUMMYFUNCTION("""COMPUTED_VALUE"""),44.582)</f>
        <v>44.582</v>
      </c>
      <c r="O553" s="14">
        <f>IFERROR(__xludf.DUMMYFUNCTION("""COMPUTED_VALUE"""),44.299)</f>
        <v>44.299</v>
      </c>
      <c r="P553" s="14">
        <f>IFERROR(__xludf.DUMMYFUNCTION("""COMPUTED_VALUE"""),46.316)</f>
        <v>46.316</v>
      </c>
      <c r="Q553" s="14">
        <f>IFERROR(__xludf.DUMMYFUNCTION("""COMPUTED_VALUE"""),45.498)</f>
        <v>45.498</v>
      </c>
      <c r="R553" s="48">
        <f>IFERROR(__xludf.DUMMYFUNCTION("""COMPUTED_VALUE"""),7.64)</f>
        <v>7.64</v>
      </c>
      <c r="S553" s="48">
        <f>IFERROR(__xludf.DUMMYFUNCTION("""COMPUTED_VALUE"""),7.46)</f>
        <v>7.46</v>
      </c>
      <c r="T553" s="48">
        <f>IFERROR(__xludf.DUMMYFUNCTION("""COMPUTED_VALUE"""),7.48)</f>
        <v>7.48</v>
      </c>
      <c r="U553" s="48">
        <f>IFERROR(__xludf.DUMMYFUNCTION("""COMPUTED_VALUE"""),7.41)</f>
        <v>7.41</v>
      </c>
      <c r="V553" s="48">
        <f>IFERROR(__xludf.DUMMYFUNCTION("""COMPUTED_VALUE"""),7.43)</f>
        <v>7.43</v>
      </c>
      <c r="W553" s="14">
        <f>IFERROR(__xludf.DUMMYFUNCTION("""COMPUTED_VALUE"""),7.484)</f>
        <v>7.484</v>
      </c>
      <c r="X553" s="14">
        <f>IFERROR(__xludf.DUMMYFUNCTION("""COMPUTED_VALUE"""),15.5)</f>
        <v>15.5</v>
      </c>
      <c r="Y553" s="14">
        <f>IFERROR(__xludf.DUMMYFUNCTION("""COMPUTED_VALUE"""),15.3)</f>
        <v>15.3</v>
      </c>
      <c r="Z553" s="14">
        <f>IFERROR(__xludf.DUMMYFUNCTION("""COMPUTED_VALUE"""),15.3)</f>
        <v>15.3</v>
      </c>
      <c r="AA553" s="14">
        <f>IFERROR(__xludf.DUMMYFUNCTION("""COMPUTED_VALUE"""),15.0)</f>
        <v>15</v>
      </c>
      <c r="AB553" s="14">
        <f>IFERROR(__xludf.DUMMYFUNCTION("""COMPUTED_VALUE"""),14.9)</f>
        <v>14.9</v>
      </c>
      <c r="AC553" s="14">
        <f>IFERROR(__xludf.DUMMYFUNCTION("""COMPUTED_VALUE"""),15.2)</f>
        <v>15.2</v>
      </c>
      <c r="AD553" s="48">
        <f>IFERROR(__xludf.DUMMYFUNCTION("""COMPUTED_VALUE"""),410.0)</f>
        <v>410</v>
      </c>
      <c r="AE553" s="48">
        <f>IFERROR(__xludf.DUMMYFUNCTION("""COMPUTED_VALUE"""),407.0)</f>
        <v>407</v>
      </c>
      <c r="AF553" s="48">
        <f>IFERROR(__xludf.DUMMYFUNCTION("""COMPUTED_VALUE"""),410.0)</f>
        <v>410</v>
      </c>
      <c r="AG553" s="48">
        <f>IFERROR(__xludf.DUMMYFUNCTION("""COMPUTED_VALUE"""),408.0)</f>
        <v>408</v>
      </c>
      <c r="AH553" s="48">
        <f>IFERROR(__xludf.DUMMYFUNCTION("""COMPUTED_VALUE"""),403.0)</f>
        <v>403</v>
      </c>
      <c r="AI553" s="14">
        <f>IFERROR(__xludf.DUMMYFUNCTION("""COMPUTED_VALUE"""),407.6)</f>
        <v>407.6</v>
      </c>
      <c r="AJ553" s="14">
        <f>IFERROR(__xludf.DUMMYFUNCTION("""COMPUTED_VALUE"""),4.48)</f>
        <v>4.48</v>
      </c>
      <c r="AK553" s="14">
        <f>IFERROR(__xludf.DUMMYFUNCTION("""COMPUTED_VALUE"""),4.28)</f>
        <v>4.28</v>
      </c>
      <c r="AL553" s="14">
        <f>IFERROR(__xludf.DUMMYFUNCTION("""COMPUTED_VALUE"""),3.97)</f>
        <v>3.97</v>
      </c>
      <c r="AM553" s="14">
        <f>IFERROR(__xludf.DUMMYFUNCTION("""COMPUTED_VALUE"""),4.28)</f>
        <v>4.28</v>
      </c>
      <c r="AN553" s="14">
        <f>IFERROR(__xludf.DUMMYFUNCTION("""COMPUTED_VALUE"""),4.44)</f>
        <v>4.44</v>
      </c>
      <c r="AO553" s="14">
        <f>IFERROR(__xludf.DUMMYFUNCTION("""COMPUTED_VALUE"""),4.290000000000001)</f>
        <v>4.29</v>
      </c>
      <c r="AP553" s="14">
        <f>IFERROR(__xludf.DUMMYFUNCTION("""COMPUTED_VALUE"""),17.0)</f>
        <v>17</v>
      </c>
      <c r="AQ553" s="14">
        <f>IFERROR(__xludf.DUMMYFUNCTION("""COMPUTED_VALUE"""),36.0)</f>
        <v>36</v>
      </c>
      <c r="AR553" s="14">
        <f>IFERROR(__xludf.DUMMYFUNCTION("""COMPUTED_VALUE"""),12.0)</f>
        <v>12</v>
      </c>
      <c r="AS553" s="14">
        <f>IFERROR(__xludf.DUMMYFUNCTION("""COMPUTED_VALUE"""),1.2)</f>
        <v>1.2</v>
      </c>
      <c r="AT553" s="14">
        <f>IFERROR(__xludf.DUMMYFUNCTION("""COMPUTED_VALUE"""),0.07)</f>
        <v>0.07</v>
      </c>
      <c r="AU553" s="14">
        <f>IFERROR(__xludf.DUMMYFUNCTION("""COMPUTED_VALUE"""),6160000.0)</f>
        <v>6160000</v>
      </c>
      <c r="AV553" s="14">
        <f>IFERROR(__xludf.DUMMYFUNCTION("""COMPUTED_VALUE"""),2.07)</f>
        <v>2.07</v>
      </c>
      <c r="AW553" s="14">
        <f>IFERROR(__xludf.DUMMYFUNCTION("""COMPUTED_VALUE"""),7.3)</f>
        <v>7.3</v>
      </c>
      <c r="AX553" s="14">
        <f>IFERROR(__xludf.DUMMYFUNCTION("""COMPUTED_VALUE"""),5450.0)</f>
        <v>5450</v>
      </c>
      <c r="AY553" s="14">
        <f>IFERROR(__xludf.DUMMYFUNCTION("""COMPUTED_VALUE"""),0.8)</f>
        <v>0.8</v>
      </c>
      <c r="AZ553" s="14">
        <f>IFERROR(__xludf.DUMMYFUNCTION("""COMPUTED_VALUE"""),1.039)</f>
        <v>1.039</v>
      </c>
      <c r="BA553" s="14">
        <f t="shared" si="1"/>
        <v>9.139</v>
      </c>
    </row>
    <row r="554" ht="14.25" customHeight="1">
      <c r="A554" s="10" t="str">
        <f>IFERROR(__xludf.DUMMYFUNCTION("""COMPUTED_VALUE"""),"141221WI02")</f>
        <v>141221WI02</v>
      </c>
      <c r="B554" s="12" t="str">
        <f>IFERROR(__xludf.DUMMYFUNCTION("""COMPUTED_VALUE"""),"QLI-Bella Flor")</f>
        <v>QLI-Bella Flor</v>
      </c>
      <c r="C554" s="12"/>
      <c r="D554" s="12"/>
      <c r="E554" s="44">
        <f>IFERROR(__xludf.DUMMYFUNCTION("""COMPUTED_VALUE"""),44544.0)</f>
        <v>44544</v>
      </c>
      <c r="F554" s="12" t="str">
        <f>IFERROR(__xludf.DUMMYFUNCTION("""COMPUTED_VALUE"""),"TIPO I")</f>
        <v>TIPO I</v>
      </c>
      <c r="G554" s="12" t="str">
        <f>IFERROR(__xludf.DUMMYFUNCTION("""COMPUTED_VALUE"""),"Se evidencio presencia de residuos solidos")</f>
        <v>Se evidencio presencia de residuos solidos</v>
      </c>
      <c r="H554" s="45">
        <f>IFERROR(__xludf.DUMMYFUNCTION("""COMPUTED_VALUE"""),0.6666666666678793)</f>
        <v>0.6666666667</v>
      </c>
      <c r="I554" s="45">
        <f>IFERROR(__xludf.DUMMYFUNCTION("""COMPUTED_VALUE"""),0.75)</f>
        <v>0.75</v>
      </c>
      <c r="J554" s="12">
        <f>IFERROR(__xludf.DUMMYFUNCTION("""COMPUTED_VALUE"""),0.96)</f>
        <v>0.96</v>
      </c>
      <c r="K554" s="12">
        <f>IFERROR(__xludf.DUMMYFUNCTION("""COMPUTED_VALUE"""),0.27)</f>
        <v>0.27</v>
      </c>
      <c r="L554" s="14">
        <f>IFERROR(__xludf.DUMMYFUNCTION("""COMPUTED_VALUE"""),25.77)</f>
        <v>25.77</v>
      </c>
      <c r="M554" s="14">
        <f>IFERROR(__xludf.DUMMYFUNCTION("""COMPUTED_VALUE"""),25.736)</f>
        <v>25.736</v>
      </c>
      <c r="N554" s="14">
        <f>IFERROR(__xludf.DUMMYFUNCTION("""COMPUTED_VALUE"""),25.17)</f>
        <v>25.17</v>
      </c>
      <c r="O554" s="14">
        <f>IFERROR(__xludf.DUMMYFUNCTION("""COMPUTED_VALUE"""),26.092)</f>
        <v>26.092</v>
      </c>
      <c r="P554" s="14">
        <f>IFERROR(__xludf.DUMMYFUNCTION("""COMPUTED_VALUE"""),26.269)</f>
        <v>26.269</v>
      </c>
      <c r="Q554" s="14">
        <f>IFERROR(__xludf.DUMMYFUNCTION("""COMPUTED_VALUE"""),25.807)</f>
        <v>25.807</v>
      </c>
      <c r="R554" s="48">
        <f>IFERROR(__xludf.DUMMYFUNCTION("""COMPUTED_VALUE"""),7.61)</f>
        <v>7.61</v>
      </c>
      <c r="S554" s="48">
        <f>IFERROR(__xludf.DUMMYFUNCTION("""COMPUTED_VALUE"""),7.61)</f>
        <v>7.61</v>
      </c>
      <c r="T554" s="48">
        <f>IFERROR(__xludf.DUMMYFUNCTION("""COMPUTED_VALUE"""),7.34)</f>
        <v>7.34</v>
      </c>
      <c r="U554" s="48">
        <f>IFERROR(__xludf.DUMMYFUNCTION("""COMPUTED_VALUE"""),7.3)</f>
        <v>7.3</v>
      </c>
      <c r="V554" s="48">
        <f>IFERROR(__xludf.DUMMYFUNCTION("""COMPUTED_VALUE"""),7.05)</f>
        <v>7.05</v>
      </c>
      <c r="W554" s="14">
        <f>IFERROR(__xludf.DUMMYFUNCTION("""COMPUTED_VALUE"""),7.382000000000001)</f>
        <v>7.382</v>
      </c>
      <c r="X554" s="14">
        <f>IFERROR(__xludf.DUMMYFUNCTION("""COMPUTED_VALUE"""),16.3)</f>
        <v>16.3</v>
      </c>
      <c r="Y554" s="14">
        <f>IFERROR(__xludf.DUMMYFUNCTION("""COMPUTED_VALUE"""),15.0)</f>
        <v>15</v>
      </c>
      <c r="Z554" s="14">
        <f>IFERROR(__xludf.DUMMYFUNCTION("""COMPUTED_VALUE"""),15.2)</f>
        <v>15.2</v>
      </c>
      <c r="AA554" s="14">
        <f>IFERROR(__xludf.DUMMYFUNCTION("""COMPUTED_VALUE"""),15.1)</f>
        <v>15.1</v>
      </c>
      <c r="AB554" s="14">
        <f>IFERROR(__xludf.DUMMYFUNCTION("""COMPUTED_VALUE"""),15.1)</f>
        <v>15.1</v>
      </c>
      <c r="AC554" s="14">
        <f>IFERROR(__xludf.DUMMYFUNCTION("""COMPUTED_VALUE"""),15.34)</f>
        <v>15.34</v>
      </c>
      <c r="AD554" s="48">
        <f>IFERROR(__xludf.DUMMYFUNCTION("""COMPUTED_VALUE"""),344.0)</f>
        <v>344</v>
      </c>
      <c r="AE554" s="48">
        <f>IFERROR(__xludf.DUMMYFUNCTION("""COMPUTED_VALUE"""),327.0)</f>
        <v>327</v>
      </c>
      <c r="AF554" s="48">
        <f>IFERROR(__xludf.DUMMYFUNCTION("""COMPUTED_VALUE"""),325.0)</f>
        <v>325</v>
      </c>
      <c r="AG554" s="48">
        <f>IFERROR(__xludf.DUMMYFUNCTION("""COMPUTED_VALUE"""),329.0)</f>
        <v>329</v>
      </c>
      <c r="AH554" s="48">
        <f>IFERROR(__xludf.DUMMYFUNCTION("""COMPUTED_VALUE"""),326.0)</f>
        <v>326</v>
      </c>
      <c r="AI554" s="14">
        <f>IFERROR(__xludf.DUMMYFUNCTION("""COMPUTED_VALUE"""),330.2)</f>
        <v>330.2</v>
      </c>
      <c r="AJ554" s="14">
        <f>IFERROR(__xludf.DUMMYFUNCTION("""COMPUTED_VALUE"""),3.6)</f>
        <v>3.6</v>
      </c>
      <c r="AK554" s="14">
        <f>IFERROR(__xludf.DUMMYFUNCTION("""COMPUTED_VALUE"""),3.6)</f>
        <v>3.6</v>
      </c>
      <c r="AL554" s="14">
        <f>IFERROR(__xludf.DUMMYFUNCTION("""COMPUTED_VALUE"""),2.5)</f>
        <v>2.5</v>
      </c>
      <c r="AM554" s="14">
        <f>IFERROR(__xludf.DUMMYFUNCTION("""COMPUTED_VALUE"""),2.2)</f>
        <v>2.2</v>
      </c>
      <c r="AN554" s="14">
        <f>IFERROR(__xludf.DUMMYFUNCTION("""COMPUTED_VALUE"""),3.0)</f>
        <v>3</v>
      </c>
      <c r="AO554" s="14">
        <f>IFERROR(__xludf.DUMMYFUNCTION("""COMPUTED_VALUE"""),2.9799999999999995)</f>
        <v>2.98</v>
      </c>
      <c r="AP554" s="14">
        <f>IFERROR(__xludf.DUMMYFUNCTION("""COMPUTED_VALUE"""),15.0)</f>
        <v>15</v>
      </c>
      <c r="AQ554" s="14">
        <f>IFERROR(__xludf.DUMMYFUNCTION("""COMPUTED_VALUE"""),36.0)</f>
        <v>36</v>
      </c>
      <c r="AR554" s="14">
        <f>IFERROR(__xludf.DUMMYFUNCTION("""COMPUTED_VALUE"""),23.0)</f>
        <v>23</v>
      </c>
      <c r="AS554" s="14">
        <f>IFERROR(__xludf.DUMMYFUNCTION("""COMPUTED_VALUE"""),9.1)</f>
        <v>9.1</v>
      </c>
      <c r="AT554" s="14">
        <f>IFERROR(__xludf.DUMMYFUNCTION("""COMPUTED_VALUE"""),0.12)</f>
        <v>0.12</v>
      </c>
      <c r="AU554" s="14">
        <f>IFERROR(__xludf.DUMMYFUNCTION("""COMPUTED_VALUE"""),1174000.0)</f>
        <v>1174000</v>
      </c>
      <c r="AV554" s="14">
        <f>IFERROR(__xludf.DUMMYFUNCTION("""COMPUTED_VALUE"""),0.77)</f>
        <v>0.77</v>
      </c>
      <c r="AW554" s="14">
        <f>IFERROR(__xludf.DUMMYFUNCTION("""COMPUTED_VALUE"""),1.0)</f>
        <v>1</v>
      </c>
      <c r="AX554" s="14">
        <f>IFERROR(__xludf.DUMMYFUNCTION("""COMPUTED_VALUE"""),11530.0)</f>
        <v>11530</v>
      </c>
      <c r="AY554" s="14">
        <f>IFERROR(__xludf.DUMMYFUNCTION("""COMPUTED_VALUE"""),7.4)</f>
        <v>7.4</v>
      </c>
      <c r="AZ554" s="14">
        <f>IFERROR(__xludf.DUMMYFUNCTION("""COMPUTED_VALUE"""),0.055)</f>
        <v>0.055</v>
      </c>
      <c r="BA554" s="14">
        <f t="shared" si="1"/>
        <v>8.455</v>
      </c>
    </row>
    <row r="555" ht="14.25" customHeight="1">
      <c r="A555" s="10" t="str">
        <f>IFERROR(__xludf.DUMMYFUNCTION("""COMPUTED_VALUE"""),"161221WI01")</f>
        <v>161221WI01</v>
      </c>
      <c r="B555" s="12" t="str">
        <f>IFERROR(__xludf.DUMMYFUNCTION("""COMPUTED_VALUE"""),"QSL-Portal Usme")</f>
        <v>QSL-Portal Usme</v>
      </c>
      <c r="C555" s="12"/>
      <c r="D555" s="12"/>
      <c r="E555" s="44">
        <f>IFERROR(__xludf.DUMMYFUNCTION("""COMPUTED_VALUE"""),44546.0)</f>
        <v>44546</v>
      </c>
      <c r="F555" s="12" t="str">
        <f>IFERROR(__xludf.DUMMYFUNCTION("""COMPUTED_VALUE"""),"TIPO I")</f>
        <v>TIPO I</v>
      </c>
      <c r="G555" s="12" t="str">
        <f>IFERROR(__xludf.DUMMYFUNCTION("""COMPUTED_VALUE"""),"Se evidencio presencia de color y olor además de residuos sólidos en las orillas ")</f>
        <v>Se evidencio presencia de color y olor además de residuos sólidos en las orillas </v>
      </c>
      <c r="H555" s="45">
        <f>IFERROR(__xludf.DUMMYFUNCTION("""COMPUTED_VALUE"""),0.3333333333321207)</f>
        <v>0.3333333333</v>
      </c>
      <c r="I555" s="45">
        <f>IFERROR(__xludf.DUMMYFUNCTION("""COMPUTED_VALUE"""),0.4166666666678793)</f>
        <v>0.4166666667</v>
      </c>
      <c r="J555" s="12">
        <f>IFERROR(__xludf.DUMMYFUNCTION("""COMPUTED_VALUE"""),1.3)</f>
        <v>1.3</v>
      </c>
      <c r="K555" s="12">
        <f>IFERROR(__xludf.DUMMYFUNCTION("""COMPUTED_VALUE"""),0.13)</f>
        <v>0.13</v>
      </c>
      <c r="L555" s="14">
        <f>IFERROR(__xludf.DUMMYFUNCTION("""COMPUTED_VALUE"""),99.988)</f>
        <v>99.988</v>
      </c>
      <c r="M555" s="14">
        <f>IFERROR(__xludf.DUMMYFUNCTION("""COMPUTED_VALUE"""),95.287)</f>
        <v>95.287</v>
      </c>
      <c r="N555" s="14">
        <f>IFERROR(__xludf.DUMMYFUNCTION("""COMPUTED_VALUE"""),95.376)</f>
        <v>95.376</v>
      </c>
      <c r="O555" s="14">
        <f>IFERROR(__xludf.DUMMYFUNCTION("""COMPUTED_VALUE"""),95.755)</f>
        <v>95.755</v>
      </c>
      <c r="P555" s="14">
        <f>IFERROR(__xludf.DUMMYFUNCTION("""COMPUTED_VALUE"""),96.614)</f>
        <v>96.614</v>
      </c>
      <c r="Q555" s="14">
        <f>IFERROR(__xludf.DUMMYFUNCTION("""COMPUTED_VALUE"""),96.604)</f>
        <v>96.604</v>
      </c>
      <c r="R555" s="48">
        <f>IFERROR(__xludf.DUMMYFUNCTION("""COMPUTED_VALUE"""),7.74)</f>
        <v>7.74</v>
      </c>
      <c r="S555" s="48">
        <f>IFERROR(__xludf.DUMMYFUNCTION("""COMPUTED_VALUE"""),7.64)</f>
        <v>7.64</v>
      </c>
      <c r="T555" s="48">
        <f>IFERROR(__xludf.DUMMYFUNCTION("""COMPUTED_VALUE"""),7.68)</f>
        <v>7.68</v>
      </c>
      <c r="U555" s="48">
        <f>IFERROR(__xludf.DUMMYFUNCTION("""COMPUTED_VALUE"""),7.5)</f>
        <v>7.5</v>
      </c>
      <c r="V555" s="48">
        <f>IFERROR(__xludf.DUMMYFUNCTION("""COMPUTED_VALUE"""),7.46)</f>
        <v>7.46</v>
      </c>
      <c r="W555" s="14">
        <f>IFERROR(__xludf.DUMMYFUNCTION("""COMPUTED_VALUE"""),7.603999999999999)</f>
        <v>7.604</v>
      </c>
      <c r="X555" s="14">
        <f>IFERROR(__xludf.DUMMYFUNCTION("""COMPUTED_VALUE"""),13.6)</f>
        <v>13.6</v>
      </c>
      <c r="Y555" s="14">
        <f>IFERROR(__xludf.DUMMYFUNCTION("""COMPUTED_VALUE"""),13.2)</f>
        <v>13.2</v>
      </c>
      <c r="Z555" s="14">
        <f>IFERROR(__xludf.DUMMYFUNCTION("""COMPUTED_VALUE"""),13.4)</f>
        <v>13.4</v>
      </c>
      <c r="AA555" s="14">
        <f>IFERROR(__xludf.DUMMYFUNCTION("""COMPUTED_VALUE"""),13.4)</f>
        <v>13.4</v>
      </c>
      <c r="AB555" s="14">
        <f>IFERROR(__xludf.DUMMYFUNCTION("""COMPUTED_VALUE"""),13.6)</f>
        <v>13.6</v>
      </c>
      <c r="AC555" s="14">
        <f>IFERROR(__xludf.DUMMYFUNCTION("""COMPUTED_VALUE"""),13.439999999999998)</f>
        <v>13.44</v>
      </c>
      <c r="AD555" s="48">
        <f>IFERROR(__xludf.DUMMYFUNCTION("""COMPUTED_VALUE"""),464.0)</f>
        <v>464</v>
      </c>
      <c r="AE555" s="48">
        <f>IFERROR(__xludf.DUMMYFUNCTION("""COMPUTED_VALUE"""),458.0)</f>
        <v>458</v>
      </c>
      <c r="AF555" s="48">
        <f>IFERROR(__xludf.DUMMYFUNCTION("""COMPUTED_VALUE"""),450.0)</f>
        <v>450</v>
      </c>
      <c r="AG555" s="48">
        <f>IFERROR(__xludf.DUMMYFUNCTION("""COMPUTED_VALUE"""),405.0)</f>
        <v>405</v>
      </c>
      <c r="AH555" s="48">
        <f>IFERROR(__xludf.DUMMYFUNCTION("""COMPUTED_VALUE"""),459.0)</f>
        <v>459</v>
      </c>
      <c r="AI555" s="14">
        <f>IFERROR(__xludf.DUMMYFUNCTION("""COMPUTED_VALUE"""),447.2)</f>
        <v>447.2</v>
      </c>
      <c r="AJ555" s="14">
        <f>IFERROR(__xludf.DUMMYFUNCTION("""COMPUTED_VALUE"""),1.29)</f>
        <v>1.29</v>
      </c>
      <c r="AK555" s="14">
        <f>IFERROR(__xludf.DUMMYFUNCTION("""COMPUTED_VALUE"""),1.45)</f>
        <v>1.45</v>
      </c>
      <c r="AL555" s="14">
        <f>IFERROR(__xludf.DUMMYFUNCTION("""COMPUTED_VALUE"""),1.2)</f>
        <v>1.2</v>
      </c>
      <c r="AM555" s="14">
        <f>IFERROR(__xludf.DUMMYFUNCTION("""COMPUTED_VALUE"""),1.27)</f>
        <v>1.27</v>
      </c>
      <c r="AN555" s="14">
        <f>IFERROR(__xludf.DUMMYFUNCTION("""COMPUTED_VALUE"""),1.23)</f>
        <v>1.23</v>
      </c>
      <c r="AO555" s="14">
        <f>IFERROR(__xludf.DUMMYFUNCTION("""COMPUTED_VALUE"""),1.2880000000000003)</f>
        <v>1.288</v>
      </c>
      <c r="AP555" s="14">
        <f>IFERROR(__xludf.DUMMYFUNCTION("""COMPUTED_VALUE"""),30.0)</f>
        <v>30</v>
      </c>
      <c r="AQ555" s="14">
        <f>IFERROR(__xludf.DUMMYFUNCTION("""COMPUTED_VALUE"""),66.0)</f>
        <v>66</v>
      </c>
      <c r="AR555" s="14">
        <f>IFERROR(__xludf.DUMMYFUNCTION("""COMPUTED_VALUE"""),34.0)</f>
        <v>34</v>
      </c>
      <c r="AS555" s="14">
        <f>IFERROR(__xludf.DUMMYFUNCTION("""COMPUTED_VALUE"""),1.2)</f>
        <v>1.2</v>
      </c>
      <c r="AT555" s="14">
        <f>IFERROR(__xludf.DUMMYFUNCTION("""COMPUTED_VALUE"""),0.69)</f>
        <v>0.69</v>
      </c>
      <c r="AU555" s="14">
        <f>IFERROR(__xludf.DUMMYFUNCTION("""COMPUTED_VALUE"""),1.576E8)</f>
        <v>157600000</v>
      </c>
      <c r="AV555" s="14">
        <f>IFERROR(__xludf.DUMMYFUNCTION("""COMPUTED_VALUE"""),2.8)</f>
        <v>2.8</v>
      </c>
      <c r="AW555" s="14">
        <f>IFERROR(__xludf.DUMMYFUNCTION("""COMPUTED_VALUE"""),5.6)</f>
        <v>5.6</v>
      </c>
      <c r="AX555" s="14">
        <f>IFERROR(__xludf.DUMMYFUNCTION("""COMPUTED_VALUE"""),733000.0)</f>
        <v>733000</v>
      </c>
      <c r="AY555" s="14">
        <f>IFERROR(__xludf.DUMMYFUNCTION("""COMPUTED_VALUE"""),0.6)</f>
        <v>0.6</v>
      </c>
      <c r="AZ555" s="14">
        <f>IFERROR(__xludf.DUMMYFUNCTION("""COMPUTED_VALUE"""),0.007)</f>
        <v>0.007</v>
      </c>
      <c r="BA555" s="14">
        <f t="shared" si="1"/>
        <v>6.207</v>
      </c>
    </row>
    <row r="556" ht="14.25" customHeight="1">
      <c r="A556" s="10" t="str">
        <f>IFERROR(__xludf.DUMMYFUNCTION("""COMPUTED_VALUE"""),"151221SE01")</f>
        <v>151221SE01</v>
      </c>
      <c r="B556" s="12" t="str">
        <f>IFERROR(__xludf.DUMMYFUNCTION("""COMPUTED_VALUE"""),"HCO-Los Lagartos")</f>
        <v>HCO-Los Lagartos</v>
      </c>
      <c r="C556" s="12"/>
      <c r="D556" s="12"/>
      <c r="E556" s="44">
        <f>IFERROR(__xludf.DUMMYFUNCTION("""COMPUTED_VALUE"""),44545.0)</f>
        <v>44545</v>
      </c>
      <c r="F556" s="12" t="str">
        <f>IFERROR(__xludf.DUMMYFUNCTION("""COMPUTED_VALUE"""),"TIPO I")</f>
        <v>TIPO I</v>
      </c>
      <c r="G556" s="12" t="str">
        <f>IFERROR(__xludf.DUMMYFUNCTION("""COMPUTED_VALUE"""),"Se observa color, se perciben olores")</f>
        <v>Se observa color, se perciben olores</v>
      </c>
      <c r="H556" s="45">
        <f>IFERROR(__xludf.DUMMYFUNCTION("""COMPUTED_VALUE"""),0.3333333333321207)</f>
        <v>0.3333333333</v>
      </c>
      <c r="I556" s="45">
        <f>IFERROR(__xludf.DUMMYFUNCTION("""COMPUTED_VALUE"""),0.4166666666678793)</f>
        <v>0.4166666667</v>
      </c>
      <c r="J556" s="12">
        <f>IFERROR(__xludf.DUMMYFUNCTION("""COMPUTED_VALUE"""),6.43)</f>
        <v>6.43</v>
      </c>
      <c r="K556" s="12">
        <f>IFERROR(__xludf.DUMMYFUNCTION("""COMPUTED_VALUE"""),0.41)</f>
        <v>0.41</v>
      </c>
      <c r="L556" s="14">
        <f>IFERROR(__xludf.DUMMYFUNCTION("""COMPUTED_VALUE"""),191.614)</f>
        <v>191.614</v>
      </c>
      <c r="M556" s="14">
        <f>IFERROR(__xludf.DUMMYFUNCTION("""COMPUTED_VALUE"""),190.717)</f>
        <v>190.717</v>
      </c>
      <c r="N556" s="14">
        <f>IFERROR(__xludf.DUMMYFUNCTION("""COMPUTED_VALUE"""),193.513)</f>
        <v>193.513</v>
      </c>
      <c r="O556" s="14">
        <f>IFERROR(__xludf.DUMMYFUNCTION("""COMPUTED_VALUE"""),187.464)</f>
        <v>187.464</v>
      </c>
      <c r="P556" s="14">
        <f>IFERROR(__xludf.DUMMYFUNCTION("""COMPUTED_VALUE"""),194.514)</f>
        <v>194.514</v>
      </c>
      <c r="Q556" s="14">
        <f>IFERROR(__xludf.DUMMYFUNCTION("""COMPUTED_VALUE"""),191.564)</f>
        <v>191.564</v>
      </c>
      <c r="R556" s="48">
        <f>IFERROR(__xludf.DUMMYFUNCTION("""COMPUTED_VALUE"""),7.39)</f>
        <v>7.39</v>
      </c>
      <c r="S556" s="48">
        <f>IFERROR(__xludf.DUMMYFUNCTION("""COMPUTED_VALUE"""),7.08)</f>
        <v>7.08</v>
      </c>
      <c r="T556" s="48">
        <f>IFERROR(__xludf.DUMMYFUNCTION("""COMPUTED_VALUE"""),7.17)</f>
        <v>7.17</v>
      </c>
      <c r="U556" s="48">
        <f>IFERROR(__xludf.DUMMYFUNCTION("""COMPUTED_VALUE"""),7.07)</f>
        <v>7.07</v>
      </c>
      <c r="V556" s="48">
        <f>IFERROR(__xludf.DUMMYFUNCTION("""COMPUTED_VALUE"""),7.11)</f>
        <v>7.11</v>
      </c>
      <c r="W556" s="14">
        <f>IFERROR(__xludf.DUMMYFUNCTION("""COMPUTED_VALUE"""),7.164)</f>
        <v>7.164</v>
      </c>
      <c r="X556" s="14">
        <f>IFERROR(__xludf.DUMMYFUNCTION("""COMPUTED_VALUE"""),14.4)</f>
        <v>14.4</v>
      </c>
      <c r="Y556" s="14">
        <f>IFERROR(__xludf.DUMMYFUNCTION("""COMPUTED_VALUE"""),14.4)</f>
        <v>14.4</v>
      </c>
      <c r="Z556" s="14">
        <f>IFERROR(__xludf.DUMMYFUNCTION("""COMPUTED_VALUE"""),14.4)</f>
        <v>14.4</v>
      </c>
      <c r="AA556" s="14">
        <f>IFERROR(__xludf.DUMMYFUNCTION("""COMPUTED_VALUE"""),15.7)</f>
        <v>15.7</v>
      </c>
      <c r="AB556" s="14">
        <f>IFERROR(__xludf.DUMMYFUNCTION("""COMPUTED_VALUE"""),15.6)</f>
        <v>15.6</v>
      </c>
      <c r="AC556" s="14">
        <f>IFERROR(__xludf.DUMMYFUNCTION("""COMPUTED_VALUE"""),14.9)</f>
        <v>14.9</v>
      </c>
      <c r="AD556" s="48">
        <f>IFERROR(__xludf.DUMMYFUNCTION("""COMPUTED_VALUE"""),388.0)</f>
        <v>388</v>
      </c>
      <c r="AE556" s="48">
        <f>IFERROR(__xludf.DUMMYFUNCTION("""COMPUTED_VALUE"""),385.0)</f>
        <v>385</v>
      </c>
      <c r="AF556" s="48">
        <f>IFERROR(__xludf.DUMMYFUNCTION("""COMPUTED_VALUE"""),390.0)</f>
        <v>390</v>
      </c>
      <c r="AG556" s="48">
        <f>IFERROR(__xludf.DUMMYFUNCTION("""COMPUTED_VALUE"""),393.0)</f>
        <v>393</v>
      </c>
      <c r="AH556" s="48">
        <f>IFERROR(__xludf.DUMMYFUNCTION("""COMPUTED_VALUE"""),405.0)</f>
        <v>405</v>
      </c>
      <c r="AI556" s="14">
        <f>IFERROR(__xludf.DUMMYFUNCTION("""COMPUTED_VALUE"""),392.2)</f>
        <v>392.2</v>
      </c>
      <c r="AJ556" s="14">
        <f>IFERROR(__xludf.DUMMYFUNCTION("""COMPUTED_VALUE"""),0.45)</f>
        <v>0.45</v>
      </c>
      <c r="AK556" s="14">
        <f>IFERROR(__xludf.DUMMYFUNCTION("""COMPUTED_VALUE"""),0.46)</f>
        <v>0.46</v>
      </c>
      <c r="AL556" s="14">
        <f>IFERROR(__xludf.DUMMYFUNCTION("""COMPUTED_VALUE"""),0.42)</f>
        <v>0.42</v>
      </c>
      <c r="AM556" s="14">
        <f>IFERROR(__xludf.DUMMYFUNCTION("""COMPUTED_VALUE"""),0.83)</f>
        <v>0.83</v>
      </c>
      <c r="AN556" s="14">
        <f>IFERROR(__xludf.DUMMYFUNCTION("""COMPUTED_VALUE"""),0.43)</f>
        <v>0.43</v>
      </c>
      <c r="AO556" s="14">
        <f>IFERROR(__xludf.DUMMYFUNCTION("""COMPUTED_VALUE"""),0.518)</f>
        <v>0.518</v>
      </c>
      <c r="AP556" s="14">
        <f>IFERROR(__xludf.DUMMYFUNCTION("""COMPUTED_VALUE"""),39.0)</f>
        <v>39</v>
      </c>
      <c r="AQ556" s="14">
        <f>IFERROR(__xludf.DUMMYFUNCTION("""COMPUTED_VALUE"""),54.0)</f>
        <v>54</v>
      </c>
      <c r="AR556" s="14">
        <f>IFERROR(__xludf.DUMMYFUNCTION("""COMPUTED_VALUE"""),14.0)</f>
        <v>14</v>
      </c>
      <c r="AS556" s="14">
        <f>IFERROR(__xludf.DUMMYFUNCTION("""COMPUTED_VALUE"""),1.2)</f>
        <v>1.2</v>
      </c>
      <c r="AT556" s="14">
        <f>IFERROR(__xludf.DUMMYFUNCTION("""COMPUTED_VALUE"""),0.07)</f>
        <v>0.07</v>
      </c>
      <c r="AU556" s="14">
        <f>IFERROR(__xludf.DUMMYFUNCTION("""COMPUTED_VALUE"""),1.408E7)</f>
        <v>14080000</v>
      </c>
      <c r="AV556" s="14">
        <f>IFERROR(__xludf.DUMMYFUNCTION("""COMPUTED_VALUE"""),1.0)</f>
        <v>1</v>
      </c>
      <c r="AW556" s="14">
        <f>IFERROR(__xludf.DUMMYFUNCTION("""COMPUTED_VALUE"""),14.9)</f>
        <v>14.9</v>
      </c>
      <c r="AX556" s="14">
        <f>IFERROR(__xludf.DUMMYFUNCTION("""COMPUTED_VALUE"""),1.287E7)</f>
        <v>12870000</v>
      </c>
      <c r="AY556" s="14">
        <f>IFERROR(__xludf.DUMMYFUNCTION("""COMPUTED_VALUE"""),0.4)</f>
        <v>0.4</v>
      </c>
      <c r="AZ556" s="14">
        <f>IFERROR(__xludf.DUMMYFUNCTION("""COMPUTED_VALUE"""),0.007)</f>
        <v>0.007</v>
      </c>
      <c r="BA556" s="14">
        <f t="shared" si="1"/>
        <v>15.307</v>
      </c>
    </row>
    <row r="557" ht="14.25" customHeight="1">
      <c r="A557" s="10" t="str">
        <f>IFERROR(__xludf.DUMMYFUNCTION("""COMPUTED_VALUE"""),"151221JM03")</f>
        <v>151221JM03</v>
      </c>
      <c r="B557" s="12" t="str">
        <f>IFERROR(__xludf.DUMMYFUNCTION("""COMPUTED_VALUE"""),"QZA-Entre Nubes")</f>
        <v>QZA-Entre Nubes</v>
      </c>
      <c r="C557" s="12"/>
      <c r="D557" s="12"/>
      <c r="E557" s="44">
        <f>IFERROR(__xludf.DUMMYFUNCTION("""COMPUTED_VALUE"""),44545.0)</f>
        <v>44545</v>
      </c>
      <c r="F557" s="12" t="str">
        <f>IFERROR(__xludf.DUMMYFUNCTION("""COMPUTED_VALUE"""),"TIPO I")</f>
        <v>TIPO I</v>
      </c>
      <c r="G557" s="12" t="str">
        <f>IFERROR(__xludf.DUMMYFUNCTION("""COMPUTED_VALUE"""),"El cuerpo de agua presenta lecho rocoso y presencia de color producto de la turbiedad")</f>
        <v>El cuerpo de agua presenta lecho rocoso y presencia de color producto de la turbiedad</v>
      </c>
      <c r="H557" s="45">
        <f>IFERROR(__xludf.DUMMYFUNCTION("""COMPUTED_VALUE"""),0.5833333333321207)</f>
        <v>0.5833333333</v>
      </c>
      <c r="I557" s="45">
        <f>IFERROR(__xludf.DUMMYFUNCTION("""COMPUTED_VALUE"""),0.6666666666678793)</f>
        <v>0.6666666667</v>
      </c>
      <c r="J557" s="12">
        <f>IFERROR(__xludf.DUMMYFUNCTION("""COMPUTED_VALUE"""),3.96)</f>
        <v>3.96</v>
      </c>
      <c r="K557" s="12">
        <f>IFERROR(__xludf.DUMMYFUNCTION("""COMPUTED_VALUE"""),0.3)</f>
        <v>0.3</v>
      </c>
      <c r="L557" s="14">
        <f>IFERROR(__xludf.DUMMYFUNCTION("""COMPUTED_VALUE"""),173.87)</f>
        <v>173.87</v>
      </c>
      <c r="M557" s="14">
        <f>IFERROR(__xludf.DUMMYFUNCTION("""COMPUTED_VALUE"""),177.38)</f>
        <v>177.38</v>
      </c>
      <c r="N557" s="14">
        <f>IFERROR(__xludf.DUMMYFUNCTION("""COMPUTED_VALUE"""),176.111)</f>
        <v>176.111</v>
      </c>
      <c r="O557" s="14">
        <f>IFERROR(__xludf.DUMMYFUNCTION("""COMPUTED_VALUE"""),161.012)</f>
        <v>161.012</v>
      </c>
      <c r="P557" s="14">
        <f>IFERROR(__xludf.DUMMYFUNCTION("""COMPUTED_VALUE"""),164.126)</f>
        <v>164.126</v>
      </c>
      <c r="Q557" s="14">
        <f>IFERROR(__xludf.DUMMYFUNCTION("""COMPUTED_VALUE"""),170.5)</f>
        <v>170.5</v>
      </c>
      <c r="R557" s="48">
        <f>IFERROR(__xludf.DUMMYFUNCTION("""COMPUTED_VALUE"""),7.9)</f>
        <v>7.9</v>
      </c>
      <c r="S557" s="48">
        <f>IFERROR(__xludf.DUMMYFUNCTION("""COMPUTED_VALUE"""),7.86)</f>
        <v>7.86</v>
      </c>
      <c r="T557" s="48">
        <f>IFERROR(__xludf.DUMMYFUNCTION("""COMPUTED_VALUE"""),7.68)</f>
        <v>7.68</v>
      </c>
      <c r="U557" s="48">
        <f>IFERROR(__xludf.DUMMYFUNCTION("""COMPUTED_VALUE"""),7.66)</f>
        <v>7.66</v>
      </c>
      <c r="V557" s="48">
        <f>IFERROR(__xludf.DUMMYFUNCTION("""COMPUTED_VALUE"""),7.56)</f>
        <v>7.56</v>
      </c>
      <c r="W557" s="14">
        <f>IFERROR(__xludf.DUMMYFUNCTION("""COMPUTED_VALUE"""),7.732000000000001)</f>
        <v>7.732</v>
      </c>
      <c r="X557" s="14">
        <f>IFERROR(__xludf.DUMMYFUNCTION("""COMPUTED_VALUE"""),17.5)</f>
        <v>17.5</v>
      </c>
      <c r="Y557" s="14">
        <f>IFERROR(__xludf.DUMMYFUNCTION("""COMPUTED_VALUE"""),16.6)</f>
        <v>16.6</v>
      </c>
      <c r="Z557" s="14">
        <f>IFERROR(__xludf.DUMMYFUNCTION("""COMPUTED_VALUE"""),16.3)</f>
        <v>16.3</v>
      </c>
      <c r="AA557" s="14">
        <f>IFERROR(__xludf.DUMMYFUNCTION("""COMPUTED_VALUE"""),16.2)</f>
        <v>16.2</v>
      </c>
      <c r="AB557" s="14">
        <f>IFERROR(__xludf.DUMMYFUNCTION("""COMPUTED_VALUE"""),16.0)</f>
        <v>16</v>
      </c>
      <c r="AC557" s="14">
        <f>IFERROR(__xludf.DUMMYFUNCTION("""COMPUTED_VALUE"""),16.520000000000003)</f>
        <v>16.52</v>
      </c>
      <c r="AD557" s="48">
        <f>IFERROR(__xludf.DUMMYFUNCTION("""COMPUTED_VALUE"""),677.0)</f>
        <v>677</v>
      </c>
      <c r="AE557" s="48">
        <f>IFERROR(__xludf.DUMMYFUNCTION("""COMPUTED_VALUE"""),660.0)</f>
        <v>660</v>
      </c>
      <c r="AF557" s="48">
        <f>IFERROR(__xludf.DUMMYFUNCTION("""COMPUTED_VALUE"""),606.0)</f>
        <v>606</v>
      </c>
      <c r="AG557" s="48">
        <f>IFERROR(__xludf.DUMMYFUNCTION("""COMPUTED_VALUE"""),666.0)</f>
        <v>666</v>
      </c>
      <c r="AH557" s="48">
        <f>IFERROR(__xludf.DUMMYFUNCTION("""COMPUTED_VALUE"""),611.0)</f>
        <v>611</v>
      </c>
      <c r="AI557" s="14">
        <f>IFERROR(__xludf.DUMMYFUNCTION("""COMPUTED_VALUE"""),644.0)</f>
        <v>644</v>
      </c>
      <c r="AJ557" s="14">
        <f>IFERROR(__xludf.DUMMYFUNCTION("""COMPUTED_VALUE"""),3.83)</f>
        <v>3.83</v>
      </c>
      <c r="AK557" s="14">
        <f>IFERROR(__xludf.DUMMYFUNCTION("""COMPUTED_VALUE"""),4.53)</f>
        <v>4.53</v>
      </c>
      <c r="AL557" s="14">
        <f>IFERROR(__xludf.DUMMYFUNCTION("""COMPUTED_VALUE"""),3.91)</f>
        <v>3.91</v>
      </c>
      <c r="AM557" s="14">
        <f>IFERROR(__xludf.DUMMYFUNCTION("""COMPUTED_VALUE"""),4.08)</f>
        <v>4.08</v>
      </c>
      <c r="AN557" s="14">
        <f>IFERROR(__xludf.DUMMYFUNCTION("""COMPUTED_VALUE"""),3.76)</f>
        <v>3.76</v>
      </c>
      <c r="AO557" s="14">
        <f>IFERROR(__xludf.DUMMYFUNCTION("""COMPUTED_VALUE"""),4.022)</f>
        <v>4.022</v>
      </c>
      <c r="AP557" s="14">
        <f>IFERROR(__xludf.DUMMYFUNCTION("""COMPUTED_VALUE"""),107.0)</f>
        <v>107</v>
      </c>
      <c r="AQ557" s="14">
        <f>IFERROR(__xludf.DUMMYFUNCTION("""COMPUTED_VALUE"""),238.0)</f>
        <v>238</v>
      </c>
      <c r="AR557" s="14">
        <f>IFERROR(__xludf.DUMMYFUNCTION("""COMPUTED_VALUE"""),106.0)</f>
        <v>106</v>
      </c>
      <c r="AS557" s="14">
        <f>IFERROR(__xludf.DUMMYFUNCTION("""COMPUTED_VALUE"""),52.0)</f>
        <v>52</v>
      </c>
      <c r="AT557" s="14">
        <f>IFERROR(__xludf.DUMMYFUNCTION("""COMPUTED_VALUE"""),4.88)</f>
        <v>4.88</v>
      </c>
      <c r="AU557" s="14">
        <f>IFERROR(__xludf.DUMMYFUNCTION("""COMPUTED_VALUE"""),1.576E8)</f>
        <v>157600000</v>
      </c>
      <c r="AV557" s="14">
        <f>IFERROR(__xludf.DUMMYFUNCTION("""COMPUTED_VALUE"""),11.88)</f>
        <v>11.88</v>
      </c>
      <c r="AW557" s="14">
        <f>IFERROR(__xludf.DUMMYFUNCTION("""COMPUTED_VALUE"""),42.4)</f>
        <v>42.4</v>
      </c>
      <c r="AX557" s="14">
        <f>IFERROR(__xludf.DUMMYFUNCTION("""COMPUTED_VALUE"""),882000.0)</f>
        <v>882000</v>
      </c>
      <c r="AY557" s="14">
        <f>IFERROR(__xludf.DUMMYFUNCTION("""COMPUTED_VALUE"""),2.7)</f>
        <v>2.7</v>
      </c>
      <c r="AZ557" s="14">
        <f>IFERROR(__xludf.DUMMYFUNCTION("""COMPUTED_VALUE"""),0.007)</f>
        <v>0.007</v>
      </c>
      <c r="BA557" s="14">
        <f t="shared" si="1"/>
        <v>45.107</v>
      </c>
    </row>
    <row r="558" ht="14.25" customHeight="1">
      <c r="A558" s="10" t="str">
        <f>IFERROR(__xludf.DUMMYFUNCTION("""COMPUTED_VALUE"""),"151221JM04")</f>
        <v>151221JM04</v>
      </c>
      <c r="B558" s="12" t="str">
        <f>IFERROR(__xludf.DUMMYFUNCTION("""COMPUTED_VALUE"""),"QZA-Quindío")</f>
        <v>QZA-Quindío</v>
      </c>
      <c r="C558" s="12"/>
      <c r="D558" s="12"/>
      <c r="E558" s="44">
        <f>IFERROR(__xludf.DUMMYFUNCTION("""COMPUTED_VALUE"""),44545.0)</f>
        <v>44545</v>
      </c>
      <c r="F558" s="12" t="str">
        <f>IFERROR(__xludf.DUMMYFUNCTION("""COMPUTED_VALUE"""),"TIPO I")</f>
        <v>TIPO I</v>
      </c>
      <c r="G558" s="12" t="str">
        <f>IFERROR(__xludf.DUMMYFUNCTION("""COMPUTED_VALUE"""),"No se percibe olor, ni se observa color aparente.")</f>
        <v>No se percibe olor, ni se observa color aparente.</v>
      </c>
      <c r="H558" s="45">
        <f>IFERROR(__xludf.DUMMYFUNCTION("""COMPUTED_VALUE"""),0.6666666666678793)</f>
        <v>0.6666666667</v>
      </c>
      <c r="I558" s="45">
        <f>IFERROR(__xludf.DUMMYFUNCTION("""COMPUTED_VALUE"""),0.75)</f>
        <v>0.75</v>
      </c>
      <c r="J558" s="12">
        <f>IFERROR(__xludf.DUMMYFUNCTION("""COMPUTED_VALUE"""),1.44)</f>
        <v>1.44</v>
      </c>
      <c r="K558" s="12">
        <f>IFERROR(__xludf.DUMMYFUNCTION("""COMPUTED_VALUE"""),0.11)</f>
        <v>0.11</v>
      </c>
      <c r="L558" s="14">
        <f>IFERROR(__xludf.DUMMYFUNCTION("""COMPUTED_VALUE"""),15.009)</f>
        <v>15.009</v>
      </c>
      <c r="M558" s="14">
        <f>IFERROR(__xludf.DUMMYFUNCTION("""COMPUTED_VALUE"""),16.443)</f>
        <v>16.443</v>
      </c>
      <c r="N558" s="14">
        <f>IFERROR(__xludf.DUMMYFUNCTION("""COMPUTED_VALUE"""),16.705)</f>
        <v>16.705</v>
      </c>
      <c r="O558" s="14">
        <f>IFERROR(__xludf.DUMMYFUNCTION("""COMPUTED_VALUE"""),15.75)</f>
        <v>15.75</v>
      </c>
      <c r="P558" s="14">
        <f>IFERROR(__xludf.DUMMYFUNCTION("""COMPUTED_VALUE"""),15.538)</f>
        <v>15.538</v>
      </c>
      <c r="Q558" s="14">
        <f>IFERROR(__xludf.DUMMYFUNCTION("""COMPUTED_VALUE"""),15.889)</f>
        <v>15.889</v>
      </c>
      <c r="R558" s="48">
        <f>IFERROR(__xludf.DUMMYFUNCTION("""COMPUTED_VALUE"""),7.82)</f>
        <v>7.82</v>
      </c>
      <c r="S558" s="48">
        <f>IFERROR(__xludf.DUMMYFUNCTION("""COMPUTED_VALUE"""),7.38)</f>
        <v>7.38</v>
      </c>
      <c r="T558" s="48">
        <f>IFERROR(__xludf.DUMMYFUNCTION("""COMPUTED_VALUE"""),7.13)</f>
        <v>7.13</v>
      </c>
      <c r="U558" s="48">
        <f>IFERROR(__xludf.DUMMYFUNCTION("""COMPUTED_VALUE"""),7.15)</f>
        <v>7.15</v>
      </c>
      <c r="V558" s="48">
        <f>IFERROR(__xludf.DUMMYFUNCTION("""COMPUTED_VALUE"""),7.02)</f>
        <v>7.02</v>
      </c>
      <c r="W558" s="14">
        <f>IFERROR(__xludf.DUMMYFUNCTION("""COMPUTED_VALUE"""),7.3)</f>
        <v>7.3</v>
      </c>
      <c r="X558" s="14">
        <f>IFERROR(__xludf.DUMMYFUNCTION("""COMPUTED_VALUE"""),14.0)</f>
        <v>14</v>
      </c>
      <c r="Y558" s="14">
        <f>IFERROR(__xludf.DUMMYFUNCTION("""COMPUTED_VALUE"""),14.4)</f>
        <v>14.4</v>
      </c>
      <c r="Z558" s="14">
        <f>IFERROR(__xludf.DUMMYFUNCTION("""COMPUTED_VALUE"""),14.1)</f>
        <v>14.1</v>
      </c>
      <c r="AA558" s="14">
        <f>IFERROR(__xludf.DUMMYFUNCTION("""COMPUTED_VALUE"""),14.2)</f>
        <v>14.2</v>
      </c>
      <c r="AB558" s="14">
        <f>IFERROR(__xludf.DUMMYFUNCTION("""COMPUTED_VALUE"""),14.1)</f>
        <v>14.1</v>
      </c>
      <c r="AC558" s="14">
        <f>IFERROR(__xludf.DUMMYFUNCTION("""COMPUTED_VALUE"""),14.16)</f>
        <v>14.16</v>
      </c>
      <c r="AD558" s="48">
        <f>IFERROR(__xludf.DUMMYFUNCTION("""COMPUTED_VALUE"""),58.6)</f>
        <v>58.6</v>
      </c>
      <c r="AE558" s="48">
        <f>IFERROR(__xludf.DUMMYFUNCTION("""COMPUTED_VALUE"""),62.4)</f>
        <v>62.4</v>
      </c>
      <c r="AF558" s="48">
        <f>IFERROR(__xludf.DUMMYFUNCTION("""COMPUTED_VALUE"""),59.0)</f>
        <v>59</v>
      </c>
      <c r="AG558" s="48">
        <f>IFERROR(__xludf.DUMMYFUNCTION("""COMPUTED_VALUE"""),53.1)</f>
        <v>53.1</v>
      </c>
      <c r="AH558" s="48">
        <f>IFERROR(__xludf.DUMMYFUNCTION("""COMPUTED_VALUE"""),59.2)</f>
        <v>59.2</v>
      </c>
      <c r="AI558" s="14">
        <f>IFERROR(__xludf.DUMMYFUNCTION("""COMPUTED_VALUE"""),58.46)</f>
        <v>58.46</v>
      </c>
      <c r="AJ558" s="14">
        <f>IFERROR(__xludf.DUMMYFUNCTION("""COMPUTED_VALUE"""),6.64)</f>
        <v>6.64</v>
      </c>
      <c r="AK558" s="14">
        <f>IFERROR(__xludf.DUMMYFUNCTION("""COMPUTED_VALUE"""),5.8)</f>
        <v>5.8</v>
      </c>
      <c r="AL558" s="14">
        <f>IFERROR(__xludf.DUMMYFUNCTION("""COMPUTED_VALUE"""),5.11)</f>
        <v>5.11</v>
      </c>
      <c r="AM558" s="14">
        <f>IFERROR(__xludf.DUMMYFUNCTION("""COMPUTED_VALUE"""),5.75)</f>
        <v>5.75</v>
      </c>
      <c r="AN558" s="14">
        <f>IFERROR(__xludf.DUMMYFUNCTION("""COMPUTED_VALUE"""),5.57)</f>
        <v>5.57</v>
      </c>
      <c r="AO558" s="14">
        <f>IFERROR(__xludf.DUMMYFUNCTION("""COMPUTED_VALUE"""),5.774)</f>
        <v>5.774</v>
      </c>
      <c r="AP558" s="14">
        <f>IFERROR(__xludf.DUMMYFUNCTION("""COMPUTED_VALUE"""),4.0)</f>
        <v>4</v>
      </c>
      <c r="AQ558" s="14">
        <f>IFERROR(__xludf.DUMMYFUNCTION("""COMPUTED_VALUE"""),19.0)</f>
        <v>19</v>
      </c>
      <c r="AR558" s="14">
        <f>IFERROR(__xludf.DUMMYFUNCTION("""COMPUTED_VALUE"""),18.0)</f>
        <v>18</v>
      </c>
      <c r="AS558" s="14">
        <f>IFERROR(__xludf.DUMMYFUNCTION("""COMPUTED_VALUE"""),1.2)</f>
        <v>1.2</v>
      </c>
      <c r="AT558" s="14">
        <f>IFERROR(__xludf.DUMMYFUNCTION("""COMPUTED_VALUE"""),0.07)</f>
        <v>0.07</v>
      </c>
      <c r="AU558" s="14">
        <f>IFERROR(__xludf.DUMMYFUNCTION("""COMPUTED_VALUE"""),14240.0)</f>
        <v>14240</v>
      </c>
      <c r="AV558" s="14">
        <f>IFERROR(__xludf.DUMMYFUNCTION("""COMPUTED_VALUE"""),0.33)</f>
        <v>0.33</v>
      </c>
      <c r="AW558" s="14">
        <f>IFERROR(__xludf.DUMMYFUNCTION("""COMPUTED_VALUE"""),1.0)</f>
        <v>1</v>
      </c>
      <c r="AX558" s="14">
        <f>IFERROR(__xludf.DUMMYFUNCTION("""COMPUTED_VALUE"""),12300.0)</f>
        <v>12300</v>
      </c>
      <c r="AY558" s="14">
        <f>IFERROR(__xludf.DUMMYFUNCTION("""COMPUTED_VALUE"""),1.8)</f>
        <v>1.8</v>
      </c>
      <c r="AZ558" s="14">
        <f>IFERROR(__xludf.DUMMYFUNCTION("""COMPUTED_VALUE"""),0.007)</f>
        <v>0.007</v>
      </c>
      <c r="BA558" s="14">
        <f t="shared" si="1"/>
        <v>2.807</v>
      </c>
    </row>
    <row r="559" ht="14.25" customHeight="1">
      <c r="A559" s="10" t="str">
        <f>IFERROR(__xludf.DUMMYFUNCTION("""COMPUTED_VALUE"""),"141221MP02")</f>
        <v>141221MP02</v>
      </c>
      <c r="B559" s="12" t="str">
        <f>IFERROR(__xludf.DUMMYFUNCTION("""COMPUTED_VALUE"""),"COR-Victoria Norte")</f>
        <v>COR-Victoria Norte</v>
      </c>
      <c r="C559" s="12"/>
      <c r="D559" s="12"/>
      <c r="E559" s="44">
        <f>IFERROR(__xludf.DUMMYFUNCTION("""COMPUTED_VALUE"""),44544.0)</f>
        <v>44544</v>
      </c>
      <c r="F559" s="12" t="str">
        <f>IFERROR(__xludf.DUMMYFUNCTION("""COMPUTED_VALUE"""),"TIPO I")</f>
        <v>TIPO I</v>
      </c>
      <c r="G559" s="12" t="str">
        <f>IFERROR(__xludf.DUMMYFUNCTION("""COMPUTED_VALUE"""),"Se observaron residuos sólidos en el lecho del canal
Durante el muestreo se presentaron lluvias leves, por esta razón no es posible tomar la muestra de la quinta alícuota
Altura: 2575 msnm")</f>
        <v>Se observaron residuos sólidos en el lecho del canal
Durante el muestreo se presentaron lluvias leves, por esta razón no es posible tomar la muestra de la quinta alícuota
Altura: 2575 msnm</v>
      </c>
      <c r="H559" s="45">
        <f>IFERROR(__xludf.DUMMYFUNCTION("""COMPUTED_VALUE"""),0.5833333333321207)</f>
        <v>0.5833333333</v>
      </c>
      <c r="I559" s="45">
        <f>IFERROR(__xludf.DUMMYFUNCTION("""COMPUTED_VALUE"""),0.6666666666678793)</f>
        <v>0.6666666667</v>
      </c>
      <c r="J559" s="12">
        <f>IFERROR(__xludf.DUMMYFUNCTION("""COMPUTED_VALUE"""),3.4)</f>
        <v>3.4</v>
      </c>
      <c r="K559" s="12">
        <f>IFERROR(__xludf.DUMMYFUNCTION("""COMPUTED_VALUE"""),0.06)</f>
        <v>0.06</v>
      </c>
      <c r="L559" s="14">
        <f>IFERROR(__xludf.DUMMYFUNCTION("""COMPUTED_VALUE"""),58.288)</f>
        <v>58.288</v>
      </c>
      <c r="M559" s="14">
        <f>IFERROR(__xludf.DUMMYFUNCTION("""COMPUTED_VALUE"""),59.607)</f>
        <v>59.607</v>
      </c>
      <c r="N559" s="14">
        <f>IFERROR(__xludf.DUMMYFUNCTION("""COMPUTED_VALUE"""),60.218)</f>
        <v>60.218</v>
      </c>
      <c r="O559" s="14">
        <f>IFERROR(__xludf.DUMMYFUNCTION("""COMPUTED_VALUE"""),61.41)</f>
        <v>61.41</v>
      </c>
      <c r="P559" s="14"/>
      <c r="Q559" s="14">
        <f>IFERROR(__xludf.DUMMYFUNCTION("""COMPUTED_VALUE"""),59.881)</f>
        <v>59.881</v>
      </c>
      <c r="R559" s="48">
        <f>IFERROR(__xludf.DUMMYFUNCTION("""COMPUTED_VALUE"""),7.65)</f>
        <v>7.65</v>
      </c>
      <c r="S559" s="48">
        <f>IFERROR(__xludf.DUMMYFUNCTION("""COMPUTED_VALUE"""),7.63)</f>
        <v>7.63</v>
      </c>
      <c r="T559" s="48">
        <f>IFERROR(__xludf.DUMMYFUNCTION("""COMPUTED_VALUE"""),7.65)</f>
        <v>7.65</v>
      </c>
      <c r="U559" s="48">
        <f>IFERROR(__xludf.DUMMYFUNCTION("""COMPUTED_VALUE"""),7.59)</f>
        <v>7.59</v>
      </c>
      <c r="V559" s="48"/>
      <c r="W559" s="14">
        <f>IFERROR(__xludf.DUMMYFUNCTION("""COMPUTED_VALUE"""),7.63)</f>
        <v>7.63</v>
      </c>
      <c r="X559" s="14">
        <f>IFERROR(__xludf.DUMMYFUNCTION("""COMPUTED_VALUE"""),20.0)</f>
        <v>20</v>
      </c>
      <c r="Y559" s="14">
        <f>IFERROR(__xludf.DUMMYFUNCTION("""COMPUTED_VALUE"""),19.4)</f>
        <v>19.4</v>
      </c>
      <c r="Z559" s="14">
        <f>IFERROR(__xludf.DUMMYFUNCTION("""COMPUTED_VALUE"""),19.3)</f>
        <v>19.3</v>
      </c>
      <c r="AA559" s="14">
        <f>IFERROR(__xludf.DUMMYFUNCTION("""COMPUTED_VALUE"""),18.5)</f>
        <v>18.5</v>
      </c>
      <c r="AB559" s="14"/>
      <c r="AC559" s="14">
        <f>IFERROR(__xludf.DUMMYFUNCTION("""COMPUTED_VALUE"""),19.3)</f>
        <v>19.3</v>
      </c>
      <c r="AD559" s="48">
        <f>IFERROR(__xludf.DUMMYFUNCTION("""COMPUTED_VALUE"""),433.0)</f>
        <v>433</v>
      </c>
      <c r="AE559" s="48">
        <f>IFERROR(__xludf.DUMMYFUNCTION("""COMPUTED_VALUE"""),390.0)</f>
        <v>390</v>
      </c>
      <c r="AF559" s="48">
        <f>IFERROR(__xludf.DUMMYFUNCTION("""COMPUTED_VALUE"""),424.0)</f>
        <v>424</v>
      </c>
      <c r="AG559" s="48">
        <f>IFERROR(__xludf.DUMMYFUNCTION("""COMPUTED_VALUE"""),430.0)</f>
        <v>430</v>
      </c>
      <c r="AH559" s="48"/>
      <c r="AI559" s="14">
        <f>IFERROR(__xludf.DUMMYFUNCTION("""COMPUTED_VALUE"""),419.25)</f>
        <v>419.25</v>
      </c>
      <c r="AJ559" s="14">
        <f>IFERROR(__xludf.DUMMYFUNCTION("""COMPUTED_VALUE"""),3.92)</f>
        <v>3.92</v>
      </c>
      <c r="AK559" s="14">
        <f>IFERROR(__xludf.DUMMYFUNCTION("""COMPUTED_VALUE"""),3.46)</f>
        <v>3.46</v>
      </c>
      <c r="AL559" s="14">
        <f>IFERROR(__xludf.DUMMYFUNCTION("""COMPUTED_VALUE"""),3.72)</f>
        <v>3.72</v>
      </c>
      <c r="AM559" s="14">
        <f>IFERROR(__xludf.DUMMYFUNCTION("""COMPUTED_VALUE"""),3.49)</f>
        <v>3.49</v>
      </c>
      <c r="AN559" s="14"/>
      <c r="AO559" s="14">
        <f>IFERROR(__xludf.DUMMYFUNCTION("""COMPUTED_VALUE"""),3.6475)</f>
        <v>3.6475</v>
      </c>
      <c r="AP559" s="14">
        <f>IFERROR(__xludf.DUMMYFUNCTION("""COMPUTED_VALUE"""),16.0)</f>
        <v>16</v>
      </c>
      <c r="AQ559" s="14">
        <f>IFERROR(__xludf.DUMMYFUNCTION("""COMPUTED_VALUE"""),30.0)</f>
        <v>30</v>
      </c>
      <c r="AR559" s="14">
        <f>IFERROR(__xludf.DUMMYFUNCTION("""COMPUTED_VALUE"""),15.0)</f>
        <v>15</v>
      </c>
      <c r="AS559" s="14">
        <f>IFERROR(__xludf.DUMMYFUNCTION("""COMPUTED_VALUE"""),1.2)</f>
        <v>1.2</v>
      </c>
      <c r="AT559" s="14">
        <f>IFERROR(__xludf.DUMMYFUNCTION("""COMPUTED_VALUE"""),0.07)</f>
        <v>0.07</v>
      </c>
      <c r="AU559" s="14">
        <f>IFERROR(__xludf.DUMMYFUNCTION("""COMPUTED_VALUE"""),1.77E8)</f>
        <v>177000000</v>
      </c>
      <c r="AV559" s="14">
        <f>IFERROR(__xludf.DUMMYFUNCTION("""COMPUTED_VALUE"""),0.29)</f>
        <v>0.29</v>
      </c>
      <c r="AW559" s="14">
        <f>IFERROR(__xludf.DUMMYFUNCTION("""COMPUTED_VALUE"""),1.0)</f>
        <v>1</v>
      </c>
      <c r="AX559" s="14">
        <f>IFERROR(__xludf.DUMMYFUNCTION("""COMPUTED_VALUE"""),1.653E8)</f>
        <v>165300000</v>
      </c>
      <c r="AY559" s="14">
        <f>IFERROR(__xludf.DUMMYFUNCTION("""COMPUTED_VALUE"""),1.3)</f>
        <v>1.3</v>
      </c>
      <c r="AZ559" s="14">
        <f>IFERROR(__xludf.DUMMYFUNCTION("""COMPUTED_VALUE"""),0.069)</f>
        <v>0.069</v>
      </c>
      <c r="BA559" s="14">
        <f t="shared" si="1"/>
        <v>2.369</v>
      </c>
    </row>
    <row r="560" ht="14.25" customHeight="1">
      <c r="A560" s="10" t="str">
        <f>IFERROR(__xludf.DUMMYFUNCTION("""COMPUTED_VALUE"""),"141221DU01")</f>
        <v>141221DU01</v>
      </c>
      <c r="B560" s="12" t="str">
        <f>IFERROR(__xludf.DUMMYFUNCTION("""COMPUTED_VALUE"""),"COR-Humedal Córdoba")</f>
        <v>COR-Humedal Córdoba</v>
      </c>
      <c r="C560" s="12"/>
      <c r="D560" s="12"/>
      <c r="E560" s="44">
        <f>IFERROR(__xludf.DUMMYFUNCTION("""COMPUTED_VALUE"""),44544.0)</f>
        <v>44544</v>
      </c>
      <c r="F560" s="12" t="str">
        <f>IFERROR(__xludf.DUMMYFUNCTION("""COMPUTED_VALUE"""),"TIPO I")</f>
        <v>TIPO I</v>
      </c>
      <c r="G560" s="12" t="str">
        <f>IFERROR(__xludf.DUMMYFUNCTION("""COMPUTED_VALUE"""),"Se observó coloración y se percibieron olores ofensivos.
Altura: 2568 msnm")</f>
        <v>Se observó coloración y se percibieron olores ofensivos.
Altura: 2568 msnm</v>
      </c>
      <c r="H560" s="45">
        <f>IFERROR(__xludf.DUMMYFUNCTION("""COMPUTED_VALUE"""),0.4166666666678793)</f>
        <v>0.4166666667</v>
      </c>
      <c r="I560" s="45">
        <f>IFERROR(__xludf.DUMMYFUNCTION("""COMPUTED_VALUE"""),0.5)</f>
        <v>0.5</v>
      </c>
      <c r="J560" s="12">
        <f>IFERROR(__xludf.DUMMYFUNCTION("""COMPUTED_VALUE"""),9.74)</f>
        <v>9.74</v>
      </c>
      <c r="K560" s="12">
        <f>IFERROR(__xludf.DUMMYFUNCTION("""COMPUTED_VALUE"""),0.63)</f>
        <v>0.63</v>
      </c>
      <c r="L560" s="14">
        <f>IFERROR(__xludf.DUMMYFUNCTION("""COMPUTED_VALUE"""),451.0)</f>
        <v>451</v>
      </c>
      <c r="M560" s="14">
        <f>IFERROR(__xludf.DUMMYFUNCTION("""COMPUTED_VALUE"""),464.0)</f>
        <v>464</v>
      </c>
      <c r="N560" s="14">
        <f>IFERROR(__xludf.DUMMYFUNCTION("""COMPUTED_VALUE"""),447.0)</f>
        <v>447</v>
      </c>
      <c r="O560" s="14">
        <f>IFERROR(__xludf.DUMMYFUNCTION("""COMPUTED_VALUE"""),447.0)</f>
        <v>447</v>
      </c>
      <c r="P560" s="14">
        <f>IFERROR(__xludf.DUMMYFUNCTION("""COMPUTED_VALUE"""),421.0)</f>
        <v>421</v>
      </c>
      <c r="Q560" s="14">
        <f>IFERROR(__xludf.DUMMYFUNCTION("""COMPUTED_VALUE"""),446.0)</f>
        <v>446</v>
      </c>
      <c r="R560" s="48">
        <f>IFERROR(__xludf.DUMMYFUNCTION("""COMPUTED_VALUE"""),6.69)</f>
        <v>6.69</v>
      </c>
      <c r="S560" s="48">
        <f>IFERROR(__xludf.DUMMYFUNCTION("""COMPUTED_VALUE"""),7.32)</f>
        <v>7.32</v>
      </c>
      <c r="T560" s="48">
        <f>IFERROR(__xludf.DUMMYFUNCTION("""COMPUTED_VALUE"""),7.37)</f>
        <v>7.37</v>
      </c>
      <c r="U560" s="48">
        <f>IFERROR(__xludf.DUMMYFUNCTION("""COMPUTED_VALUE"""),7.55)</f>
        <v>7.55</v>
      </c>
      <c r="V560" s="48">
        <f>IFERROR(__xludf.DUMMYFUNCTION("""COMPUTED_VALUE"""),7.75)</f>
        <v>7.75</v>
      </c>
      <c r="W560" s="14">
        <f>IFERROR(__xludf.DUMMYFUNCTION("""COMPUTED_VALUE"""),7.336000000000001)</f>
        <v>7.336</v>
      </c>
      <c r="X560" s="14">
        <f>IFERROR(__xludf.DUMMYFUNCTION("""COMPUTED_VALUE"""),20.1)</f>
        <v>20.1</v>
      </c>
      <c r="Y560" s="14">
        <f>IFERROR(__xludf.DUMMYFUNCTION("""COMPUTED_VALUE"""),19.5)</f>
        <v>19.5</v>
      </c>
      <c r="Z560" s="14">
        <f>IFERROR(__xludf.DUMMYFUNCTION("""COMPUTED_VALUE"""),19.9)</f>
        <v>19.9</v>
      </c>
      <c r="AA560" s="14">
        <f>IFERROR(__xludf.DUMMYFUNCTION("""COMPUTED_VALUE"""),20.2)</f>
        <v>20.2</v>
      </c>
      <c r="AB560" s="14">
        <f>IFERROR(__xludf.DUMMYFUNCTION("""COMPUTED_VALUE"""),20.3)</f>
        <v>20.3</v>
      </c>
      <c r="AC560" s="14">
        <f>IFERROR(__xludf.DUMMYFUNCTION("""COMPUTED_VALUE"""),20.0)</f>
        <v>20</v>
      </c>
      <c r="AD560" s="48">
        <f>IFERROR(__xludf.DUMMYFUNCTION("""COMPUTED_VALUE"""),459.0)</f>
        <v>459</v>
      </c>
      <c r="AE560" s="48">
        <f>IFERROR(__xludf.DUMMYFUNCTION("""COMPUTED_VALUE"""),458.0)</f>
        <v>458</v>
      </c>
      <c r="AF560" s="48">
        <f>IFERROR(__xludf.DUMMYFUNCTION("""COMPUTED_VALUE"""),447.0)</f>
        <v>447</v>
      </c>
      <c r="AG560" s="48">
        <f>IFERROR(__xludf.DUMMYFUNCTION("""COMPUTED_VALUE"""),448.0)</f>
        <v>448</v>
      </c>
      <c r="AH560" s="48">
        <f>IFERROR(__xludf.DUMMYFUNCTION("""COMPUTED_VALUE"""),393.0)</f>
        <v>393</v>
      </c>
      <c r="AI560" s="14">
        <f>IFERROR(__xludf.DUMMYFUNCTION("""COMPUTED_VALUE"""),441.0)</f>
        <v>441</v>
      </c>
      <c r="AJ560" s="14">
        <f>IFERROR(__xludf.DUMMYFUNCTION("""COMPUTED_VALUE"""),2.65)</f>
        <v>2.65</v>
      </c>
      <c r="AK560" s="14">
        <f>IFERROR(__xludf.DUMMYFUNCTION("""COMPUTED_VALUE"""),2.48)</f>
        <v>2.48</v>
      </c>
      <c r="AL560" s="14">
        <f>IFERROR(__xludf.DUMMYFUNCTION("""COMPUTED_VALUE"""),2.15)</f>
        <v>2.15</v>
      </c>
      <c r="AM560" s="14">
        <f>IFERROR(__xludf.DUMMYFUNCTION("""COMPUTED_VALUE"""),2.12)</f>
        <v>2.12</v>
      </c>
      <c r="AN560" s="14">
        <f>IFERROR(__xludf.DUMMYFUNCTION("""COMPUTED_VALUE"""),2.34)</f>
        <v>2.34</v>
      </c>
      <c r="AO560" s="14">
        <f>IFERROR(__xludf.DUMMYFUNCTION("""COMPUTED_VALUE"""),2.348)</f>
        <v>2.348</v>
      </c>
      <c r="AP560" s="14">
        <f>IFERROR(__xludf.DUMMYFUNCTION("""COMPUTED_VALUE"""),48.0)</f>
        <v>48</v>
      </c>
      <c r="AQ560" s="14">
        <f>IFERROR(__xludf.DUMMYFUNCTION("""COMPUTED_VALUE"""),58.0)</f>
        <v>58</v>
      </c>
      <c r="AR560" s="14">
        <f>IFERROR(__xludf.DUMMYFUNCTION("""COMPUTED_VALUE"""),14.0)</f>
        <v>14</v>
      </c>
      <c r="AS560" s="14">
        <f>IFERROR(__xludf.DUMMYFUNCTION("""COMPUTED_VALUE"""),1.2)</f>
        <v>1.2</v>
      </c>
      <c r="AT560" s="14">
        <f>IFERROR(__xludf.DUMMYFUNCTION("""COMPUTED_VALUE"""),0.27)</f>
        <v>0.27</v>
      </c>
      <c r="AU560" s="14">
        <f>IFERROR(__xludf.DUMMYFUNCTION("""COMPUTED_VALUE"""),2.198E8)</f>
        <v>219800000</v>
      </c>
      <c r="AV560" s="14">
        <f>IFERROR(__xludf.DUMMYFUNCTION("""COMPUTED_VALUE"""),17.67)</f>
        <v>17.67</v>
      </c>
      <c r="AW560" s="14">
        <f>IFERROR(__xludf.DUMMYFUNCTION("""COMPUTED_VALUE"""),4.4)</f>
        <v>4.4</v>
      </c>
      <c r="AX560" s="14">
        <f>IFERROR(__xludf.DUMMYFUNCTION("""COMPUTED_VALUE"""),2.029E8)</f>
        <v>202900000</v>
      </c>
      <c r="AY560" s="14">
        <f>IFERROR(__xludf.DUMMYFUNCTION("""COMPUTED_VALUE"""),0.5)</f>
        <v>0.5</v>
      </c>
      <c r="AZ560" s="14">
        <f>IFERROR(__xludf.DUMMYFUNCTION("""COMPUTED_VALUE"""),0.007)</f>
        <v>0.007</v>
      </c>
      <c r="BA560" s="14">
        <f t="shared" si="1"/>
        <v>4.907</v>
      </c>
    </row>
    <row r="561" ht="14.25" customHeight="1">
      <c r="A561" s="10" t="str">
        <f>IFERROR(__xludf.DUMMYFUNCTION("""COMPUTED_VALUE"""),"161221WI02")</f>
        <v>161221WI02</v>
      </c>
      <c r="B561" s="12" t="str">
        <f>IFERROR(__xludf.DUMMYFUNCTION("""COMPUTED_VALUE"""),"QSL-Alfonso López")</f>
        <v>QSL-Alfonso López</v>
      </c>
      <c r="C561" s="12"/>
      <c r="D561" s="12"/>
      <c r="E561" s="44">
        <f>IFERROR(__xludf.DUMMYFUNCTION("""COMPUTED_VALUE"""),44546.0)</f>
        <v>44546</v>
      </c>
      <c r="F561" s="12" t="str">
        <f>IFERROR(__xludf.DUMMYFUNCTION("""COMPUTED_VALUE"""),"TIPO I")</f>
        <v>TIPO I</v>
      </c>
      <c r="G561" s="12" t="str">
        <f>IFERROR(__xludf.DUMMYFUNCTION("""COMPUTED_VALUE"""),"Se observa que el cuerpo de agua posee coloracion y olor ademas de residuos solidos en las orrillas y material flotrante")</f>
        <v>Se observa que el cuerpo de agua posee coloracion y olor ademas de residuos solidos en las orrillas y material flotrante</v>
      </c>
      <c r="H561" s="45">
        <f>IFERROR(__xludf.DUMMYFUNCTION("""COMPUTED_VALUE"""),0.5833333333321207)</f>
        <v>0.5833333333</v>
      </c>
      <c r="I561" s="45">
        <f>IFERROR(__xludf.DUMMYFUNCTION("""COMPUTED_VALUE"""),0.6666666666678793)</f>
        <v>0.6666666667</v>
      </c>
      <c r="J561" s="12">
        <f>IFERROR(__xludf.DUMMYFUNCTION("""COMPUTED_VALUE"""),0.8)</f>
        <v>0.8</v>
      </c>
      <c r="K561" s="12">
        <f>IFERROR(__xludf.DUMMYFUNCTION("""COMPUTED_VALUE"""),0.08)</f>
        <v>0.08</v>
      </c>
      <c r="L561" s="14">
        <f>IFERROR(__xludf.DUMMYFUNCTION("""COMPUTED_VALUE"""),9.822)</f>
        <v>9.822</v>
      </c>
      <c r="M561" s="14">
        <f>IFERROR(__xludf.DUMMYFUNCTION("""COMPUTED_VALUE"""),10.494)</f>
        <v>10.494</v>
      </c>
      <c r="N561" s="14">
        <f>IFERROR(__xludf.DUMMYFUNCTION("""COMPUTED_VALUE"""),10.228)</f>
        <v>10.228</v>
      </c>
      <c r="O561" s="14">
        <f>IFERROR(__xludf.DUMMYFUNCTION("""COMPUTED_VALUE"""),10.167)</f>
        <v>10.167</v>
      </c>
      <c r="P561" s="14">
        <f>IFERROR(__xludf.DUMMYFUNCTION("""COMPUTED_VALUE"""),10.433)</f>
        <v>10.433</v>
      </c>
      <c r="Q561" s="14">
        <f>IFERROR(__xludf.DUMMYFUNCTION("""COMPUTED_VALUE"""),10.229)</f>
        <v>10.229</v>
      </c>
      <c r="R561" s="48">
        <f>IFERROR(__xludf.DUMMYFUNCTION("""COMPUTED_VALUE"""),7.73)</f>
        <v>7.73</v>
      </c>
      <c r="S561" s="48">
        <f>IFERROR(__xludf.DUMMYFUNCTION("""COMPUTED_VALUE"""),7.77)</f>
        <v>7.77</v>
      </c>
      <c r="T561" s="48">
        <f>IFERROR(__xludf.DUMMYFUNCTION("""COMPUTED_VALUE"""),7.8)</f>
        <v>7.8</v>
      </c>
      <c r="U561" s="48">
        <f>IFERROR(__xludf.DUMMYFUNCTION("""COMPUTED_VALUE"""),7.76)</f>
        <v>7.76</v>
      </c>
      <c r="V561" s="48">
        <f>IFERROR(__xludf.DUMMYFUNCTION("""COMPUTED_VALUE"""),7.77)</f>
        <v>7.77</v>
      </c>
      <c r="W561" s="14">
        <f>IFERROR(__xludf.DUMMYFUNCTION("""COMPUTED_VALUE"""),7.766)</f>
        <v>7.766</v>
      </c>
      <c r="X561" s="14">
        <f>IFERROR(__xludf.DUMMYFUNCTION("""COMPUTED_VALUE"""),12.7)</f>
        <v>12.7</v>
      </c>
      <c r="Y561" s="14">
        <f>IFERROR(__xludf.DUMMYFUNCTION("""COMPUTED_VALUE"""),12.8)</f>
        <v>12.8</v>
      </c>
      <c r="Z561" s="14">
        <f>IFERROR(__xludf.DUMMYFUNCTION("""COMPUTED_VALUE"""),12.3)</f>
        <v>12.3</v>
      </c>
      <c r="AA561" s="14">
        <f>IFERROR(__xludf.DUMMYFUNCTION("""COMPUTED_VALUE"""),12.6)</f>
        <v>12.6</v>
      </c>
      <c r="AB561" s="14">
        <f>IFERROR(__xludf.DUMMYFUNCTION("""COMPUTED_VALUE"""),12.5)</f>
        <v>12.5</v>
      </c>
      <c r="AC561" s="14">
        <f>IFERROR(__xludf.DUMMYFUNCTION("""COMPUTED_VALUE"""),12.58)</f>
        <v>12.58</v>
      </c>
      <c r="AD561" s="48">
        <f>IFERROR(__xludf.DUMMYFUNCTION("""COMPUTED_VALUE"""),446.0)</f>
        <v>446</v>
      </c>
      <c r="AE561" s="48">
        <f>IFERROR(__xludf.DUMMYFUNCTION("""COMPUTED_VALUE"""),437.0)</f>
        <v>437</v>
      </c>
      <c r="AF561" s="48">
        <f>IFERROR(__xludf.DUMMYFUNCTION("""COMPUTED_VALUE"""),423.0)</f>
        <v>423</v>
      </c>
      <c r="AG561" s="48">
        <f>IFERROR(__xludf.DUMMYFUNCTION("""COMPUTED_VALUE"""),376.0)</f>
        <v>376</v>
      </c>
      <c r="AH561" s="48">
        <f>IFERROR(__xludf.DUMMYFUNCTION("""COMPUTED_VALUE"""),385.0)</f>
        <v>385</v>
      </c>
      <c r="AI561" s="14">
        <f>IFERROR(__xludf.DUMMYFUNCTION("""COMPUTED_VALUE"""),413.4)</f>
        <v>413.4</v>
      </c>
      <c r="AJ561" s="14">
        <f>IFERROR(__xludf.DUMMYFUNCTION("""COMPUTED_VALUE"""),5.34)</f>
        <v>5.34</v>
      </c>
      <c r="AK561" s="14">
        <f>IFERROR(__xludf.DUMMYFUNCTION("""COMPUTED_VALUE"""),4.95)</f>
        <v>4.95</v>
      </c>
      <c r="AL561" s="14">
        <f>IFERROR(__xludf.DUMMYFUNCTION("""COMPUTED_VALUE"""),4.79)</f>
        <v>4.79</v>
      </c>
      <c r="AM561" s="14">
        <f>IFERROR(__xludf.DUMMYFUNCTION("""COMPUTED_VALUE"""),5.17)</f>
        <v>5.17</v>
      </c>
      <c r="AN561" s="14">
        <f>IFERROR(__xludf.DUMMYFUNCTION("""COMPUTED_VALUE"""),4.7)</f>
        <v>4.7</v>
      </c>
      <c r="AO561" s="14">
        <f>IFERROR(__xludf.DUMMYFUNCTION("""COMPUTED_VALUE"""),4.99)</f>
        <v>4.99</v>
      </c>
      <c r="AP561" s="14">
        <f>IFERROR(__xludf.DUMMYFUNCTION("""COMPUTED_VALUE"""),10.0)</f>
        <v>10</v>
      </c>
      <c r="AQ561" s="14">
        <f>IFERROR(__xludf.DUMMYFUNCTION("""COMPUTED_VALUE"""),34.0)</f>
        <v>34</v>
      </c>
      <c r="AR561" s="14">
        <f>IFERROR(__xludf.DUMMYFUNCTION("""COMPUTED_VALUE"""),9.0)</f>
        <v>9</v>
      </c>
      <c r="AS561" s="14">
        <f>IFERROR(__xludf.DUMMYFUNCTION("""COMPUTED_VALUE"""),1.2)</f>
        <v>1.2</v>
      </c>
      <c r="AT561" s="14">
        <f>IFERROR(__xludf.DUMMYFUNCTION("""COMPUTED_VALUE"""),0.13)</f>
        <v>0.13</v>
      </c>
      <c r="AU561" s="14">
        <f>IFERROR(__xludf.DUMMYFUNCTION("""COMPUTED_VALUE"""),66300.0)</f>
        <v>66300</v>
      </c>
      <c r="AV561" s="14">
        <f>IFERROR(__xludf.DUMMYFUNCTION("""COMPUTED_VALUE"""),3.26)</f>
        <v>3.26</v>
      </c>
      <c r="AW561" s="14">
        <f>IFERROR(__xludf.DUMMYFUNCTION("""COMPUTED_VALUE"""),1.0)</f>
        <v>1</v>
      </c>
      <c r="AX561" s="14">
        <f>IFERROR(__xludf.DUMMYFUNCTION("""COMPUTED_VALUE"""),48.2)</f>
        <v>48.2</v>
      </c>
      <c r="AY561" s="14">
        <f>IFERROR(__xludf.DUMMYFUNCTION("""COMPUTED_VALUE"""),14.4)</f>
        <v>14.4</v>
      </c>
      <c r="AZ561" s="14">
        <f>IFERROR(__xludf.DUMMYFUNCTION("""COMPUTED_VALUE"""),0.007)</f>
        <v>0.007</v>
      </c>
      <c r="BA561" s="14">
        <f t="shared" si="1"/>
        <v>15.407</v>
      </c>
    </row>
    <row r="562" ht="14.25" customHeight="1">
      <c r="A562" s="10" t="str">
        <f>IFERROR(__xludf.DUMMYFUNCTION("""COMPUTED_VALUE"""),"141221WI01")</f>
        <v>141221WI01</v>
      </c>
      <c r="B562" s="12" t="str">
        <f>IFERROR(__xludf.DUMMYFUNCTION("""COMPUTED_VALUE"""),"QLI-Villa del Diamante")</f>
        <v>QLI-Villa del Diamante</v>
      </c>
      <c r="C562" s="12"/>
      <c r="D562" s="12"/>
      <c r="E562" s="44">
        <f>IFERROR(__xludf.DUMMYFUNCTION("""COMPUTED_VALUE"""),44544.0)</f>
        <v>44544</v>
      </c>
      <c r="F562" s="12" t="str">
        <f>IFERROR(__xludf.DUMMYFUNCTION("""COMPUTED_VALUE"""),"TIPO I")</f>
        <v>TIPO I</v>
      </c>
      <c r="G562" s="12" t="str">
        <f>IFERROR(__xludf.DUMMYFUNCTION("""COMPUTED_VALUE"""),"Durante el monitoreo se pudo evidenciar que el cuerpo de agua presenta color aparente, también se observa que aguas abajo del punto de muestreo se encuentra una caída en forma escalonada")</f>
        <v>Durante el monitoreo se pudo evidenciar que el cuerpo de agua presenta color aparente, también se observa que aguas abajo del punto de muestreo se encuentra una caída en forma escalonada</v>
      </c>
      <c r="H562" s="45">
        <f>IFERROR(__xludf.DUMMYFUNCTION("""COMPUTED_VALUE"""),0.5833333333321207)</f>
        <v>0.5833333333</v>
      </c>
      <c r="I562" s="45">
        <f>IFERROR(__xludf.DUMMYFUNCTION("""COMPUTED_VALUE"""),0.6666666666678793)</f>
        <v>0.6666666667</v>
      </c>
      <c r="J562" s="12">
        <f>IFERROR(__xludf.DUMMYFUNCTION("""COMPUTED_VALUE"""),2.1)</f>
        <v>2.1</v>
      </c>
      <c r="K562" s="12">
        <f>IFERROR(__xludf.DUMMYFUNCTION("""COMPUTED_VALUE"""),0.07)</f>
        <v>0.07</v>
      </c>
      <c r="L562" s="14">
        <f>IFERROR(__xludf.DUMMYFUNCTION("""COMPUTED_VALUE"""),55.961)</f>
        <v>55.961</v>
      </c>
      <c r="M562" s="14">
        <f>IFERROR(__xludf.DUMMYFUNCTION("""COMPUTED_VALUE"""),53.686)</f>
        <v>53.686</v>
      </c>
      <c r="N562" s="14">
        <f>IFERROR(__xludf.DUMMYFUNCTION("""COMPUTED_VALUE"""),54.972)</f>
        <v>54.972</v>
      </c>
      <c r="O562" s="14">
        <f>IFERROR(__xludf.DUMMYFUNCTION("""COMPUTED_VALUE"""),55.741)</f>
        <v>55.741</v>
      </c>
      <c r="P562" s="14">
        <f>IFERROR(__xludf.DUMMYFUNCTION("""COMPUTED_VALUE"""),53.294)</f>
        <v>53.294</v>
      </c>
      <c r="Q562" s="14">
        <f>IFERROR(__xludf.DUMMYFUNCTION("""COMPUTED_VALUE"""),54.731)</f>
        <v>54.731</v>
      </c>
      <c r="R562" s="48">
        <f>IFERROR(__xludf.DUMMYFUNCTION("""COMPUTED_VALUE"""),8.13)</f>
        <v>8.13</v>
      </c>
      <c r="S562" s="48">
        <f>IFERROR(__xludf.DUMMYFUNCTION("""COMPUTED_VALUE"""),7.55)</f>
        <v>7.55</v>
      </c>
      <c r="T562" s="48">
        <f>IFERROR(__xludf.DUMMYFUNCTION("""COMPUTED_VALUE"""),7.54)</f>
        <v>7.54</v>
      </c>
      <c r="U562" s="48">
        <f>IFERROR(__xludf.DUMMYFUNCTION("""COMPUTED_VALUE"""),7.74)</f>
        <v>7.74</v>
      </c>
      <c r="V562" s="48">
        <f>IFERROR(__xludf.DUMMYFUNCTION("""COMPUTED_VALUE"""),7.8)</f>
        <v>7.8</v>
      </c>
      <c r="W562" s="14">
        <f>IFERROR(__xludf.DUMMYFUNCTION("""COMPUTED_VALUE"""),7.752)</f>
        <v>7.752</v>
      </c>
      <c r="X562" s="14">
        <f>IFERROR(__xludf.DUMMYFUNCTION("""COMPUTED_VALUE"""),18.4)</f>
        <v>18.4</v>
      </c>
      <c r="Y562" s="14">
        <f>IFERROR(__xludf.DUMMYFUNCTION("""COMPUTED_VALUE"""),18.2)</f>
        <v>18.2</v>
      </c>
      <c r="Z562" s="14">
        <f>IFERROR(__xludf.DUMMYFUNCTION("""COMPUTED_VALUE"""),17.2)</f>
        <v>17.2</v>
      </c>
      <c r="AA562" s="14">
        <f>IFERROR(__xludf.DUMMYFUNCTION("""COMPUTED_VALUE"""),16.0)</f>
        <v>16</v>
      </c>
      <c r="AB562" s="14">
        <f>IFERROR(__xludf.DUMMYFUNCTION("""COMPUTED_VALUE"""),15.2)</f>
        <v>15.2</v>
      </c>
      <c r="AC562" s="14">
        <f>IFERROR(__xludf.DUMMYFUNCTION("""COMPUTED_VALUE"""),17.0)</f>
        <v>17</v>
      </c>
      <c r="AD562" s="48">
        <f>IFERROR(__xludf.DUMMYFUNCTION("""COMPUTED_VALUE"""),361.0)</f>
        <v>361</v>
      </c>
      <c r="AE562" s="48">
        <f>IFERROR(__xludf.DUMMYFUNCTION("""COMPUTED_VALUE"""),363.0)</f>
        <v>363</v>
      </c>
      <c r="AF562" s="48">
        <f>IFERROR(__xludf.DUMMYFUNCTION("""COMPUTED_VALUE"""),351.0)</f>
        <v>351</v>
      </c>
      <c r="AG562" s="48">
        <f>IFERROR(__xludf.DUMMYFUNCTION("""COMPUTED_VALUE"""),365.0)</f>
        <v>365</v>
      </c>
      <c r="AH562" s="48">
        <f>IFERROR(__xludf.DUMMYFUNCTION("""COMPUTED_VALUE"""),370.0)</f>
        <v>370</v>
      </c>
      <c r="AI562" s="14">
        <f>IFERROR(__xludf.DUMMYFUNCTION("""COMPUTED_VALUE"""),362.0)</f>
        <v>362</v>
      </c>
      <c r="AJ562" s="14">
        <f>IFERROR(__xludf.DUMMYFUNCTION("""COMPUTED_VALUE"""),3.9)</f>
        <v>3.9</v>
      </c>
      <c r="AK562" s="14">
        <f>IFERROR(__xludf.DUMMYFUNCTION("""COMPUTED_VALUE"""),3.0)</f>
        <v>3</v>
      </c>
      <c r="AL562" s="14">
        <f>IFERROR(__xludf.DUMMYFUNCTION("""COMPUTED_VALUE"""),3.6)</f>
        <v>3.6</v>
      </c>
      <c r="AM562" s="14">
        <f>IFERROR(__xludf.DUMMYFUNCTION("""COMPUTED_VALUE"""),4.0)</f>
        <v>4</v>
      </c>
      <c r="AN562" s="14">
        <f>IFERROR(__xludf.DUMMYFUNCTION("""COMPUTED_VALUE"""),2.9)</f>
        <v>2.9</v>
      </c>
      <c r="AO562" s="14">
        <f>IFERROR(__xludf.DUMMYFUNCTION("""COMPUTED_VALUE"""),3.4799999999999995)</f>
        <v>3.48</v>
      </c>
      <c r="AP562" s="14">
        <f>IFERROR(__xludf.DUMMYFUNCTION("""COMPUTED_VALUE"""),15.0)</f>
        <v>15</v>
      </c>
      <c r="AQ562" s="14">
        <f>IFERROR(__xludf.DUMMYFUNCTION("""COMPUTED_VALUE"""),37.0)</f>
        <v>37</v>
      </c>
      <c r="AR562" s="14">
        <f>IFERROR(__xludf.DUMMYFUNCTION("""COMPUTED_VALUE"""),44.0)</f>
        <v>44</v>
      </c>
      <c r="AS562" s="14">
        <f>IFERROR(__xludf.DUMMYFUNCTION("""COMPUTED_VALUE"""),10.1)</f>
        <v>10.1</v>
      </c>
      <c r="AT562" s="14">
        <f>IFERROR(__xludf.DUMMYFUNCTION("""COMPUTED_VALUE"""),0.16)</f>
        <v>0.16</v>
      </c>
      <c r="AU562" s="14">
        <f>IFERROR(__xludf.DUMMYFUNCTION("""COMPUTED_VALUE"""),112400.0)</f>
        <v>112400</v>
      </c>
      <c r="AV562" s="14">
        <f>IFERROR(__xludf.DUMMYFUNCTION("""COMPUTED_VALUE"""),1.18)</f>
        <v>1.18</v>
      </c>
      <c r="AW562" s="14">
        <f>IFERROR(__xludf.DUMMYFUNCTION("""COMPUTED_VALUE"""),1.0)</f>
        <v>1</v>
      </c>
      <c r="AX562" s="14">
        <f>IFERROR(__xludf.DUMMYFUNCTION("""COMPUTED_VALUE"""),10100.0)</f>
        <v>10100</v>
      </c>
      <c r="AY562" s="14">
        <f>IFERROR(__xludf.DUMMYFUNCTION("""COMPUTED_VALUE"""),10.9)</f>
        <v>10.9</v>
      </c>
      <c r="AZ562" s="14">
        <f>IFERROR(__xludf.DUMMYFUNCTION("""COMPUTED_VALUE"""),0.011)</f>
        <v>0.011</v>
      </c>
      <c r="BA562" s="14">
        <f t="shared" si="1"/>
        <v>11.911</v>
      </c>
    </row>
    <row r="563" ht="14.25" customHeight="1">
      <c r="A563" s="10" t="str">
        <f>IFERROR(__xludf.DUMMYFUNCTION("""COMPUTED_VALUE"""),"161221SE04")</f>
        <v>161221SE04</v>
      </c>
      <c r="B563" s="12" t="str">
        <f>IFERROR(__xludf.DUMMYFUNCTION("""COMPUTED_VALUE"""),"QZA-Meissen")</f>
        <v>QZA-Meissen</v>
      </c>
      <c r="C563" s="12"/>
      <c r="D563" s="12"/>
      <c r="E563" s="44">
        <f>IFERROR(__xludf.DUMMYFUNCTION("""COMPUTED_VALUE"""),44546.0)</f>
        <v>44546</v>
      </c>
      <c r="F563" s="12" t="str">
        <f>IFERROR(__xludf.DUMMYFUNCTION("""COMPUTED_VALUE"""),"TIPO I")</f>
        <v>TIPO I</v>
      </c>
      <c r="G563" s="12" t="str">
        <f>IFERROR(__xludf.DUMMYFUNCTION("""COMPUTED_VALUE"""),"El agua presenta olor y color.  El punto de toma de muestra se encuentra en las coordenadas N 4° 33´38.8""  W 74°07´ 54.7"" ")</f>
        <v>El agua presenta olor y color.  El punto de toma de muestra se encuentra en las coordenadas N 4° 33´38.8"  W 74°07´ 54.7" </v>
      </c>
      <c r="H563" s="45">
        <f>IFERROR(__xludf.DUMMYFUNCTION("""COMPUTED_VALUE"""),0.6666666666678793)</f>
        <v>0.6666666667</v>
      </c>
      <c r="I563" s="45">
        <f>IFERROR(__xludf.DUMMYFUNCTION("""COMPUTED_VALUE"""),0.75)</f>
        <v>0.75</v>
      </c>
      <c r="J563" s="12">
        <f>IFERROR(__xludf.DUMMYFUNCTION("""COMPUTED_VALUE"""),11.88)</f>
        <v>11.88</v>
      </c>
      <c r="K563" s="12">
        <f>IFERROR(__xludf.DUMMYFUNCTION("""COMPUTED_VALUE"""),0.19)</f>
        <v>0.19</v>
      </c>
      <c r="L563" s="14">
        <f>IFERROR(__xludf.DUMMYFUNCTION("""COMPUTED_VALUE"""),529.327)</f>
        <v>529.327</v>
      </c>
      <c r="M563" s="14">
        <f>IFERROR(__xludf.DUMMYFUNCTION("""COMPUTED_VALUE"""),482.251)</f>
        <v>482.251</v>
      </c>
      <c r="N563" s="14">
        <f>IFERROR(__xludf.DUMMYFUNCTION("""COMPUTED_VALUE"""),473.389)</f>
        <v>473.389</v>
      </c>
      <c r="O563" s="14">
        <f>IFERROR(__xludf.DUMMYFUNCTION("""COMPUTED_VALUE"""),471.824)</f>
        <v>471.824</v>
      </c>
      <c r="P563" s="14">
        <f>IFERROR(__xludf.DUMMYFUNCTION("""COMPUTED_VALUE"""),464.651)</f>
        <v>464.651</v>
      </c>
      <c r="Q563" s="14">
        <f>IFERROR(__xludf.DUMMYFUNCTION("""COMPUTED_VALUE"""),484.288)</f>
        <v>484.288</v>
      </c>
      <c r="R563" s="48">
        <f>IFERROR(__xludf.DUMMYFUNCTION("""COMPUTED_VALUE"""),7.63)</f>
        <v>7.63</v>
      </c>
      <c r="S563" s="48">
        <f>IFERROR(__xludf.DUMMYFUNCTION("""COMPUTED_VALUE"""),7.59)</f>
        <v>7.59</v>
      </c>
      <c r="T563" s="48">
        <f>IFERROR(__xludf.DUMMYFUNCTION("""COMPUTED_VALUE"""),7.57)</f>
        <v>7.57</v>
      </c>
      <c r="U563" s="48">
        <f>IFERROR(__xludf.DUMMYFUNCTION("""COMPUTED_VALUE"""),7.49)</f>
        <v>7.49</v>
      </c>
      <c r="V563" s="48">
        <f>IFERROR(__xludf.DUMMYFUNCTION("""COMPUTED_VALUE"""),7.48)</f>
        <v>7.48</v>
      </c>
      <c r="W563" s="14">
        <f>IFERROR(__xludf.DUMMYFUNCTION("""COMPUTED_VALUE"""),7.552000000000001)</f>
        <v>7.552</v>
      </c>
      <c r="X563" s="14">
        <f>IFERROR(__xludf.DUMMYFUNCTION("""COMPUTED_VALUE"""),18.6)</f>
        <v>18.6</v>
      </c>
      <c r="Y563" s="14">
        <f>IFERROR(__xludf.DUMMYFUNCTION("""COMPUTED_VALUE"""),17.5)</f>
        <v>17.5</v>
      </c>
      <c r="Z563" s="14">
        <f>IFERROR(__xludf.DUMMYFUNCTION("""COMPUTED_VALUE"""),17.1)</f>
        <v>17.1</v>
      </c>
      <c r="AA563" s="14">
        <f>IFERROR(__xludf.DUMMYFUNCTION("""COMPUTED_VALUE"""),16.9)</f>
        <v>16.9</v>
      </c>
      <c r="AB563" s="14">
        <f>IFERROR(__xludf.DUMMYFUNCTION("""COMPUTED_VALUE"""),16.6)</f>
        <v>16.6</v>
      </c>
      <c r="AC563" s="14">
        <f>IFERROR(__xludf.DUMMYFUNCTION("""COMPUTED_VALUE"""),17.339999999999996)</f>
        <v>17.34</v>
      </c>
      <c r="AD563" s="48">
        <f>IFERROR(__xludf.DUMMYFUNCTION("""COMPUTED_VALUE"""),722.0)</f>
        <v>722</v>
      </c>
      <c r="AE563" s="48">
        <f>IFERROR(__xludf.DUMMYFUNCTION("""COMPUTED_VALUE"""),734.0)</f>
        <v>734</v>
      </c>
      <c r="AF563" s="48">
        <f>IFERROR(__xludf.DUMMYFUNCTION("""COMPUTED_VALUE"""),725.0)</f>
        <v>725</v>
      </c>
      <c r="AG563" s="48">
        <f>IFERROR(__xludf.DUMMYFUNCTION("""COMPUTED_VALUE"""),707.0)</f>
        <v>707</v>
      </c>
      <c r="AH563" s="48">
        <f>IFERROR(__xludf.DUMMYFUNCTION("""COMPUTED_VALUE"""),709.0)</f>
        <v>709</v>
      </c>
      <c r="AI563" s="14">
        <f>IFERROR(__xludf.DUMMYFUNCTION("""COMPUTED_VALUE"""),719.4)</f>
        <v>719.4</v>
      </c>
      <c r="AJ563" s="14">
        <f>IFERROR(__xludf.DUMMYFUNCTION("""COMPUTED_VALUE"""),1.09)</f>
        <v>1.09</v>
      </c>
      <c r="AK563" s="14">
        <f>IFERROR(__xludf.DUMMYFUNCTION("""COMPUTED_VALUE"""),1.8)</f>
        <v>1.8</v>
      </c>
      <c r="AL563" s="14">
        <f>IFERROR(__xludf.DUMMYFUNCTION("""COMPUTED_VALUE"""),1.69)</f>
        <v>1.69</v>
      </c>
      <c r="AM563" s="14">
        <f>IFERROR(__xludf.DUMMYFUNCTION("""COMPUTED_VALUE"""),1.96)</f>
        <v>1.96</v>
      </c>
      <c r="AN563" s="14">
        <f>IFERROR(__xludf.DUMMYFUNCTION("""COMPUTED_VALUE"""),1.98)</f>
        <v>1.98</v>
      </c>
      <c r="AO563" s="14">
        <f>IFERROR(__xludf.DUMMYFUNCTION("""COMPUTED_VALUE"""),1.704)</f>
        <v>1.704</v>
      </c>
      <c r="AP563" s="14">
        <f>IFERROR(__xludf.DUMMYFUNCTION("""COMPUTED_VALUE"""),185.0)</f>
        <v>185</v>
      </c>
      <c r="AQ563" s="14">
        <f>IFERROR(__xludf.DUMMYFUNCTION("""COMPUTED_VALUE"""),240.0)</f>
        <v>240</v>
      </c>
      <c r="AR563" s="14">
        <f>IFERROR(__xludf.DUMMYFUNCTION("""COMPUTED_VALUE"""),123.0)</f>
        <v>123</v>
      </c>
      <c r="AS563" s="14">
        <f>IFERROR(__xludf.DUMMYFUNCTION("""COMPUTED_VALUE"""),35.0)</f>
        <v>35</v>
      </c>
      <c r="AT563" s="14">
        <f>IFERROR(__xludf.DUMMYFUNCTION("""COMPUTED_VALUE"""),6.71)</f>
        <v>6.71</v>
      </c>
      <c r="AU563" s="14">
        <f>IFERROR(__xludf.DUMMYFUNCTION("""COMPUTED_VALUE"""),1.317E8)</f>
        <v>131700000</v>
      </c>
      <c r="AV563" s="14">
        <f>IFERROR(__xludf.DUMMYFUNCTION("""COMPUTED_VALUE"""),6.2)</f>
        <v>6.2</v>
      </c>
      <c r="AW563" s="14">
        <f>IFERROR(__xludf.DUMMYFUNCTION("""COMPUTED_VALUE"""),25.2)</f>
        <v>25.2</v>
      </c>
      <c r="AX563" s="14">
        <f>IFERROR(__xludf.DUMMYFUNCTION("""COMPUTED_VALUE"""),719000.0)</f>
        <v>719000</v>
      </c>
      <c r="AY563" s="14">
        <f>IFERROR(__xludf.DUMMYFUNCTION("""COMPUTED_VALUE"""),4.2)</f>
        <v>4.2</v>
      </c>
      <c r="AZ563" s="14">
        <f>IFERROR(__xludf.DUMMYFUNCTION("""COMPUTED_VALUE"""),0.007)</f>
        <v>0.007</v>
      </c>
      <c r="BA563" s="14">
        <f t="shared" si="1"/>
        <v>29.407</v>
      </c>
    </row>
    <row r="564" ht="14.25" customHeight="1">
      <c r="A564" s="10" t="str">
        <f>IFERROR(__xludf.DUMMYFUNCTION("""COMPUTED_VALUE"""),"161221SE03")</f>
        <v>161221SE03</v>
      </c>
      <c r="B564" s="12" t="str">
        <f>IFERROR(__xludf.DUMMYFUNCTION("""COMPUTED_VALUE"""),"QZA-Molinos")</f>
        <v>QZA-Molinos</v>
      </c>
      <c r="C564" s="12"/>
      <c r="D564" s="12"/>
      <c r="E564" s="44">
        <f>IFERROR(__xludf.DUMMYFUNCTION("""COMPUTED_VALUE"""),44546.0)</f>
        <v>44546</v>
      </c>
      <c r="F564" s="12" t="str">
        <f>IFERROR(__xludf.DUMMYFUNCTION("""COMPUTED_VALUE"""),"TIPO I")</f>
        <v>TIPO I</v>
      </c>
      <c r="G564" s="12" t="str">
        <f>IFERROR(__xludf.DUMMYFUNCTION("""COMPUTED_VALUE"""),"Se observo que que el cuerpo de agua presenta coloración de tono gris y olor característico de aguas residuales, el lecho esta conformado por roca y arena")</f>
        <v>Se observo que que el cuerpo de agua presenta coloración de tono gris y olor característico de aguas residuales, el lecho esta conformado por roca y arena</v>
      </c>
      <c r="H564" s="45">
        <f>IFERROR(__xludf.DUMMYFUNCTION("""COMPUTED_VALUE"""),0.5833333333321207)</f>
        <v>0.5833333333</v>
      </c>
      <c r="I564" s="45">
        <f>IFERROR(__xludf.DUMMYFUNCTION("""COMPUTED_VALUE"""),0.6666666666678793)</f>
        <v>0.6666666667</v>
      </c>
      <c r="J564" s="12">
        <f>IFERROR(__xludf.DUMMYFUNCTION("""COMPUTED_VALUE"""),3.36)</f>
        <v>3.36</v>
      </c>
      <c r="K564" s="12">
        <f>IFERROR(__xludf.DUMMYFUNCTION("""COMPUTED_VALUE"""),0.59)</f>
        <v>0.59</v>
      </c>
      <c r="L564" s="14">
        <f>IFERROR(__xludf.DUMMYFUNCTION("""COMPUTED_VALUE"""),341.267)</f>
        <v>341.267</v>
      </c>
      <c r="M564" s="14">
        <f>IFERROR(__xludf.DUMMYFUNCTION("""COMPUTED_VALUE"""),350.139)</f>
        <v>350.139</v>
      </c>
      <c r="N564" s="14">
        <f>IFERROR(__xludf.DUMMYFUNCTION("""COMPUTED_VALUE"""),352.126)</f>
        <v>352.126</v>
      </c>
      <c r="O564" s="14">
        <f>IFERROR(__xludf.DUMMYFUNCTION("""COMPUTED_VALUE"""),349.95)</f>
        <v>349.95</v>
      </c>
      <c r="P564" s="14">
        <f>IFERROR(__xludf.DUMMYFUNCTION("""COMPUTED_VALUE"""),350.553)</f>
        <v>350.553</v>
      </c>
      <c r="Q564" s="14">
        <f>IFERROR(__xludf.DUMMYFUNCTION("""COMPUTED_VALUE"""),348.807)</f>
        <v>348.807</v>
      </c>
      <c r="R564" s="48">
        <f>IFERROR(__xludf.DUMMYFUNCTION("""COMPUTED_VALUE"""),7.65)</f>
        <v>7.65</v>
      </c>
      <c r="S564" s="48">
        <f>IFERROR(__xludf.DUMMYFUNCTION("""COMPUTED_VALUE"""),7.6)</f>
        <v>7.6</v>
      </c>
      <c r="T564" s="48">
        <f>IFERROR(__xludf.DUMMYFUNCTION("""COMPUTED_VALUE"""),7.61)</f>
        <v>7.61</v>
      </c>
      <c r="U564" s="48">
        <f>IFERROR(__xludf.DUMMYFUNCTION("""COMPUTED_VALUE"""),7.59)</f>
        <v>7.59</v>
      </c>
      <c r="V564" s="48">
        <f>IFERROR(__xludf.DUMMYFUNCTION("""COMPUTED_VALUE"""),7.56)</f>
        <v>7.56</v>
      </c>
      <c r="W564" s="14">
        <f>IFERROR(__xludf.DUMMYFUNCTION("""COMPUTED_VALUE"""),7.601999999999999)</f>
        <v>7.602</v>
      </c>
      <c r="X564" s="14">
        <f>IFERROR(__xludf.DUMMYFUNCTION("""COMPUTED_VALUE"""),18.2)</f>
        <v>18.2</v>
      </c>
      <c r="Y564" s="14">
        <f>IFERROR(__xludf.DUMMYFUNCTION("""COMPUTED_VALUE"""),18.6)</f>
        <v>18.6</v>
      </c>
      <c r="Z564" s="14">
        <f>IFERROR(__xludf.DUMMYFUNCTION("""COMPUTED_VALUE"""),17.6)</f>
        <v>17.6</v>
      </c>
      <c r="AA564" s="14">
        <f>IFERROR(__xludf.DUMMYFUNCTION("""COMPUTED_VALUE"""),18.4)</f>
        <v>18.4</v>
      </c>
      <c r="AB564" s="14">
        <f>IFERROR(__xludf.DUMMYFUNCTION("""COMPUTED_VALUE"""),17.7)</f>
        <v>17.7</v>
      </c>
      <c r="AC564" s="14">
        <f>IFERROR(__xludf.DUMMYFUNCTION("""COMPUTED_VALUE"""),18.1)</f>
        <v>18.1</v>
      </c>
      <c r="AD564" s="48">
        <f>IFERROR(__xludf.DUMMYFUNCTION("""COMPUTED_VALUE"""),795.0)</f>
        <v>795</v>
      </c>
      <c r="AE564" s="48">
        <f>IFERROR(__xludf.DUMMYFUNCTION("""COMPUTED_VALUE"""),770.0)</f>
        <v>770</v>
      </c>
      <c r="AF564" s="48">
        <f>IFERROR(__xludf.DUMMYFUNCTION("""COMPUTED_VALUE"""),749.0)</f>
        <v>749</v>
      </c>
      <c r="AG564" s="48">
        <f>IFERROR(__xludf.DUMMYFUNCTION("""COMPUTED_VALUE"""),740.0)</f>
        <v>740</v>
      </c>
      <c r="AH564" s="48">
        <f>IFERROR(__xludf.DUMMYFUNCTION("""COMPUTED_VALUE"""),729.0)</f>
        <v>729</v>
      </c>
      <c r="AI564" s="14">
        <f>IFERROR(__xludf.DUMMYFUNCTION("""COMPUTED_VALUE"""),756.6)</f>
        <v>756.6</v>
      </c>
      <c r="AJ564" s="14">
        <f>IFERROR(__xludf.DUMMYFUNCTION("""COMPUTED_VALUE"""),1.51)</f>
        <v>1.51</v>
      </c>
      <c r="AK564" s="14">
        <f>IFERROR(__xludf.DUMMYFUNCTION("""COMPUTED_VALUE"""),1.96)</f>
        <v>1.96</v>
      </c>
      <c r="AL564" s="14">
        <f>IFERROR(__xludf.DUMMYFUNCTION("""COMPUTED_VALUE"""),1.98)</f>
        <v>1.98</v>
      </c>
      <c r="AM564" s="14">
        <f>IFERROR(__xludf.DUMMYFUNCTION("""COMPUTED_VALUE"""),2.01)</f>
        <v>2.01</v>
      </c>
      <c r="AN564" s="14">
        <f>IFERROR(__xludf.DUMMYFUNCTION("""COMPUTED_VALUE"""),2.0)</f>
        <v>2</v>
      </c>
      <c r="AO564" s="14">
        <f>IFERROR(__xludf.DUMMYFUNCTION("""COMPUTED_VALUE"""),1.892)</f>
        <v>1.892</v>
      </c>
      <c r="AP564" s="14">
        <f>IFERROR(__xludf.DUMMYFUNCTION("""COMPUTED_VALUE"""),183.0)</f>
        <v>183</v>
      </c>
      <c r="AQ564" s="14">
        <f>IFERROR(__xludf.DUMMYFUNCTION("""COMPUTED_VALUE"""),244.0)</f>
        <v>244</v>
      </c>
      <c r="AR564" s="14">
        <f>IFERROR(__xludf.DUMMYFUNCTION("""COMPUTED_VALUE"""),138.0)</f>
        <v>138</v>
      </c>
      <c r="AS564" s="14">
        <f>IFERROR(__xludf.DUMMYFUNCTION("""COMPUTED_VALUE"""),49.0)</f>
        <v>49</v>
      </c>
      <c r="AT564" s="14">
        <f>IFERROR(__xludf.DUMMYFUNCTION("""COMPUTED_VALUE"""),1.38)</f>
        <v>1.38</v>
      </c>
      <c r="AU564" s="14">
        <f>IFERROR(__xludf.DUMMYFUNCTION("""COMPUTED_VALUE"""),8.42E7)</f>
        <v>84200000</v>
      </c>
      <c r="AV564" s="14">
        <f>IFERROR(__xludf.DUMMYFUNCTION("""COMPUTED_VALUE"""),9.14)</f>
        <v>9.14</v>
      </c>
      <c r="AW564" s="14">
        <f>IFERROR(__xludf.DUMMYFUNCTION("""COMPUTED_VALUE"""),29.7)</f>
        <v>29.7</v>
      </c>
      <c r="AX564" s="14">
        <f>IFERROR(__xludf.DUMMYFUNCTION("""COMPUTED_VALUE"""),569000.0)</f>
        <v>569000</v>
      </c>
      <c r="AY564" s="14">
        <f>IFERROR(__xludf.DUMMYFUNCTION("""COMPUTED_VALUE"""),1.2)</f>
        <v>1.2</v>
      </c>
      <c r="AZ564" s="14">
        <f>IFERROR(__xludf.DUMMYFUNCTION("""COMPUTED_VALUE"""),0.007)</f>
        <v>0.007</v>
      </c>
      <c r="BA564" s="14">
        <f t="shared" si="1"/>
        <v>30.907</v>
      </c>
    </row>
    <row r="565" ht="14.25" customHeight="1">
      <c r="A565" s="10" t="str">
        <f>IFERROR(__xludf.DUMMYFUNCTION("""COMPUTED_VALUE"""),"221221DU03")</f>
        <v>221221DU03</v>
      </c>
      <c r="B565" s="12" t="str">
        <f>IFERROR(__xludf.DUMMYFUNCTION("""COMPUTED_VALUE"""),"QTR-Mochuelo Bajo")</f>
        <v>QTR-Mochuelo Bajo</v>
      </c>
      <c r="C565" s="12"/>
      <c r="D565" s="12"/>
      <c r="E565" s="44">
        <f>IFERROR(__xludf.DUMMYFUNCTION("""COMPUTED_VALUE"""),44552.0)</f>
        <v>44552</v>
      </c>
      <c r="F565" s="12" t="str">
        <f>IFERROR(__xludf.DUMMYFUNCTION("""COMPUTED_VALUE"""),"TIPO I")</f>
        <v>TIPO I</v>
      </c>
      <c r="G565" s="12" t="str">
        <f>IFERROR(__xludf.DUMMYFUNCTION("""COMPUTED_VALUE"""),"El cuerpo de agua presenta olor y color característico de agua residual, lecho rocoso-arenoso")</f>
        <v>El cuerpo de agua presenta olor y color característico de agua residual, lecho rocoso-arenoso</v>
      </c>
      <c r="H565" s="45">
        <f>IFERROR(__xludf.DUMMYFUNCTION("""COMPUTED_VALUE"""),0.4166666666678793)</f>
        <v>0.4166666667</v>
      </c>
      <c r="I565" s="45">
        <f>IFERROR(__xludf.DUMMYFUNCTION("""COMPUTED_VALUE"""),0.5)</f>
        <v>0.5</v>
      </c>
      <c r="J565" s="12">
        <f>IFERROR(__xludf.DUMMYFUNCTION("""COMPUTED_VALUE"""),1.6)</f>
        <v>1.6</v>
      </c>
      <c r="K565" s="12">
        <f>IFERROR(__xludf.DUMMYFUNCTION("""COMPUTED_VALUE"""),0.06)</f>
        <v>0.06</v>
      </c>
      <c r="L565" s="14">
        <f>IFERROR(__xludf.DUMMYFUNCTION("""COMPUTED_VALUE"""),33.565)</f>
        <v>33.565</v>
      </c>
      <c r="M565" s="14">
        <f>IFERROR(__xludf.DUMMYFUNCTION("""COMPUTED_VALUE"""),34.053)</f>
        <v>34.053</v>
      </c>
      <c r="N565" s="14">
        <f>IFERROR(__xludf.DUMMYFUNCTION("""COMPUTED_VALUE"""),33.788)</f>
        <v>33.788</v>
      </c>
      <c r="O565" s="14">
        <f>IFERROR(__xludf.DUMMYFUNCTION("""COMPUTED_VALUE"""),35.036)</f>
        <v>35.036</v>
      </c>
      <c r="P565" s="14">
        <f>IFERROR(__xludf.DUMMYFUNCTION("""COMPUTED_VALUE"""),35.811)</f>
        <v>35.811</v>
      </c>
      <c r="Q565" s="14">
        <f>IFERROR(__xludf.DUMMYFUNCTION("""COMPUTED_VALUE"""),34.451)</f>
        <v>34.451</v>
      </c>
      <c r="R565" s="48">
        <f>IFERROR(__xludf.DUMMYFUNCTION("""COMPUTED_VALUE"""),8.35)</f>
        <v>8.35</v>
      </c>
      <c r="S565" s="48">
        <f>IFERROR(__xludf.DUMMYFUNCTION("""COMPUTED_VALUE"""),8.27)</f>
        <v>8.27</v>
      </c>
      <c r="T565" s="48">
        <f>IFERROR(__xludf.DUMMYFUNCTION("""COMPUTED_VALUE"""),8.15)</f>
        <v>8.15</v>
      </c>
      <c r="U565" s="48">
        <f>IFERROR(__xludf.DUMMYFUNCTION("""COMPUTED_VALUE"""),8.17)</f>
        <v>8.17</v>
      </c>
      <c r="V565" s="48">
        <f>IFERROR(__xludf.DUMMYFUNCTION("""COMPUTED_VALUE"""),8.2)</f>
        <v>8.2</v>
      </c>
      <c r="W565" s="14">
        <f>IFERROR(__xludf.DUMMYFUNCTION("""COMPUTED_VALUE"""),8.228)</f>
        <v>8.228</v>
      </c>
      <c r="X565" s="14">
        <f>IFERROR(__xludf.DUMMYFUNCTION("""COMPUTED_VALUE"""),17.2)</f>
        <v>17.2</v>
      </c>
      <c r="Y565" s="14">
        <f>IFERROR(__xludf.DUMMYFUNCTION("""COMPUTED_VALUE"""),17.2)</f>
        <v>17.2</v>
      </c>
      <c r="Z565" s="14">
        <f>IFERROR(__xludf.DUMMYFUNCTION("""COMPUTED_VALUE"""),18.8)</f>
        <v>18.8</v>
      </c>
      <c r="AA565" s="14">
        <f>IFERROR(__xludf.DUMMYFUNCTION("""COMPUTED_VALUE"""),18.7)</f>
        <v>18.7</v>
      </c>
      <c r="AB565" s="14">
        <f>IFERROR(__xludf.DUMMYFUNCTION("""COMPUTED_VALUE"""),18.1)</f>
        <v>18.1</v>
      </c>
      <c r="AC565" s="14">
        <f>IFERROR(__xludf.DUMMYFUNCTION("""COMPUTED_VALUE"""),18.0)</f>
        <v>18</v>
      </c>
      <c r="AD565" s="48">
        <f>IFERROR(__xludf.DUMMYFUNCTION("""COMPUTED_VALUE"""),548.0)</f>
        <v>548</v>
      </c>
      <c r="AE565" s="48">
        <f>IFERROR(__xludf.DUMMYFUNCTION("""COMPUTED_VALUE"""),559.0)</f>
        <v>559</v>
      </c>
      <c r="AF565" s="48">
        <f>IFERROR(__xludf.DUMMYFUNCTION("""COMPUTED_VALUE"""),631.0)</f>
        <v>631</v>
      </c>
      <c r="AG565" s="48">
        <f>IFERROR(__xludf.DUMMYFUNCTION("""COMPUTED_VALUE"""),635.0)</f>
        <v>635</v>
      </c>
      <c r="AH565" s="48">
        <f>IFERROR(__xludf.DUMMYFUNCTION("""COMPUTED_VALUE"""),618.0)</f>
        <v>618</v>
      </c>
      <c r="AI565" s="14">
        <f>IFERROR(__xludf.DUMMYFUNCTION("""COMPUTED_VALUE"""),598.2)</f>
        <v>598.2</v>
      </c>
      <c r="AJ565" s="14">
        <f>IFERROR(__xludf.DUMMYFUNCTION("""COMPUTED_VALUE"""),5.44)</f>
        <v>5.44</v>
      </c>
      <c r="AK565" s="14">
        <f>IFERROR(__xludf.DUMMYFUNCTION("""COMPUTED_VALUE"""),5.74)</f>
        <v>5.74</v>
      </c>
      <c r="AL565" s="14">
        <f>IFERROR(__xludf.DUMMYFUNCTION("""COMPUTED_VALUE"""),5.53)</f>
        <v>5.53</v>
      </c>
      <c r="AM565" s="14">
        <f>IFERROR(__xludf.DUMMYFUNCTION("""COMPUTED_VALUE"""),5.32)</f>
        <v>5.32</v>
      </c>
      <c r="AN565" s="14">
        <f>IFERROR(__xludf.DUMMYFUNCTION("""COMPUTED_VALUE"""),5.15)</f>
        <v>5.15</v>
      </c>
      <c r="AO565" s="14">
        <f>IFERROR(__xludf.DUMMYFUNCTION("""COMPUTED_VALUE"""),5.436)</f>
        <v>5.436</v>
      </c>
      <c r="AP565" s="14">
        <f>IFERROR(__xludf.DUMMYFUNCTION("""COMPUTED_VALUE"""),113.0)</f>
        <v>113</v>
      </c>
      <c r="AQ565" s="14">
        <f>IFERROR(__xludf.DUMMYFUNCTION("""COMPUTED_VALUE"""),172.0)</f>
        <v>172</v>
      </c>
      <c r="AR565" s="14">
        <f>IFERROR(__xludf.DUMMYFUNCTION("""COMPUTED_VALUE"""),804.0)</f>
        <v>804</v>
      </c>
      <c r="AS565" s="14">
        <f>IFERROR(__xludf.DUMMYFUNCTION("""COMPUTED_VALUE"""),6.0)</f>
        <v>6</v>
      </c>
      <c r="AT565" s="14">
        <f>IFERROR(__xludf.DUMMYFUNCTION("""COMPUTED_VALUE"""),2.03)</f>
        <v>2.03</v>
      </c>
      <c r="AU565" s="14">
        <f>IFERROR(__xludf.DUMMYFUNCTION("""COMPUTED_VALUE"""),1.287E8)</f>
        <v>128700000</v>
      </c>
      <c r="AV565" s="14">
        <f>IFERROR(__xludf.DUMMYFUNCTION("""COMPUTED_VALUE"""),0.83)</f>
        <v>0.83</v>
      </c>
      <c r="AW565" s="14">
        <f>IFERROR(__xludf.DUMMYFUNCTION("""COMPUTED_VALUE"""),17.6)</f>
        <v>17.6</v>
      </c>
      <c r="AX565" s="14">
        <f>IFERROR(__xludf.DUMMYFUNCTION("""COMPUTED_VALUE"""),1.046E7)</f>
        <v>10460000</v>
      </c>
      <c r="AY565" s="14">
        <f>IFERROR(__xludf.DUMMYFUNCTION("""COMPUTED_VALUE"""),0.7)</f>
        <v>0.7</v>
      </c>
      <c r="AZ565" s="14">
        <f>IFERROR(__xludf.DUMMYFUNCTION("""COMPUTED_VALUE"""),0.007)</f>
        <v>0.007</v>
      </c>
      <c r="BA565" s="14">
        <f t="shared" si="1"/>
        <v>18.307</v>
      </c>
    </row>
    <row r="566" ht="14.25" customHeight="1">
      <c r="A566" s="10" t="str">
        <f>IFERROR(__xludf.DUMMYFUNCTION("""COMPUTED_VALUE"""),"141221MP03")</f>
        <v>141221MP03</v>
      </c>
      <c r="B566" s="12" t="str">
        <f>IFERROR(__xludf.DUMMYFUNCTION("""COMPUTED_VALUE"""),"COR-Britalia")</f>
        <v>COR-Britalia</v>
      </c>
      <c r="C566" s="12"/>
      <c r="D566" s="12"/>
      <c r="E566" s="44">
        <f>IFERROR(__xludf.DUMMYFUNCTION("""COMPUTED_VALUE"""),44544.0)</f>
        <v>44544</v>
      </c>
      <c r="F566" s="12" t="str">
        <f>IFERROR(__xludf.DUMMYFUNCTION("""COMPUTED_VALUE"""),"TIPO I")</f>
        <v>TIPO I</v>
      </c>
      <c r="G566" s="12" t="str">
        <f>IFERROR(__xludf.DUMMYFUNCTION("""COMPUTED_VALUE"""),"Punto de monitoreo con canal artificial en concreto. Al inicio del muestreo se observa un aumento en el caudal debido a lloviznas; por esta razón, se evidencia un incremento en la cantidad de material flotante. La muestra presenta color y se perciben olor"&amp;"es ofensivos. A partir de la segunda alícuota se observa una disminución del caudal.")</f>
        <v>Punto de monitoreo con canal artificial en concreto. Al inicio del muestreo se observa un aumento en el caudal debido a lloviznas; por esta razón, se evidencia un incremento en la cantidad de material flotante. La muestra presenta color y se perciben olores ofensivos. A partir de la segunda alícuota se observa una disminución del caudal.</v>
      </c>
      <c r="H566" s="45">
        <f>IFERROR(__xludf.DUMMYFUNCTION("""COMPUTED_VALUE"""),0.6666666666678793)</f>
        <v>0.6666666667</v>
      </c>
      <c r="I566" s="45">
        <f>IFERROR(__xludf.DUMMYFUNCTION("""COMPUTED_VALUE"""),0.75)</f>
        <v>0.75</v>
      </c>
      <c r="J566" s="12">
        <f>IFERROR(__xludf.DUMMYFUNCTION("""COMPUTED_VALUE"""),4.2)</f>
        <v>4.2</v>
      </c>
      <c r="K566" s="12">
        <f>IFERROR(__xludf.DUMMYFUNCTION("""COMPUTED_VALUE"""),0.17)</f>
        <v>0.17</v>
      </c>
      <c r="L566" s="14">
        <f>IFERROR(__xludf.DUMMYFUNCTION("""COMPUTED_VALUE"""),149.487)</f>
        <v>149.487</v>
      </c>
      <c r="M566" s="14">
        <f>IFERROR(__xludf.DUMMYFUNCTION("""COMPUTED_VALUE"""),134.049)</f>
        <v>134.049</v>
      </c>
      <c r="N566" s="14">
        <f>IFERROR(__xludf.DUMMYFUNCTION("""COMPUTED_VALUE"""),86.625)</f>
        <v>86.625</v>
      </c>
      <c r="O566" s="14">
        <f>IFERROR(__xludf.DUMMYFUNCTION("""COMPUTED_VALUE"""),43.419)</f>
        <v>43.419</v>
      </c>
      <c r="P566" s="14">
        <f>IFERROR(__xludf.DUMMYFUNCTION("""COMPUTED_VALUE"""),39.523)</f>
        <v>39.523</v>
      </c>
      <c r="Q566" s="14">
        <f>IFERROR(__xludf.DUMMYFUNCTION("""COMPUTED_VALUE"""),90.621)</f>
        <v>90.621</v>
      </c>
      <c r="R566" s="48">
        <f>IFERROR(__xludf.DUMMYFUNCTION("""COMPUTED_VALUE"""),7.19)</f>
        <v>7.19</v>
      </c>
      <c r="S566" s="48">
        <f>IFERROR(__xludf.DUMMYFUNCTION("""COMPUTED_VALUE"""),7.04)</f>
        <v>7.04</v>
      </c>
      <c r="T566" s="48">
        <f>IFERROR(__xludf.DUMMYFUNCTION("""COMPUTED_VALUE"""),6.97)</f>
        <v>6.97</v>
      </c>
      <c r="U566" s="48">
        <f>IFERROR(__xludf.DUMMYFUNCTION("""COMPUTED_VALUE"""),7.13)</f>
        <v>7.13</v>
      </c>
      <c r="V566" s="48">
        <f>IFERROR(__xludf.DUMMYFUNCTION("""COMPUTED_VALUE"""),6.99)</f>
        <v>6.99</v>
      </c>
      <c r="W566" s="14">
        <f>IFERROR(__xludf.DUMMYFUNCTION("""COMPUTED_VALUE"""),7.064)</f>
        <v>7.064</v>
      </c>
      <c r="X566" s="14">
        <f>IFERROR(__xludf.DUMMYFUNCTION("""COMPUTED_VALUE"""),17.7)</f>
        <v>17.7</v>
      </c>
      <c r="Y566" s="14">
        <f>IFERROR(__xludf.DUMMYFUNCTION("""COMPUTED_VALUE"""),17.7)</f>
        <v>17.7</v>
      </c>
      <c r="Z566" s="14">
        <f>IFERROR(__xludf.DUMMYFUNCTION("""COMPUTED_VALUE"""),17.4)</f>
        <v>17.4</v>
      </c>
      <c r="AA566" s="14">
        <f>IFERROR(__xludf.DUMMYFUNCTION("""COMPUTED_VALUE"""),17.3)</f>
        <v>17.3</v>
      </c>
      <c r="AB566" s="14">
        <f>IFERROR(__xludf.DUMMYFUNCTION("""COMPUTED_VALUE"""),12.3)</f>
        <v>12.3</v>
      </c>
      <c r="AC566" s="14">
        <f>IFERROR(__xludf.DUMMYFUNCTION("""COMPUTED_VALUE"""),16.479999999999997)</f>
        <v>16.48</v>
      </c>
      <c r="AD566" s="48">
        <f>IFERROR(__xludf.DUMMYFUNCTION("""COMPUTED_VALUE"""),392.0)</f>
        <v>392</v>
      </c>
      <c r="AE566" s="48">
        <f>IFERROR(__xludf.DUMMYFUNCTION("""COMPUTED_VALUE"""),450.0)</f>
        <v>450</v>
      </c>
      <c r="AF566" s="48">
        <f>IFERROR(__xludf.DUMMYFUNCTION("""COMPUTED_VALUE"""),427.0)</f>
        <v>427</v>
      </c>
      <c r="AG566" s="48">
        <f>IFERROR(__xludf.DUMMYFUNCTION("""COMPUTED_VALUE"""),366.0)</f>
        <v>366</v>
      </c>
      <c r="AH566" s="48">
        <f>IFERROR(__xludf.DUMMYFUNCTION("""COMPUTED_VALUE"""),407.0)</f>
        <v>407</v>
      </c>
      <c r="AI566" s="14">
        <f>IFERROR(__xludf.DUMMYFUNCTION("""COMPUTED_VALUE"""),408.4)</f>
        <v>408.4</v>
      </c>
      <c r="AJ566" s="14">
        <f>IFERROR(__xludf.DUMMYFUNCTION("""COMPUTED_VALUE"""),1.81)</f>
        <v>1.81</v>
      </c>
      <c r="AK566" s="14">
        <f>IFERROR(__xludf.DUMMYFUNCTION("""COMPUTED_VALUE"""),1.75)</f>
        <v>1.75</v>
      </c>
      <c r="AL566" s="14">
        <f>IFERROR(__xludf.DUMMYFUNCTION("""COMPUTED_VALUE"""),1.58)</f>
        <v>1.58</v>
      </c>
      <c r="AM566" s="14">
        <f>IFERROR(__xludf.DUMMYFUNCTION("""COMPUTED_VALUE"""),1.21)</f>
        <v>1.21</v>
      </c>
      <c r="AN566" s="14">
        <f>IFERROR(__xludf.DUMMYFUNCTION("""COMPUTED_VALUE"""),1.46)</f>
        <v>1.46</v>
      </c>
      <c r="AO566" s="14">
        <f>IFERROR(__xludf.DUMMYFUNCTION("""COMPUTED_VALUE"""),1.562)</f>
        <v>1.562</v>
      </c>
      <c r="AP566" s="14">
        <f>IFERROR(__xludf.DUMMYFUNCTION("""COMPUTED_VALUE"""),39.0)</f>
        <v>39</v>
      </c>
      <c r="AQ566" s="14">
        <f>IFERROR(__xludf.DUMMYFUNCTION("""COMPUTED_VALUE"""),83.0)</f>
        <v>83</v>
      </c>
      <c r="AR566" s="14">
        <f>IFERROR(__xludf.DUMMYFUNCTION("""COMPUTED_VALUE"""),67.0)</f>
        <v>67</v>
      </c>
      <c r="AS566" s="14">
        <f>IFERROR(__xludf.DUMMYFUNCTION("""COMPUTED_VALUE"""),2.3)</f>
        <v>2.3</v>
      </c>
      <c r="AT566" s="14">
        <f>IFERROR(__xludf.DUMMYFUNCTION("""COMPUTED_VALUE"""),0.45)</f>
        <v>0.45</v>
      </c>
      <c r="AU566" s="14">
        <f>IFERROR(__xludf.DUMMYFUNCTION("""COMPUTED_VALUE"""),9570000.0)</f>
        <v>9570000</v>
      </c>
      <c r="AV566" s="14">
        <f>IFERROR(__xludf.DUMMYFUNCTION("""COMPUTED_VALUE"""),10.17)</f>
        <v>10.17</v>
      </c>
      <c r="AW566" s="14">
        <f>IFERROR(__xludf.DUMMYFUNCTION("""COMPUTED_VALUE"""),11.7)</f>
        <v>11.7</v>
      </c>
      <c r="AX566" s="14">
        <f>IFERROR(__xludf.DUMMYFUNCTION("""COMPUTED_VALUE"""),710000.0)</f>
        <v>710000</v>
      </c>
      <c r="AY566" s="14">
        <f>IFERROR(__xludf.DUMMYFUNCTION("""COMPUTED_VALUE"""),0.6)</f>
        <v>0.6</v>
      </c>
      <c r="AZ566" s="14">
        <f>IFERROR(__xludf.DUMMYFUNCTION("""COMPUTED_VALUE"""),0.007)</f>
        <v>0.007</v>
      </c>
      <c r="BA566" s="14">
        <f t="shared" si="1"/>
        <v>12.307</v>
      </c>
    </row>
    <row r="567" ht="14.25" customHeight="1">
      <c r="A567" s="10" t="str">
        <f>IFERROR(__xludf.DUMMYFUNCTION("""COMPUTED_VALUE"""),"221221SE04")</f>
        <v>221221SE04</v>
      </c>
      <c r="B567" s="12" t="str">
        <f>IFERROR(__xludf.DUMMYFUNCTION("""COMPUTED_VALUE"""),"QSL-Portal Usme")</f>
        <v>QSL-Portal Usme</v>
      </c>
      <c r="C567" s="12"/>
      <c r="D567" s="12"/>
      <c r="E567" s="44">
        <f>IFERROR(__xludf.DUMMYFUNCTION("""COMPUTED_VALUE"""),44551.0)</f>
        <v>44551</v>
      </c>
      <c r="F567" s="12" t="str">
        <f>IFERROR(__xludf.DUMMYFUNCTION("""COMPUTED_VALUE"""),"TIPO I")</f>
        <v>TIPO I</v>
      </c>
      <c r="G567" s="12" t="str">
        <f>IFERROR(__xludf.DUMMYFUNCTION("""COMPUTED_VALUE"""),"El cuerpo de agua presenta color y olor característico de aguas residuales no domestica")</f>
        <v>El cuerpo de agua presenta color y olor característico de aguas residuales no domestica</v>
      </c>
      <c r="H567" s="45">
        <f>IFERROR(__xludf.DUMMYFUNCTION("""COMPUTED_VALUE"""),0.6666666666678793)</f>
        <v>0.6666666667</v>
      </c>
      <c r="I567" s="45">
        <f>IFERROR(__xludf.DUMMYFUNCTION("""COMPUTED_VALUE"""),0.75)</f>
        <v>0.75</v>
      </c>
      <c r="J567" s="12">
        <f>IFERROR(__xludf.DUMMYFUNCTION("""COMPUTED_VALUE"""),1.92)</f>
        <v>1.92</v>
      </c>
      <c r="K567" s="12">
        <f>IFERROR(__xludf.DUMMYFUNCTION("""COMPUTED_VALUE"""),0.18)</f>
        <v>0.18</v>
      </c>
      <c r="L567" s="14">
        <f>IFERROR(__xludf.DUMMYFUNCTION("""COMPUTED_VALUE"""),84.674)</f>
        <v>84.674</v>
      </c>
      <c r="M567" s="14">
        <f>IFERROR(__xludf.DUMMYFUNCTION("""COMPUTED_VALUE"""),83.761)</f>
        <v>83.761</v>
      </c>
      <c r="N567" s="14">
        <f>IFERROR(__xludf.DUMMYFUNCTION("""COMPUTED_VALUE"""),82.092)</f>
        <v>82.092</v>
      </c>
      <c r="O567" s="14">
        <f>IFERROR(__xludf.DUMMYFUNCTION("""COMPUTED_VALUE"""),82.913)</f>
        <v>82.913</v>
      </c>
      <c r="P567" s="14">
        <f>IFERROR(__xludf.DUMMYFUNCTION("""COMPUTED_VALUE"""),80.473)</f>
        <v>80.473</v>
      </c>
      <c r="Q567" s="14">
        <f>IFERROR(__xludf.DUMMYFUNCTION("""COMPUTED_VALUE"""),82.782)</f>
        <v>82.782</v>
      </c>
      <c r="R567" s="48">
        <f>IFERROR(__xludf.DUMMYFUNCTION("""COMPUTED_VALUE"""),6.28)</f>
        <v>6.28</v>
      </c>
      <c r="S567" s="48">
        <f>IFERROR(__xludf.DUMMYFUNCTION("""COMPUTED_VALUE"""),6.89)</f>
        <v>6.89</v>
      </c>
      <c r="T567" s="48">
        <f>IFERROR(__xludf.DUMMYFUNCTION("""COMPUTED_VALUE"""),6.93)</f>
        <v>6.93</v>
      </c>
      <c r="U567" s="48">
        <f>IFERROR(__xludf.DUMMYFUNCTION("""COMPUTED_VALUE"""),7.07)</f>
        <v>7.07</v>
      </c>
      <c r="V567" s="48">
        <f>IFERROR(__xludf.DUMMYFUNCTION("""COMPUTED_VALUE"""),7.04)</f>
        <v>7.04</v>
      </c>
      <c r="W567" s="14">
        <f>IFERROR(__xludf.DUMMYFUNCTION("""COMPUTED_VALUE"""),6.8420000000000005)</f>
        <v>6.842</v>
      </c>
      <c r="X567" s="14">
        <f>IFERROR(__xludf.DUMMYFUNCTION("""COMPUTED_VALUE"""),18.1)</f>
        <v>18.1</v>
      </c>
      <c r="Y567" s="14">
        <f>IFERROR(__xludf.DUMMYFUNCTION("""COMPUTED_VALUE"""),17.3)</f>
        <v>17.3</v>
      </c>
      <c r="Z567" s="14">
        <f>IFERROR(__xludf.DUMMYFUNCTION("""COMPUTED_VALUE"""),14.9)</f>
        <v>14.9</v>
      </c>
      <c r="AA567" s="14">
        <f>IFERROR(__xludf.DUMMYFUNCTION("""COMPUTED_VALUE"""),15.2)</f>
        <v>15.2</v>
      </c>
      <c r="AB567" s="14">
        <f>IFERROR(__xludf.DUMMYFUNCTION("""COMPUTED_VALUE"""),15.6)</f>
        <v>15.6</v>
      </c>
      <c r="AC567" s="14">
        <f>IFERROR(__xludf.DUMMYFUNCTION("""COMPUTED_VALUE"""),16.22)</f>
        <v>16.22</v>
      </c>
      <c r="AD567" s="48">
        <f>IFERROR(__xludf.DUMMYFUNCTION("""COMPUTED_VALUE"""),490.0)</f>
        <v>490</v>
      </c>
      <c r="AE567" s="48">
        <f>IFERROR(__xludf.DUMMYFUNCTION("""COMPUTED_VALUE"""),458.0)</f>
        <v>458</v>
      </c>
      <c r="AF567" s="48">
        <f>IFERROR(__xludf.DUMMYFUNCTION("""COMPUTED_VALUE"""),455.0)</f>
        <v>455</v>
      </c>
      <c r="AG567" s="48">
        <f>IFERROR(__xludf.DUMMYFUNCTION("""COMPUTED_VALUE"""),446.0)</f>
        <v>446</v>
      </c>
      <c r="AH567" s="48">
        <f>IFERROR(__xludf.DUMMYFUNCTION("""COMPUTED_VALUE"""),447.0)</f>
        <v>447</v>
      </c>
      <c r="AI567" s="14">
        <f>IFERROR(__xludf.DUMMYFUNCTION("""COMPUTED_VALUE"""),459.2)</f>
        <v>459.2</v>
      </c>
      <c r="AJ567" s="14">
        <f>IFERROR(__xludf.DUMMYFUNCTION("""COMPUTED_VALUE"""),1.68)</f>
        <v>1.68</v>
      </c>
      <c r="AK567" s="14">
        <f>IFERROR(__xludf.DUMMYFUNCTION("""COMPUTED_VALUE"""),1.68)</f>
        <v>1.68</v>
      </c>
      <c r="AL567" s="14">
        <f>IFERROR(__xludf.DUMMYFUNCTION("""COMPUTED_VALUE"""),2.06)</f>
        <v>2.06</v>
      </c>
      <c r="AM567" s="14">
        <f>IFERROR(__xludf.DUMMYFUNCTION("""COMPUTED_VALUE"""),1.81)</f>
        <v>1.81</v>
      </c>
      <c r="AN567" s="14">
        <f>IFERROR(__xludf.DUMMYFUNCTION("""COMPUTED_VALUE"""),2.11)</f>
        <v>2.11</v>
      </c>
      <c r="AO567" s="14">
        <f>IFERROR(__xludf.DUMMYFUNCTION("""COMPUTED_VALUE"""),1.8679999999999999)</f>
        <v>1.868</v>
      </c>
      <c r="AP567" s="14">
        <f>IFERROR(__xludf.DUMMYFUNCTION("""COMPUTED_VALUE"""),65.0)</f>
        <v>65</v>
      </c>
      <c r="AQ567" s="14">
        <f>IFERROR(__xludf.DUMMYFUNCTION("""COMPUTED_VALUE"""),98.0)</f>
        <v>98</v>
      </c>
      <c r="AR567" s="14">
        <f>IFERROR(__xludf.DUMMYFUNCTION("""COMPUTED_VALUE"""),40.0)</f>
        <v>40</v>
      </c>
      <c r="AS567" s="14">
        <f>IFERROR(__xludf.DUMMYFUNCTION("""COMPUTED_VALUE"""),18.0)</f>
        <v>18</v>
      </c>
      <c r="AT567" s="14">
        <f>IFERROR(__xludf.DUMMYFUNCTION("""COMPUTED_VALUE"""),0.15)</f>
        <v>0.15</v>
      </c>
      <c r="AU567" s="14">
        <f>IFERROR(__xludf.DUMMYFUNCTION("""COMPUTED_VALUE"""),1.281E8)</f>
        <v>128100000</v>
      </c>
      <c r="AV567" s="14">
        <f>IFERROR(__xludf.DUMMYFUNCTION("""COMPUTED_VALUE"""),1.85)</f>
        <v>1.85</v>
      </c>
      <c r="AW567" s="14">
        <f>IFERROR(__xludf.DUMMYFUNCTION("""COMPUTED_VALUE"""),16.0)</f>
        <v>16</v>
      </c>
      <c r="AX567" s="14">
        <f>IFERROR(__xludf.DUMMYFUNCTION("""COMPUTED_VALUE"""),7620000.0)</f>
        <v>7620000</v>
      </c>
      <c r="AY567" s="14">
        <f>IFERROR(__xludf.DUMMYFUNCTION("""COMPUTED_VALUE"""),0.6)</f>
        <v>0.6</v>
      </c>
      <c r="AZ567" s="14">
        <f>IFERROR(__xludf.DUMMYFUNCTION("""COMPUTED_VALUE"""),0.007)</f>
        <v>0.007</v>
      </c>
      <c r="BA567" s="14">
        <f t="shared" si="1"/>
        <v>16.607</v>
      </c>
    </row>
    <row r="568" ht="14.25" customHeight="1">
      <c r="A568" s="10" t="str">
        <f>IFERROR(__xludf.DUMMYFUNCTION("""COMPUTED_VALUE"""),"221221DU04")</f>
        <v>221221DU04</v>
      </c>
      <c r="B568" s="12" t="str">
        <f>IFERROR(__xludf.DUMMYFUNCTION("""COMPUTED_VALUE"""),"QTR-Quiba")</f>
        <v>QTR-Quiba</v>
      </c>
      <c r="C568" s="12"/>
      <c r="D568" s="12"/>
      <c r="E568" s="44">
        <f>IFERROR(__xludf.DUMMYFUNCTION("""COMPUTED_VALUE"""),44552.0)</f>
        <v>44552</v>
      </c>
      <c r="F568" s="12" t="str">
        <f>IFERROR(__xludf.DUMMYFUNCTION("""COMPUTED_VALUE"""),"TIPO I")</f>
        <v>TIPO I</v>
      </c>
      <c r="G568" s="12" t="str">
        <f>IFERROR(__xludf.DUMMYFUNCTION("""COMPUTED_VALUE"""),"El cuerpo de agua presenta color, se percibe olor en el punto de monitoreo.")</f>
        <v>El cuerpo de agua presenta color, se percibe olor en el punto de monitoreo.</v>
      </c>
      <c r="H568" s="45">
        <f>IFERROR(__xludf.DUMMYFUNCTION("""COMPUTED_VALUE"""),0.6666666666678793)</f>
        <v>0.6666666667</v>
      </c>
      <c r="I568" s="45">
        <f>IFERROR(__xludf.DUMMYFUNCTION("""COMPUTED_VALUE"""),0.75)</f>
        <v>0.75</v>
      </c>
      <c r="J568" s="12"/>
      <c r="K568" s="12"/>
      <c r="L568" s="14">
        <f>IFERROR(__xludf.DUMMYFUNCTION("""COMPUTED_VALUE"""),27.833)</f>
        <v>27.833</v>
      </c>
      <c r="M568" s="14">
        <f>IFERROR(__xludf.DUMMYFUNCTION("""COMPUTED_VALUE"""),27.292)</f>
        <v>27.292</v>
      </c>
      <c r="N568" s="14">
        <f>IFERROR(__xludf.DUMMYFUNCTION("""COMPUTED_VALUE"""),25.76)</f>
        <v>25.76</v>
      </c>
      <c r="O568" s="14">
        <f>IFERROR(__xludf.DUMMYFUNCTION("""COMPUTED_VALUE"""),29.13)</f>
        <v>29.13</v>
      </c>
      <c r="P568" s="14">
        <f>IFERROR(__xludf.DUMMYFUNCTION("""COMPUTED_VALUE"""),31.429)</f>
        <v>31.429</v>
      </c>
      <c r="Q568" s="14">
        <f>IFERROR(__xludf.DUMMYFUNCTION("""COMPUTED_VALUE"""),28.289)</f>
        <v>28.289</v>
      </c>
      <c r="R568" s="48">
        <f>IFERROR(__xludf.DUMMYFUNCTION("""COMPUTED_VALUE"""),10.04)</f>
        <v>10.04</v>
      </c>
      <c r="S568" s="48">
        <f>IFERROR(__xludf.DUMMYFUNCTION("""COMPUTED_VALUE"""),10.18)</f>
        <v>10.18</v>
      </c>
      <c r="T568" s="48">
        <f>IFERROR(__xludf.DUMMYFUNCTION("""COMPUTED_VALUE"""),10.12)</f>
        <v>10.12</v>
      </c>
      <c r="U568" s="48">
        <f>IFERROR(__xludf.DUMMYFUNCTION("""COMPUTED_VALUE"""),10.04)</f>
        <v>10.04</v>
      </c>
      <c r="V568" s="48">
        <f>IFERROR(__xludf.DUMMYFUNCTION("""COMPUTED_VALUE"""),10.14)</f>
        <v>10.14</v>
      </c>
      <c r="W568" s="14">
        <f>IFERROR(__xludf.DUMMYFUNCTION("""COMPUTED_VALUE"""),10.104)</f>
        <v>10.104</v>
      </c>
      <c r="X568" s="14">
        <f>IFERROR(__xludf.DUMMYFUNCTION("""COMPUTED_VALUE"""),20.2)</f>
        <v>20.2</v>
      </c>
      <c r="Y568" s="14">
        <f>IFERROR(__xludf.DUMMYFUNCTION("""COMPUTED_VALUE"""),20.1)</f>
        <v>20.1</v>
      </c>
      <c r="Z568" s="14">
        <f>IFERROR(__xludf.DUMMYFUNCTION("""COMPUTED_VALUE"""),20.3)</f>
        <v>20.3</v>
      </c>
      <c r="AA568" s="14">
        <f>IFERROR(__xludf.DUMMYFUNCTION("""COMPUTED_VALUE"""),20.6)</f>
        <v>20.6</v>
      </c>
      <c r="AB568" s="14">
        <f>IFERROR(__xludf.DUMMYFUNCTION("""COMPUTED_VALUE"""),20.7)</f>
        <v>20.7</v>
      </c>
      <c r="AC568" s="14">
        <f>IFERROR(__xludf.DUMMYFUNCTION("""COMPUTED_VALUE"""),20.38)</f>
        <v>20.38</v>
      </c>
      <c r="AD568" s="48">
        <f>IFERROR(__xludf.DUMMYFUNCTION("""COMPUTED_VALUE"""),629.0)</f>
        <v>629</v>
      </c>
      <c r="AE568" s="48">
        <f>IFERROR(__xludf.DUMMYFUNCTION("""COMPUTED_VALUE"""),632.0)</f>
        <v>632</v>
      </c>
      <c r="AF568" s="48">
        <f>IFERROR(__xludf.DUMMYFUNCTION("""COMPUTED_VALUE"""),634.0)</f>
        <v>634</v>
      </c>
      <c r="AG568" s="48">
        <f>IFERROR(__xludf.DUMMYFUNCTION("""COMPUTED_VALUE"""),631.0)</f>
        <v>631</v>
      </c>
      <c r="AH568" s="48">
        <f>IFERROR(__xludf.DUMMYFUNCTION("""COMPUTED_VALUE"""),637.0)</f>
        <v>637</v>
      </c>
      <c r="AI568" s="14">
        <f>IFERROR(__xludf.DUMMYFUNCTION("""COMPUTED_VALUE"""),632.6)</f>
        <v>632.6</v>
      </c>
      <c r="AJ568" s="14">
        <f>IFERROR(__xludf.DUMMYFUNCTION("""COMPUTED_VALUE"""),4.3)</f>
        <v>4.3</v>
      </c>
      <c r="AK568" s="14">
        <f>IFERROR(__xludf.DUMMYFUNCTION("""COMPUTED_VALUE"""),3.94)</f>
        <v>3.94</v>
      </c>
      <c r="AL568" s="14">
        <f>IFERROR(__xludf.DUMMYFUNCTION("""COMPUTED_VALUE"""),2.89)</f>
        <v>2.89</v>
      </c>
      <c r="AM568" s="14">
        <f>IFERROR(__xludf.DUMMYFUNCTION("""COMPUTED_VALUE"""),3.9)</f>
        <v>3.9</v>
      </c>
      <c r="AN568" s="14">
        <f>IFERROR(__xludf.DUMMYFUNCTION("""COMPUTED_VALUE"""),3.82)</f>
        <v>3.82</v>
      </c>
      <c r="AO568" s="14">
        <f>IFERROR(__xludf.DUMMYFUNCTION("""COMPUTED_VALUE"""),3.7700000000000005)</f>
        <v>3.77</v>
      </c>
      <c r="AP568" s="14">
        <f>IFERROR(__xludf.DUMMYFUNCTION("""COMPUTED_VALUE"""),127.0)</f>
        <v>127</v>
      </c>
      <c r="AQ568" s="14">
        <f>IFERROR(__xludf.DUMMYFUNCTION("""COMPUTED_VALUE"""),217.0)</f>
        <v>217</v>
      </c>
      <c r="AR568" s="14">
        <f>IFERROR(__xludf.DUMMYFUNCTION("""COMPUTED_VALUE"""),1390.0)</f>
        <v>1390</v>
      </c>
      <c r="AS568" s="14">
        <f>IFERROR(__xludf.DUMMYFUNCTION("""COMPUTED_VALUE"""),52.0)</f>
        <v>52</v>
      </c>
      <c r="AT568" s="14">
        <f>IFERROR(__xludf.DUMMYFUNCTION("""COMPUTED_VALUE"""),2.42)</f>
        <v>2.42</v>
      </c>
      <c r="AU568" s="14">
        <f>IFERROR(__xludf.DUMMYFUNCTION("""COMPUTED_VALUE"""),1.391E7)</f>
        <v>13910000</v>
      </c>
      <c r="AV568" s="14">
        <f>IFERROR(__xludf.DUMMYFUNCTION("""COMPUTED_VALUE"""),0.39)</f>
        <v>0.39</v>
      </c>
      <c r="AW568" s="14">
        <f>IFERROR(__xludf.DUMMYFUNCTION("""COMPUTED_VALUE"""),8.1)</f>
        <v>8.1</v>
      </c>
      <c r="AX568" s="14">
        <f>IFERROR(__xludf.DUMMYFUNCTION("""COMPUTED_VALUE"""),1162000.0)</f>
        <v>1162000</v>
      </c>
      <c r="AY568" s="14">
        <f>IFERROR(__xludf.DUMMYFUNCTION("""COMPUTED_VALUE"""),0.6)</f>
        <v>0.6</v>
      </c>
      <c r="AZ568" s="14">
        <f>IFERROR(__xludf.DUMMYFUNCTION("""COMPUTED_VALUE"""),0.007)</f>
        <v>0.007</v>
      </c>
      <c r="BA568" s="14">
        <f t="shared" si="1"/>
        <v>8.707</v>
      </c>
    </row>
    <row r="569" ht="14.25" customHeight="1">
      <c r="A569" s="10" t="str">
        <f>IFERROR(__xludf.DUMMYFUNCTION("""COMPUTED_VALUE"""),"211221SH02")</f>
        <v>211221SH02</v>
      </c>
      <c r="B569" s="12" t="str">
        <f>IFERROR(__xludf.DUMMYFUNCTION("""COMPUTED_VALUE"""),"CMO-Pepe Sierra")</f>
        <v>CMO-Pepe Sierra</v>
      </c>
      <c r="C569" s="12"/>
      <c r="D569" s="12"/>
      <c r="E569" s="44">
        <f>IFERROR(__xludf.DUMMYFUNCTION("""COMPUTED_VALUE"""),44551.0)</f>
        <v>44551</v>
      </c>
      <c r="F569" s="12" t="str">
        <f>IFERROR(__xludf.DUMMYFUNCTION("""COMPUTED_VALUE"""),"TIPO I")</f>
        <v>TIPO I</v>
      </c>
      <c r="G569" s="12" t="str">
        <f>IFERROR(__xludf.DUMMYFUNCTION("""COMPUTED_VALUE"""),"Se observa coloración y se perciben olores ofensivos. Debido a que se presentaron fuertes lluvias, no se realizó la toma de los datos In-Situ de la alícuota No. 5.")</f>
        <v>Se observa coloración y se perciben olores ofensivos. Debido a que se presentaron fuertes lluvias, no se realizó la toma de los datos In-Situ de la alícuota No. 5.</v>
      </c>
      <c r="H569" s="45">
        <f>IFERROR(__xludf.DUMMYFUNCTION("""COMPUTED_VALUE"""),0.6666666666678793)</f>
        <v>0.6666666667</v>
      </c>
      <c r="I569" s="45">
        <f>IFERROR(__xludf.DUMMYFUNCTION("""COMPUTED_VALUE"""),0.75)</f>
        <v>0.75</v>
      </c>
      <c r="J569" s="12">
        <f>IFERROR(__xludf.DUMMYFUNCTION("""COMPUTED_VALUE"""),10.1)</f>
        <v>10.1</v>
      </c>
      <c r="K569" s="12">
        <f>IFERROR(__xludf.DUMMYFUNCTION("""COMPUTED_VALUE"""),0.28)</f>
        <v>0.28</v>
      </c>
      <c r="L569" s="14">
        <f>IFERROR(__xludf.DUMMYFUNCTION("""COMPUTED_VALUE"""),819.105)</f>
        <v>819.105</v>
      </c>
      <c r="M569" s="14">
        <f>IFERROR(__xludf.DUMMYFUNCTION("""COMPUTED_VALUE"""),808.799)</f>
        <v>808.799</v>
      </c>
      <c r="N569" s="14">
        <f>IFERROR(__xludf.DUMMYFUNCTION("""COMPUTED_VALUE"""),753.939)</f>
        <v>753.939</v>
      </c>
      <c r="O569" s="14">
        <f>IFERROR(__xludf.DUMMYFUNCTION("""COMPUTED_VALUE"""),774.538)</f>
        <v>774.538</v>
      </c>
      <c r="P569" s="14"/>
      <c r="Q569" s="14">
        <f>IFERROR(__xludf.DUMMYFUNCTION("""COMPUTED_VALUE"""),789.095)</f>
        <v>789.095</v>
      </c>
      <c r="R569" s="48">
        <f>IFERROR(__xludf.DUMMYFUNCTION("""COMPUTED_VALUE"""),7.72)</f>
        <v>7.72</v>
      </c>
      <c r="S569" s="48">
        <f>IFERROR(__xludf.DUMMYFUNCTION("""COMPUTED_VALUE"""),7.74)</f>
        <v>7.74</v>
      </c>
      <c r="T569" s="48">
        <f>IFERROR(__xludf.DUMMYFUNCTION("""COMPUTED_VALUE"""),7.76)</f>
        <v>7.76</v>
      </c>
      <c r="U569" s="48">
        <f>IFERROR(__xludf.DUMMYFUNCTION("""COMPUTED_VALUE"""),7.81)</f>
        <v>7.81</v>
      </c>
      <c r="V569" s="48"/>
      <c r="W569" s="14">
        <f>IFERROR(__xludf.DUMMYFUNCTION("""COMPUTED_VALUE"""),7.757499999999999)</f>
        <v>7.7575</v>
      </c>
      <c r="X569" s="14">
        <f>IFERROR(__xludf.DUMMYFUNCTION("""COMPUTED_VALUE"""),20.9)</f>
        <v>20.9</v>
      </c>
      <c r="Y569" s="14">
        <f>IFERROR(__xludf.DUMMYFUNCTION("""COMPUTED_VALUE"""),18.7)</f>
        <v>18.7</v>
      </c>
      <c r="Z569" s="14">
        <f>IFERROR(__xludf.DUMMYFUNCTION("""COMPUTED_VALUE"""),18.3)</f>
        <v>18.3</v>
      </c>
      <c r="AA569" s="14">
        <f>IFERROR(__xludf.DUMMYFUNCTION("""COMPUTED_VALUE"""),17.9)</f>
        <v>17.9</v>
      </c>
      <c r="AB569" s="14"/>
      <c r="AC569" s="14">
        <f>IFERROR(__xludf.DUMMYFUNCTION("""COMPUTED_VALUE"""),18.949999999999996)</f>
        <v>18.95</v>
      </c>
      <c r="AD569" s="48">
        <f>IFERROR(__xludf.DUMMYFUNCTION("""COMPUTED_VALUE"""),166.6)</f>
        <v>166.6</v>
      </c>
      <c r="AE569" s="48">
        <f>IFERROR(__xludf.DUMMYFUNCTION("""COMPUTED_VALUE"""),449.0)</f>
        <v>449</v>
      </c>
      <c r="AF569" s="48">
        <f>IFERROR(__xludf.DUMMYFUNCTION("""COMPUTED_VALUE"""),380.0)</f>
        <v>380</v>
      </c>
      <c r="AG569" s="48">
        <f>IFERROR(__xludf.DUMMYFUNCTION("""COMPUTED_VALUE"""),411.0)</f>
        <v>411</v>
      </c>
      <c r="AH569" s="48"/>
      <c r="AI569" s="14">
        <f>IFERROR(__xludf.DUMMYFUNCTION("""COMPUTED_VALUE"""),351.65)</f>
        <v>351.65</v>
      </c>
      <c r="AJ569" s="14">
        <f>IFERROR(__xludf.DUMMYFUNCTION("""COMPUTED_VALUE"""),4.27)</f>
        <v>4.27</v>
      </c>
      <c r="AK569" s="14">
        <f>IFERROR(__xludf.DUMMYFUNCTION("""COMPUTED_VALUE"""),3.88)</f>
        <v>3.88</v>
      </c>
      <c r="AL569" s="14">
        <f>IFERROR(__xludf.DUMMYFUNCTION("""COMPUTED_VALUE"""),3.53)</f>
        <v>3.53</v>
      </c>
      <c r="AM569" s="14">
        <f>IFERROR(__xludf.DUMMYFUNCTION("""COMPUTED_VALUE"""),3.99)</f>
        <v>3.99</v>
      </c>
      <c r="AN569" s="14"/>
      <c r="AO569" s="14">
        <f>IFERROR(__xludf.DUMMYFUNCTION("""COMPUTED_VALUE"""),3.9174999999999995)</f>
        <v>3.9175</v>
      </c>
      <c r="AP569" s="14">
        <f>IFERROR(__xludf.DUMMYFUNCTION("""COMPUTED_VALUE"""),308.0)</f>
        <v>308</v>
      </c>
      <c r="AQ569" s="14">
        <f>IFERROR(__xludf.DUMMYFUNCTION("""COMPUTED_VALUE"""),437.0)</f>
        <v>437</v>
      </c>
      <c r="AR569" s="14">
        <f>IFERROR(__xludf.DUMMYFUNCTION("""COMPUTED_VALUE"""),690.0)</f>
        <v>690</v>
      </c>
      <c r="AS569" s="14">
        <f>IFERROR(__xludf.DUMMYFUNCTION("""COMPUTED_VALUE"""),26.0)</f>
        <v>26</v>
      </c>
      <c r="AT569" s="14">
        <f>IFERROR(__xludf.DUMMYFUNCTION("""COMPUTED_VALUE"""),2.85)</f>
        <v>2.85</v>
      </c>
      <c r="AU569" s="14">
        <f>IFERROR(__xludf.DUMMYFUNCTION("""COMPUTED_VALUE"""),1.124E7)</f>
        <v>11240000</v>
      </c>
      <c r="AV569" s="14">
        <f>IFERROR(__xludf.DUMMYFUNCTION("""COMPUTED_VALUE"""),4.81)</f>
        <v>4.81</v>
      </c>
      <c r="AW569" s="14">
        <f>IFERROR(__xludf.DUMMYFUNCTION("""COMPUTED_VALUE"""),82.9)</f>
        <v>82.9</v>
      </c>
      <c r="AX569" s="14">
        <f>IFERROR(__xludf.DUMMYFUNCTION("""COMPUTED_VALUE"""),585000.0)</f>
        <v>585000</v>
      </c>
      <c r="AY569" s="14">
        <f>IFERROR(__xludf.DUMMYFUNCTION("""COMPUTED_VALUE"""),4.5)</f>
        <v>4.5</v>
      </c>
      <c r="AZ569" s="14">
        <f>IFERROR(__xludf.DUMMYFUNCTION("""COMPUTED_VALUE"""),0.007)</f>
        <v>0.007</v>
      </c>
      <c r="BA569" s="14">
        <f t="shared" si="1"/>
        <v>87.407</v>
      </c>
    </row>
    <row r="570" ht="14.25" customHeight="1">
      <c r="A570" s="10" t="str">
        <f>IFERROR(__xludf.DUMMYFUNCTION("""COMPUTED_VALUE"""),"291221DU03")</f>
        <v>291221DU03</v>
      </c>
      <c r="B570" s="12" t="str">
        <f>IFERROR(__xludf.DUMMYFUNCTION("""COMPUTED_VALUE"""),"CMO-Cantón Norte")</f>
        <v>CMO-Cantón Norte</v>
      </c>
      <c r="C570" s="12"/>
      <c r="D570" s="12"/>
      <c r="E570" s="44">
        <f>IFERROR(__xludf.DUMMYFUNCTION("""COMPUTED_VALUE"""),44559.0)</f>
        <v>44559</v>
      </c>
      <c r="F570" s="12" t="str">
        <f>IFERROR(__xludf.DUMMYFUNCTION("""COMPUTED_VALUE"""),"TIPO I")</f>
        <v>TIPO I</v>
      </c>
      <c r="G570" s="12" t="str">
        <f>IFERROR(__xludf.DUMMYFUNCTION("""COMPUTED_VALUE"""),"Durante el monitoreo se pudo evidenciar que la fuente hídrica presenta color aparente")</f>
        <v>Durante el monitoreo se pudo evidenciar que la fuente hídrica presenta color aparente</v>
      </c>
      <c r="H570" s="45">
        <f>IFERROR(__xludf.DUMMYFUNCTION("""COMPUTED_VALUE"""),0.5833333333321207)</f>
        <v>0.5833333333</v>
      </c>
      <c r="I570" s="45">
        <f>IFERROR(__xludf.DUMMYFUNCTION("""COMPUTED_VALUE"""),0.6666666666678793)</f>
        <v>0.6666666667</v>
      </c>
      <c r="J570" s="12">
        <f>IFERROR(__xludf.DUMMYFUNCTION("""COMPUTED_VALUE"""),1.7)</f>
        <v>1.7</v>
      </c>
      <c r="K570" s="12">
        <f>IFERROR(__xludf.DUMMYFUNCTION("""COMPUTED_VALUE"""),0.14)</f>
        <v>0.14</v>
      </c>
      <c r="L570" s="14">
        <f>IFERROR(__xludf.DUMMYFUNCTION("""COMPUTED_VALUE"""),50.716)</f>
        <v>50.716</v>
      </c>
      <c r="M570" s="14">
        <f>IFERROR(__xludf.DUMMYFUNCTION("""COMPUTED_VALUE"""),51.08)</f>
        <v>51.08</v>
      </c>
      <c r="N570" s="14">
        <f>IFERROR(__xludf.DUMMYFUNCTION("""COMPUTED_VALUE"""),52.0)</f>
        <v>52</v>
      </c>
      <c r="O570" s="14">
        <f>IFERROR(__xludf.DUMMYFUNCTION("""COMPUTED_VALUE"""),53.019)</f>
        <v>53.019</v>
      </c>
      <c r="P570" s="14">
        <f>IFERROR(__xludf.DUMMYFUNCTION("""COMPUTED_VALUE"""),52.234)</f>
        <v>52.234</v>
      </c>
      <c r="Q570" s="14">
        <f>IFERROR(__xludf.DUMMYFUNCTION("""COMPUTED_VALUE"""),51.81)</f>
        <v>51.81</v>
      </c>
      <c r="R570" s="48">
        <f>IFERROR(__xludf.DUMMYFUNCTION("""COMPUTED_VALUE"""),7.91)</f>
        <v>7.91</v>
      </c>
      <c r="S570" s="48">
        <f>IFERROR(__xludf.DUMMYFUNCTION("""COMPUTED_VALUE"""),7.95)</f>
        <v>7.95</v>
      </c>
      <c r="T570" s="48">
        <f>IFERROR(__xludf.DUMMYFUNCTION("""COMPUTED_VALUE"""),7.97)</f>
        <v>7.97</v>
      </c>
      <c r="U570" s="48">
        <f>IFERROR(__xludf.DUMMYFUNCTION("""COMPUTED_VALUE"""),7.76)</f>
        <v>7.76</v>
      </c>
      <c r="V570" s="48">
        <f>IFERROR(__xludf.DUMMYFUNCTION("""COMPUTED_VALUE"""),8.01)</f>
        <v>8.01</v>
      </c>
      <c r="W570" s="14">
        <f>IFERROR(__xludf.DUMMYFUNCTION("""COMPUTED_VALUE"""),7.919999999999999)</f>
        <v>7.92</v>
      </c>
      <c r="X570" s="14">
        <f>IFERROR(__xludf.DUMMYFUNCTION("""COMPUTED_VALUE"""),15.8)</f>
        <v>15.8</v>
      </c>
      <c r="Y570" s="14">
        <f>IFERROR(__xludf.DUMMYFUNCTION("""COMPUTED_VALUE"""),17.6)</f>
        <v>17.6</v>
      </c>
      <c r="Z570" s="14">
        <f>IFERROR(__xludf.DUMMYFUNCTION("""COMPUTED_VALUE"""),18.3)</f>
        <v>18.3</v>
      </c>
      <c r="AA570" s="14">
        <f>IFERROR(__xludf.DUMMYFUNCTION("""COMPUTED_VALUE"""),16.1)</f>
        <v>16.1</v>
      </c>
      <c r="AB570" s="14">
        <f>IFERROR(__xludf.DUMMYFUNCTION("""COMPUTED_VALUE"""),15.6)</f>
        <v>15.6</v>
      </c>
      <c r="AC570" s="14">
        <f>IFERROR(__xludf.DUMMYFUNCTION("""COMPUTED_VALUE"""),16.68)</f>
        <v>16.68</v>
      </c>
      <c r="AD570" s="48">
        <f>IFERROR(__xludf.DUMMYFUNCTION("""COMPUTED_VALUE"""),262.0)</f>
        <v>262</v>
      </c>
      <c r="AE570" s="48">
        <f>IFERROR(__xludf.DUMMYFUNCTION("""COMPUTED_VALUE"""),272.0)</f>
        <v>272</v>
      </c>
      <c r="AF570" s="48">
        <f>IFERROR(__xludf.DUMMYFUNCTION("""COMPUTED_VALUE"""),275.0)</f>
        <v>275</v>
      </c>
      <c r="AG570" s="48">
        <f>IFERROR(__xludf.DUMMYFUNCTION("""COMPUTED_VALUE"""),249.0)</f>
        <v>249</v>
      </c>
      <c r="AH570" s="48">
        <f>IFERROR(__xludf.DUMMYFUNCTION("""COMPUTED_VALUE"""),252.0)</f>
        <v>252</v>
      </c>
      <c r="AI570" s="14">
        <f>IFERROR(__xludf.DUMMYFUNCTION("""COMPUTED_VALUE"""),262.0)</f>
        <v>262</v>
      </c>
      <c r="AJ570" s="14">
        <f>IFERROR(__xludf.DUMMYFUNCTION("""COMPUTED_VALUE"""),5.35)</f>
        <v>5.35</v>
      </c>
      <c r="AK570" s="14">
        <f>IFERROR(__xludf.DUMMYFUNCTION("""COMPUTED_VALUE"""),5.22)</f>
        <v>5.22</v>
      </c>
      <c r="AL570" s="14">
        <f>IFERROR(__xludf.DUMMYFUNCTION("""COMPUTED_VALUE"""),5.49)</f>
        <v>5.49</v>
      </c>
      <c r="AM570" s="14">
        <f>IFERROR(__xludf.DUMMYFUNCTION("""COMPUTED_VALUE"""),5.79)</f>
        <v>5.79</v>
      </c>
      <c r="AN570" s="14">
        <f>IFERROR(__xludf.DUMMYFUNCTION("""COMPUTED_VALUE"""),5.7)</f>
        <v>5.7</v>
      </c>
      <c r="AO570" s="14">
        <f>IFERROR(__xludf.DUMMYFUNCTION("""COMPUTED_VALUE"""),5.51)</f>
        <v>5.51</v>
      </c>
      <c r="AP570" s="14">
        <f>IFERROR(__xludf.DUMMYFUNCTION("""COMPUTED_VALUE"""),17.0)</f>
        <v>17</v>
      </c>
      <c r="AQ570" s="14">
        <f>IFERROR(__xludf.DUMMYFUNCTION("""COMPUTED_VALUE"""),25.0)</f>
        <v>25</v>
      </c>
      <c r="AR570" s="14">
        <f>IFERROR(__xludf.DUMMYFUNCTION("""COMPUTED_VALUE"""),7.0)</f>
        <v>7</v>
      </c>
      <c r="AS570" s="14">
        <f>IFERROR(__xludf.DUMMYFUNCTION("""COMPUTED_VALUE"""),2.6)</f>
        <v>2.6</v>
      </c>
      <c r="AT570" s="14">
        <f>IFERROR(__xludf.DUMMYFUNCTION("""COMPUTED_VALUE"""),0.07)</f>
        <v>0.07</v>
      </c>
      <c r="AU570" s="14">
        <f>IFERROR(__xludf.DUMMYFUNCTION("""COMPUTED_VALUE"""),191800.0)</f>
        <v>191800</v>
      </c>
      <c r="AV570" s="14">
        <f>IFERROR(__xludf.DUMMYFUNCTION("""COMPUTED_VALUE"""),2.53)</f>
        <v>2.53</v>
      </c>
      <c r="AW570" s="14">
        <f>IFERROR(__xludf.DUMMYFUNCTION("""COMPUTED_VALUE"""),9.0)</f>
        <v>9</v>
      </c>
      <c r="AX570" s="14">
        <f>IFERROR(__xludf.DUMMYFUNCTION("""COMPUTED_VALUE"""),82000.0)</f>
        <v>82000</v>
      </c>
      <c r="AY570" s="14">
        <f>IFERROR(__xludf.DUMMYFUNCTION("""COMPUTED_VALUE"""),2.3)</f>
        <v>2.3</v>
      </c>
      <c r="AZ570" s="14">
        <f>IFERROR(__xludf.DUMMYFUNCTION("""COMPUTED_VALUE"""),0.042)</f>
        <v>0.042</v>
      </c>
      <c r="BA570" s="14">
        <f t="shared" si="1"/>
        <v>11.342</v>
      </c>
    </row>
    <row r="571" ht="14.25" customHeight="1">
      <c r="A571" s="10" t="str">
        <f>IFERROR(__xludf.DUMMYFUNCTION("""COMPUTED_VALUE"""),"221221SA03")</f>
        <v>221221SA03</v>
      </c>
      <c r="B571" s="12" t="str">
        <f>IFERROR(__xludf.DUMMYFUNCTION("""COMPUTED_VALUE"""),"CON-Bella Suiza")</f>
        <v>CON-Bella Suiza</v>
      </c>
      <c r="C571" s="12"/>
      <c r="D571" s="12"/>
      <c r="E571" s="44">
        <f>IFERROR(__xludf.DUMMYFUNCTION("""COMPUTED_VALUE"""),44552.0)</f>
        <v>44552</v>
      </c>
      <c r="F571" s="12" t="str">
        <f>IFERROR(__xludf.DUMMYFUNCTION("""COMPUTED_VALUE"""),"TIPO I")</f>
        <v>TIPO I</v>
      </c>
      <c r="G571" s="12" t="str">
        <f>IFERROR(__xludf.DUMMYFUNCTION("""COMPUTED_VALUE"""),"No se observa color ni se perciben olores ofensivos. 
Altura: 2576 msnm")</f>
        <v>No se observa color ni se perciben olores ofensivos. 
Altura: 2576 msnm</v>
      </c>
      <c r="H571" s="45">
        <f>IFERROR(__xludf.DUMMYFUNCTION("""COMPUTED_VALUE"""),0.6666666666678793)</f>
        <v>0.6666666667</v>
      </c>
      <c r="I571" s="45">
        <f>IFERROR(__xludf.DUMMYFUNCTION("""COMPUTED_VALUE"""),0.75)</f>
        <v>0.75</v>
      </c>
      <c r="J571" s="12">
        <f>IFERROR(__xludf.DUMMYFUNCTION("""COMPUTED_VALUE"""),1.2)</f>
        <v>1.2</v>
      </c>
      <c r="K571" s="12">
        <f>IFERROR(__xludf.DUMMYFUNCTION("""COMPUTED_VALUE"""),0.07)</f>
        <v>0.07</v>
      </c>
      <c r="L571" s="14">
        <f>IFERROR(__xludf.DUMMYFUNCTION("""COMPUTED_VALUE"""),12.429)</f>
        <v>12.429</v>
      </c>
      <c r="M571" s="14">
        <f>IFERROR(__xludf.DUMMYFUNCTION("""COMPUTED_VALUE"""),12.515)</f>
        <v>12.515</v>
      </c>
      <c r="N571" s="14">
        <f>IFERROR(__xludf.DUMMYFUNCTION("""COMPUTED_VALUE"""),12.508)</f>
        <v>12.508</v>
      </c>
      <c r="O571" s="14">
        <f>IFERROR(__xludf.DUMMYFUNCTION("""COMPUTED_VALUE"""),12.477)</f>
        <v>12.477</v>
      </c>
      <c r="P571" s="14">
        <f>IFERROR(__xludf.DUMMYFUNCTION("""COMPUTED_VALUE"""),12.391)</f>
        <v>12.391</v>
      </c>
      <c r="Q571" s="14">
        <f>IFERROR(__xludf.DUMMYFUNCTION("""COMPUTED_VALUE"""),12.464)</f>
        <v>12.464</v>
      </c>
      <c r="R571" s="48">
        <f>IFERROR(__xludf.DUMMYFUNCTION("""COMPUTED_VALUE"""),6.7)</f>
        <v>6.7</v>
      </c>
      <c r="S571" s="48">
        <f>IFERROR(__xludf.DUMMYFUNCTION("""COMPUTED_VALUE"""),6.45)</f>
        <v>6.45</v>
      </c>
      <c r="T571" s="48">
        <f>IFERROR(__xludf.DUMMYFUNCTION("""COMPUTED_VALUE"""),6.55)</f>
        <v>6.55</v>
      </c>
      <c r="U571" s="48">
        <f>IFERROR(__xludf.DUMMYFUNCTION("""COMPUTED_VALUE"""),6.82)</f>
        <v>6.82</v>
      </c>
      <c r="V571" s="48">
        <f>IFERROR(__xludf.DUMMYFUNCTION("""COMPUTED_VALUE"""),6.66)</f>
        <v>6.66</v>
      </c>
      <c r="W571" s="14">
        <f>IFERROR(__xludf.DUMMYFUNCTION("""COMPUTED_VALUE"""),6.636)</f>
        <v>6.636</v>
      </c>
      <c r="X571" s="14">
        <f>IFERROR(__xludf.DUMMYFUNCTION("""COMPUTED_VALUE"""),14.5)</f>
        <v>14.5</v>
      </c>
      <c r="Y571" s="14">
        <f>IFERROR(__xludf.DUMMYFUNCTION("""COMPUTED_VALUE"""),14.4)</f>
        <v>14.4</v>
      </c>
      <c r="Z571" s="14">
        <f>IFERROR(__xludf.DUMMYFUNCTION("""COMPUTED_VALUE"""),14.4)</f>
        <v>14.4</v>
      </c>
      <c r="AA571" s="14">
        <f>IFERROR(__xludf.DUMMYFUNCTION("""COMPUTED_VALUE"""),14.5)</f>
        <v>14.5</v>
      </c>
      <c r="AB571" s="14">
        <f>IFERROR(__xludf.DUMMYFUNCTION("""COMPUTED_VALUE"""),14.4)</f>
        <v>14.4</v>
      </c>
      <c r="AC571" s="14">
        <f>IFERROR(__xludf.DUMMYFUNCTION("""COMPUTED_VALUE"""),14.440000000000001)</f>
        <v>14.44</v>
      </c>
      <c r="AD571" s="48">
        <f>IFERROR(__xludf.DUMMYFUNCTION("""COMPUTED_VALUE"""),230.0)</f>
        <v>230</v>
      </c>
      <c r="AE571" s="48">
        <f>IFERROR(__xludf.DUMMYFUNCTION("""COMPUTED_VALUE"""),219.0)</f>
        <v>219</v>
      </c>
      <c r="AF571" s="48">
        <f>IFERROR(__xludf.DUMMYFUNCTION("""COMPUTED_VALUE"""),226.0)</f>
        <v>226</v>
      </c>
      <c r="AG571" s="48">
        <f>IFERROR(__xludf.DUMMYFUNCTION("""COMPUTED_VALUE"""),215.0)</f>
        <v>215</v>
      </c>
      <c r="AH571" s="48">
        <f>IFERROR(__xludf.DUMMYFUNCTION("""COMPUTED_VALUE"""),202.0)</f>
        <v>202</v>
      </c>
      <c r="AI571" s="14">
        <f>IFERROR(__xludf.DUMMYFUNCTION("""COMPUTED_VALUE"""),218.4)</f>
        <v>218.4</v>
      </c>
      <c r="AJ571" s="14">
        <f>IFERROR(__xludf.DUMMYFUNCTION("""COMPUTED_VALUE"""),4.11)</f>
        <v>4.11</v>
      </c>
      <c r="AK571" s="14">
        <f>IFERROR(__xludf.DUMMYFUNCTION("""COMPUTED_VALUE"""),3.7)</f>
        <v>3.7</v>
      </c>
      <c r="AL571" s="14">
        <f>IFERROR(__xludf.DUMMYFUNCTION("""COMPUTED_VALUE"""),4.02)</f>
        <v>4.02</v>
      </c>
      <c r="AM571" s="14">
        <f>IFERROR(__xludf.DUMMYFUNCTION("""COMPUTED_VALUE"""),3.95)</f>
        <v>3.95</v>
      </c>
      <c r="AN571" s="14">
        <f>IFERROR(__xludf.DUMMYFUNCTION("""COMPUTED_VALUE"""),3.8)</f>
        <v>3.8</v>
      </c>
      <c r="AO571" s="14">
        <f>IFERROR(__xludf.DUMMYFUNCTION("""COMPUTED_VALUE"""),3.9160000000000004)</f>
        <v>3.916</v>
      </c>
      <c r="AP571" s="14">
        <f>IFERROR(__xludf.DUMMYFUNCTION("""COMPUTED_VALUE"""),8.0)</f>
        <v>8</v>
      </c>
      <c r="AQ571" s="14">
        <f>IFERROR(__xludf.DUMMYFUNCTION("""COMPUTED_VALUE"""),24.0)</f>
        <v>24</v>
      </c>
      <c r="AR571" s="14">
        <f>IFERROR(__xludf.DUMMYFUNCTION("""COMPUTED_VALUE"""),10.0)</f>
        <v>10</v>
      </c>
      <c r="AS571" s="14">
        <f>IFERROR(__xludf.DUMMYFUNCTION("""COMPUTED_VALUE"""),1.2)</f>
        <v>1.2</v>
      </c>
      <c r="AT571" s="14">
        <f>IFERROR(__xludf.DUMMYFUNCTION("""COMPUTED_VALUE"""),0.07)</f>
        <v>0.07</v>
      </c>
      <c r="AU571" s="14">
        <f>IFERROR(__xludf.DUMMYFUNCTION("""COMPUTED_VALUE"""),1.317E7)</f>
        <v>13170000</v>
      </c>
      <c r="AV571" s="14">
        <f>IFERROR(__xludf.DUMMYFUNCTION("""COMPUTED_VALUE"""),0.19)</f>
        <v>0.19</v>
      </c>
      <c r="AW571" s="14">
        <f>IFERROR(__xludf.DUMMYFUNCTION("""COMPUTED_VALUE"""),2.2)</f>
        <v>2.2</v>
      </c>
      <c r="AX571" s="14">
        <f>IFERROR(__xludf.DUMMYFUNCTION("""COMPUTED_VALUE"""),1134000.0)</f>
        <v>1134000</v>
      </c>
      <c r="AY571" s="14">
        <f>IFERROR(__xludf.DUMMYFUNCTION("""COMPUTED_VALUE"""),5.1)</f>
        <v>5.1</v>
      </c>
      <c r="AZ571" s="14">
        <f>IFERROR(__xludf.DUMMYFUNCTION("""COMPUTED_VALUE"""),0.007)</f>
        <v>0.007</v>
      </c>
      <c r="BA571" s="14">
        <f t="shared" si="1"/>
        <v>7.307</v>
      </c>
    </row>
    <row r="572" ht="14.25" customHeight="1">
      <c r="A572" s="10" t="str">
        <f>IFERROR(__xludf.DUMMYFUNCTION("""COMPUTED_VALUE"""),"291221JM03")</f>
        <v>291221JM03</v>
      </c>
      <c r="B572" s="12" t="str">
        <f>IFERROR(__xludf.DUMMYFUNCTION("""COMPUTED_VALUE"""),"CMO-Pepe Sierra")</f>
        <v>CMO-Pepe Sierra</v>
      </c>
      <c r="C572" s="12"/>
      <c r="D572" s="12"/>
      <c r="E572" s="44">
        <f>IFERROR(__xludf.DUMMYFUNCTION("""COMPUTED_VALUE"""),44559.0)</f>
        <v>44559</v>
      </c>
      <c r="F572" s="12" t="str">
        <f>IFERROR(__xludf.DUMMYFUNCTION("""COMPUTED_VALUE"""),"TIPO I")</f>
        <v>TIPO I</v>
      </c>
      <c r="G572" s="12" t="str">
        <f>IFERROR(__xludf.DUMMYFUNCTION("""COMPUTED_VALUE"""),"Se perciben olores ofensivos, se observa color aparente y material flotante.")</f>
        <v>Se perciben olores ofensivos, se observa color aparente y material flotante.</v>
      </c>
      <c r="H572" s="45">
        <f>IFERROR(__xludf.DUMMYFUNCTION("""COMPUTED_VALUE"""),0.5833333333321207)</f>
        <v>0.5833333333</v>
      </c>
      <c r="I572" s="45">
        <f>IFERROR(__xludf.DUMMYFUNCTION("""COMPUTED_VALUE"""),0.6666666666678793)</f>
        <v>0.6666666667</v>
      </c>
      <c r="J572" s="12">
        <f>IFERROR(__xludf.DUMMYFUNCTION("""COMPUTED_VALUE"""),6.6)</f>
        <v>6.6</v>
      </c>
      <c r="K572" s="12">
        <f>IFERROR(__xludf.DUMMYFUNCTION("""COMPUTED_VALUE"""),0.13)</f>
        <v>0.13</v>
      </c>
      <c r="L572" s="14">
        <f>IFERROR(__xludf.DUMMYFUNCTION("""COMPUTED_VALUE"""),115.832)</f>
        <v>115.832</v>
      </c>
      <c r="M572" s="14">
        <f>IFERROR(__xludf.DUMMYFUNCTION("""COMPUTED_VALUE"""),115.567)</f>
        <v>115.567</v>
      </c>
      <c r="N572" s="14">
        <f>IFERROR(__xludf.DUMMYFUNCTION("""COMPUTED_VALUE"""),115.372)</f>
        <v>115.372</v>
      </c>
      <c r="O572" s="14">
        <f>IFERROR(__xludf.DUMMYFUNCTION("""COMPUTED_VALUE"""),115.386)</f>
        <v>115.386</v>
      </c>
      <c r="P572" s="14">
        <f>IFERROR(__xludf.DUMMYFUNCTION("""COMPUTED_VALUE"""),114.982)</f>
        <v>114.982</v>
      </c>
      <c r="Q572" s="14">
        <f>IFERROR(__xludf.DUMMYFUNCTION("""COMPUTED_VALUE"""),115.428)</f>
        <v>115.428</v>
      </c>
      <c r="R572" s="48">
        <f>IFERROR(__xludf.DUMMYFUNCTION("""COMPUTED_VALUE"""),7.1)</f>
        <v>7.1</v>
      </c>
      <c r="S572" s="48">
        <f>IFERROR(__xludf.DUMMYFUNCTION("""COMPUTED_VALUE"""),7.12)</f>
        <v>7.12</v>
      </c>
      <c r="T572" s="48">
        <f>IFERROR(__xludf.DUMMYFUNCTION("""COMPUTED_VALUE"""),7.11)</f>
        <v>7.11</v>
      </c>
      <c r="U572" s="48">
        <f>IFERROR(__xludf.DUMMYFUNCTION("""COMPUTED_VALUE"""),7.11)</f>
        <v>7.11</v>
      </c>
      <c r="V572" s="48">
        <f>IFERROR(__xludf.DUMMYFUNCTION("""COMPUTED_VALUE"""),7.11)</f>
        <v>7.11</v>
      </c>
      <c r="W572" s="14">
        <f>IFERROR(__xludf.DUMMYFUNCTION("""COMPUTED_VALUE"""),7.109999999999999)</f>
        <v>7.11</v>
      </c>
      <c r="X572" s="14">
        <f>IFERROR(__xludf.DUMMYFUNCTION("""COMPUTED_VALUE"""),18.8)</f>
        <v>18.8</v>
      </c>
      <c r="Y572" s="14">
        <f>IFERROR(__xludf.DUMMYFUNCTION("""COMPUTED_VALUE"""),18.7)</f>
        <v>18.7</v>
      </c>
      <c r="Z572" s="14">
        <f>IFERROR(__xludf.DUMMYFUNCTION("""COMPUTED_VALUE"""),18.8)</f>
        <v>18.8</v>
      </c>
      <c r="AA572" s="14">
        <f>IFERROR(__xludf.DUMMYFUNCTION("""COMPUTED_VALUE"""),18.9)</f>
        <v>18.9</v>
      </c>
      <c r="AB572" s="14">
        <f>IFERROR(__xludf.DUMMYFUNCTION("""COMPUTED_VALUE"""),18.7)</f>
        <v>18.7</v>
      </c>
      <c r="AC572" s="14">
        <f>IFERROR(__xludf.DUMMYFUNCTION("""COMPUTED_VALUE"""),18.779999999999998)</f>
        <v>18.78</v>
      </c>
      <c r="AD572" s="48">
        <f>IFERROR(__xludf.DUMMYFUNCTION("""COMPUTED_VALUE"""),360.0)</f>
        <v>360</v>
      </c>
      <c r="AE572" s="48">
        <f>IFERROR(__xludf.DUMMYFUNCTION("""COMPUTED_VALUE"""),354.0)</f>
        <v>354</v>
      </c>
      <c r="AF572" s="48">
        <f>IFERROR(__xludf.DUMMYFUNCTION("""COMPUTED_VALUE"""),357.0)</f>
        <v>357</v>
      </c>
      <c r="AG572" s="48">
        <f>IFERROR(__xludf.DUMMYFUNCTION("""COMPUTED_VALUE"""),363.0)</f>
        <v>363</v>
      </c>
      <c r="AH572" s="48">
        <f>IFERROR(__xludf.DUMMYFUNCTION("""COMPUTED_VALUE"""),362.0)</f>
        <v>362</v>
      </c>
      <c r="AI572" s="14">
        <f>IFERROR(__xludf.DUMMYFUNCTION("""COMPUTED_VALUE"""),359.2)</f>
        <v>359.2</v>
      </c>
      <c r="AJ572" s="14">
        <f>IFERROR(__xludf.DUMMYFUNCTION("""COMPUTED_VALUE"""),0.88)</f>
        <v>0.88</v>
      </c>
      <c r="AK572" s="14">
        <f>IFERROR(__xludf.DUMMYFUNCTION("""COMPUTED_VALUE"""),0.43)</f>
        <v>0.43</v>
      </c>
      <c r="AL572" s="14">
        <f>IFERROR(__xludf.DUMMYFUNCTION("""COMPUTED_VALUE"""),0.61)</f>
        <v>0.61</v>
      </c>
      <c r="AM572" s="14">
        <f>IFERROR(__xludf.DUMMYFUNCTION("""COMPUTED_VALUE"""),0.52)</f>
        <v>0.52</v>
      </c>
      <c r="AN572" s="14">
        <f>IFERROR(__xludf.DUMMYFUNCTION("""COMPUTED_VALUE"""),0.49)</f>
        <v>0.49</v>
      </c>
      <c r="AO572" s="14">
        <f>IFERROR(__xludf.DUMMYFUNCTION("""COMPUTED_VALUE"""),0.586)</f>
        <v>0.586</v>
      </c>
      <c r="AP572" s="14">
        <f>IFERROR(__xludf.DUMMYFUNCTION("""COMPUTED_VALUE"""),24.0)</f>
        <v>24</v>
      </c>
      <c r="AQ572" s="14">
        <f>IFERROR(__xludf.DUMMYFUNCTION("""COMPUTED_VALUE"""),41.0)</f>
        <v>41</v>
      </c>
      <c r="AR572" s="14">
        <f>IFERROR(__xludf.DUMMYFUNCTION("""COMPUTED_VALUE"""),9.0)</f>
        <v>9</v>
      </c>
      <c r="AS572" s="14">
        <f>IFERROR(__xludf.DUMMYFUNCTION("""COMPUTED_VALUE"""),3.3)</f>
        <v>3.3</v>
      </c>
      <c r="AT572" s="14">
        <f>IFERROR(__xludf.DUMMYFUNCTION("""COMPUTED_VALUE"""),0.22)</f>
        <v>0.22</v>
      </c>
      <c r="AU572" s="14">
        <f>IFERROR(__xludf.DUMMYFUNCTION("""COMPUTED_VALUE"""),886000.0)</f>
        <v>886000</v>
      </c>
      <c r="AV572" s="14">
        <f>IFERROR(__xludf.DUMMYFUNCTION("""COMPUTED_VALUE"""),2.81)</f>
        <v>2.81</v>
      </c>
      <c r="AW572" s="14">
        <f>IFERROR(__xludf.DUMMYFUNCTION("""COMPUTED_VALUE"""),14.6)</f>
        <v>14.6</v>
      </c>
      <c r="AX572" s="14">
        <f>IFERROR(__xludf.DUMMYFUNCTION("""COMPUTED_VALUE"""),62700.0)</f>
        <v>62700</v>
      </c>
      <c r="AY572" s="14">
        <f>IFERROR(__xludf.DUMMYFUNCTION("""COMPUTED_VALUE"""),0.6)</f>
        <v>0.6</v>
      </c>
      <c r="AZ572" s="14">
        <f>IFERROR(__xludf.DUMMYFUNCTION("""COMPUTED_VALUE"""),0.007)</f>
        <v>0.007</v>
      </c>
      <c r="BA572" s="14">
        <f t="shared" si="1"/>
        <v>15.207</v>
      </c>
    </row>
    <row r="573" ht="14.25" customHeight="1">
      <c r="A573" s="10" t="str">
        <f>IFERROR(__xludf.DUMMYFUNCTION("""COMPUTED_VALUE"""),"270122WI02")</f>
        <v>270122WI02</v>
      </c>
      <c r="B573" s="12" t="str">
        <f>IFERROR(__xludf.DUMMYFUNCTION("""COMPUTED_VALUE"""),"QSL-Portal Usme")</f>
        <v>QSL-Portal Usme</v>
      </c>
      <c r="C573" s="12"/>
      <c r="D573" s="12"/>
      <c r="E573" s="44">
        <f>IFERROR(__xludf.DUMMYFUNCTION("""COMPUTED_VALUE"""),44588.0)</f>
        <v>44588</v>
      </c>
      <c r="F573" s="12" t="str">
        <f>IFERROR(__xludf.DUMMYFUNCTION("""COMPUTED_VALUE"""),"TIPO I")</f>
        <v>TIPO I</v>
      </c>
      <c r="G573" s="12" t="str">
        <f>IFERROR(__xludf.DUMMYFUNCTION("""COMPUTED_VALUE"""),"Se percibe olor y se observa color aparente , la vegetación en ladera es herbácea, arbustiva ")</f>
        <v>Se percibe olor y se observa color aparente , la vegetación en ladera es herbácea, arbustiva </v>
      </c>
      <c r="H573" s="45">
        <f>IFERROR(__xludf.DUMMYFUNCTION("""COMPUTED_VALUE"""),0.5)</f>
        <v>0.5</v>
      </c>
      <c r="I573" s="45">
        <f>IFERROR(__xludf.DUMMYFUNCTION("""COMPUTED_VALUE"""),0.5833333333321207)</f>
        <v>0.5833333333</v>
      </c>
      <c r="J573" s="12">
        <f>IFERROR(__xludf.DUMMYFUNCTION("""COMPUTED_VALUE"""),1.56)</f>
        <v>1.56</v>
      </c>
      <c r="K573" s="12">
        <f>IFERROR(__xludf.DUMMYFUNCTION("""COMPUTED_VALUE"""),0.15)</f>
        <v>0.15</v>
      </c>
      <c r="L573" s="14">
        <f>IFERROR(__xludf.DUMMYFUNCTION("""COMPUTED_VALUE"""),83.921)</f>
        <v>83.921</v>
      </c>
      <c r="M573" s="14">
        <f>IFERROR(__xludf.DUMMYFUNCTION("""COMPUTED_VALUE"""),85.905)</f>
        <v>85.905</v>
      </c>
      <c r="N573" s="14">
        <f>IFERROR(__xludf.DUMMYFUNCTION("""COMPUTED_VALUE"""),88.842)</f>
        <v>88.842</v>
      </c>
      <c r="O573" s="14">
        <f>IFERROR(__xludf.DUMMYFUNCTION("""COMPUTED_VALUE"""),89.358)</f>
        <v>89.358</v>
      </c>
      <c r="P573" s="14">
        <f>IFERROR(__xludf.DUMMYFUNCTION("""COMPUTED_VALUE"""),90.723)</f>
        <v>90.723</v>
      </c>
      <c r="Q573" s="14">
        <f>IFERROR(__xludf.DUMMYFUNCTION("""COMPUTED_VALUE"""),87.75)</f>
        <v>87.75</v>
      </c>
      <c r="R573" s="48">
        <f>IFERROR(__xludf.DUMMYFUNCTION("""COMPUTED_VALUE"""),7.21)</f>
        <v>7.21</v>
      </c>
      <c r="S573" s="48">
        <f>IFERROR(__xludf.DUMMYFUNCTION("""COMPUTED_VALUE"""),7.06)</f>
        <v>7.06</v>
      </c>
      <c r="T573" s="48">
        <f>IFERROR(__xludf.DUMMYFUNCTION("""COMPUTED_VALUE"""),7.07)</f>
        <v>7.07</v>
      </c>
      <c r="U573" s="48">
        <f>IFERROR(__xludf.DUMMYFUNCTION("""COMPUTED_VALUE"""),6.98)</f>
        <v>6.98</v>
      </c>
      <c r="V573" s="48">
        <f>IFERROR(__xludf.DUMMYFUNCTION("""COMPUTED_VALUE"""),6.94)</f>
        <v>6.94</v>
      </c>
      <c r="W573" s="14">
        <f>IFERROR(__xludf.DUMMYFUNCTION("""COMPUTED_VALUE"""),7.052)</f>
        <v>7.052</v>
      </c>
      <c r="X573" s="14">
        <f>IFERROR(__xludf.DUMMYFUNCTION("""COMPUTED_VALUE"""),17.4)</f>
        <v>17.4</v>
      </c>
      <c r="Y573" s="14">
        <f>IFERROR(__xludf.DUMMYFUNCTION("""COMPUTED_VALUE"""),16.7)</f>
        <v>16.7</v>
      </c>
      <c r="Z573" s="14">
        <f>IFERROR(__xludf.DUMMYFUNCTION("""COMPUTED_VALUE"""),17.0)</f>
        <v>17</v>
      </c>
      <c r="AA573" s="14">
        <f>IFERROR(__xludf.DUMMYFUNCTION("""COMPUTED_VALUE"""),17.3)</f>
        <v>17.3</v>
      </c>
      <c r="AB573" s="14">
        <f>IFERROR(__xludf.DUMMYFUNCTION("""COMPUTED_VALUE"""),17.1)</f>
        <v>17.1</v>
      </c>
      <c r="AC573" s="14">
        <f>IFERROR(__xludf.DUMMYFUNCTION("""COMPUTED_VALUE"""),17.1)</f>
        <v>17.1</v>
      </c>
      <c r="AD573" s="48">
        <f>IFERROR(__xludf.DUMMYFUNCTION("""COMPUTED_VALUE"""),458.0)</f>
        <v>458</v>
      </c>
      <c r="AE573" s="48">
        <f>IFERROR(__xludf.DUMMYFUNCTION("""COMPUTED_VALUE"""),437.0)</f>
        <v>437</v>
      </c>
      <c r="AF573" s="48">
        <f>IFERROR(__xludf.DUMMYFUNCTION("""COMPUTED_VALUE"""),436.0)</f>
        <v>436</v>
      </c>
      <c r="AG573" s="48">
        <f>IFERROR(__xludf.DUMMYFUNCTION("""COMPUTED_VALUE"""),440.0)</f>
        <v>440</v>
      </c>
      <c r="AH573" s="48">
        <f>IFERROR(__xludf.DUMMYFUNCTION("""COMPUTED_VALUE"""),439.0)</f>
        <v>439</v>
      </c>
      <c r="AI573" s="14">
        <f>IFERROR(__xludf.DUMMYFUNCTION("""COMPUTED_VALUE"""),442.0)</f>
        <v>442</v>
      </c>
      <c r="AJ573" s="14">
        <f>IFERROR(__xludf.DUMMYFUNCTION("""COMPUTED_VALUE"""),1.85)</f>
        <v>1.85</v>
      </c>
      <c r="AK573" s="14">
        <f>IFERROR(__xludf.DUMMYFUNCTION("""COMPUTED_VALUE"""),1.11)</f>
        <v>1.11</v>
      </c>
      <c r="AL573" s="14">
        <f>IFERROR(__xludf.DUMMYFUNCTION("""COMPUTED_VALUE"""),1.53)</f>
        <v>1.53</v>
      </c>
      <c r="AM573" s="14">
        <f>IFERROR(__xludf.DUMMYFUNCTION("""COMPUTED_VALUE"""),0.95)</f>
        <v>0.95</v>
      </c>
      <c r="AN573" s="14">
        <f>IFERROR(__xludf.DUMMYFUNCTION("""COMPUTED_VALUE"""),1.12)</f>
        <v>1.12</v>
      </c>
      <c r="AO573" s="14">
        <f>IFERROR(__xludf.DUMMYFUNCTION("""COMPUTED_VALUE"""),1.312)</f>
        <v>1.312</v>
      </c>
      <c r="AP573" s="14">
        <f>IFERROR(__xludf.DUMMYFUNCTION("""COMPUTED_VALUE"""),33.0)</f>
        <v>33</v>
      </c>
      <c r="AQ573" s="14">
        <f>IFERROR(__xludf.DUMMYFUNCTION("""COMPUTED_VALUE"""),83.0)</f>
        <v>83</v>
      </c>
      <c r="AR573" s="14">
        <f>IFERROR(__xludf.DUMMYFUNCTION("""COMPUTED_VALUE"""),56.0)</f>
        <v>56</v>
      </c>
      <c r="AS573" s="14">
        <f>IFERROR(__xludf.DUMMYFUNCTION("""COMPUTED_VALUE"""),13.0)</f>
        <v>13</v>
      </c>
      <c r="AT573" s="14">
        <f>IFERROR(__xludf.DUMMYFUNCTION("""COMPUTED_VALUE"""),2.21)</f>
        <v>2.21</v>
      </c>
      <c r="AU573" s="14">
        <f>IFERROR(__xludf.DUMMYFUNCTION("""COMPUTED_VALUE"""),2.035E7)</f>
        <v>20350000</v>
      </c>
      <c r="AV573" s="14">
        <f>IFERROR(__xludf.DUMMYFUNCTION("""COMPUTED_VALUE"""),1.54)</f>
        <v>1.54</v>
      </c>
      <c r="AW573" s="14">
        <f>IFERROR(__xludf.DUMMYFUNCTION("""COMPUTED_VALUE"""),12.3)</f>
        <v>12.3</v>
      </c>
      <c r="AX573" s="14">
        <f>IFERROR(__xludf.DUMMYFUNCTION("""COMPUTED_VALUE"""),1063000.0)</f>
        <v>1063000</v>
      </c>
      <c r="AY573" s="14">
        <f>IFERROR(__xludf.DUMMYFUNCTION("""COMPUTED_VALUE"""),1.0)</f>
        <v>1</v>
      </c>
      <c r="AZ573" s="14">
        <f>IFERROR(__xludf.DUMMYFUNCTION("""COMPUTED_VALUE"""),0.007)</f>
        <v>0.007</v>
      </c>
      <c r="BA573" s="14">
        <f t="shared" si="1"/>
        <v>13.307</v>
      </c>
    </row>
    <row r="574" ht="14.25" customHeight="1">
      <c r="A574" s="10" t="str">
        <f>IFERROR(__xludf.DUMMYFUNCTION("""COMPUTED_VALUE"""),"270122MP03")</f>
        <v>270122MP03</v>
      </c>
      <c r="B574" s="12" t="str">
        <f>IFERROR(__xludf.DUMMYFUNCTION("""COMPUTED_VALUE"""),"CON-Callejas")</f>
        <v>CON-Callejas</v>
      </c>
      <c r="C574" s="12"/>
      <c r="D574" s="12"/>
      <c r="E574" s="44">
        <f>IFERROR(__xludf.DUMMYFUNCTION("""COMPUTED_VALUE"""),44588.0)</f>
        <v>44588</v>
      </c>
      <c r="F574" s="12" t="str">
        <f>IFERROR(__xludf.DUMMYFUNCTION("""COMPUTED_VALUE"""),"TIPO I")</f>
        <v>TIPO I</v>
      </c>
      <c r="G574" s="12" t="str">
        <f>IFERROR(__xludf.DUMMYFUNCTION("""COMPUTED_VALUE"""),"Se percibe olor y se observa color aparente")</f>
        <v>Se percibe olor y se observa color aparente</v>
      </c>
      <c r="H574" s="45">
        <f>IFERROR(__xludf.DUMMYFUNCTION("""COMPUTED_VALUE"""),0.6666666666678793)</f>
        <v>0.6666666667</v>
      </c>
      <c r="I574" s="45">
        <f>IFERROR(__xludf.DUMMYFUNCTION("""COMPUTED_VALUE"""),0.75)</f>
        <v>0.75</v>
      </c>
      <c r="J574" s="12">
        <f>IFERROR(__xludf.DUMMYFUNCTION("""COMPUTED_VALUE"""),1.3)</f>
        <v>1.3</v>
      </c>
      <c r="K574" s="12">
        <f>IFERROR(__xludf.DUMMYFUNCTION("""COMPUTED_VALUE"""),0.06)</f>
        <v>0.06</v>
      </c>
      <c r="L574" s="14">
        <f>IFERROR(__xludf.DUMMYFUNCTION("""COMPUTED_VALUE"""),6.893)</f>
        <v>6.893</v>
      </c>
      <c r="M574" s="14">
        <f>IFERROR(__xludf.DUMMYFUNCTION("""COMPUTED_VALUE"""),6.941)</f>
        <v>6.941</v>
      </c>
      <c r="N574" s="14">
        <f>IFERROR(__xludf.DUMMYFUNCTION("""COMPUTED_VALUE"""),6.457)</f>
        <v>6.457</v>
      </c>
      <c r="O574" s="14">
        <f>IFERROR(__xludf.DUMMYFUNCTION("""COMPUTED_VALUE"""),6.142)</f>
        <v>6.142</v>
      </c>
      <c r="P574" s="14">
        <f>IFERROR(__xludf.DUMMYFUNCTION("""COMPUTED_VALUE"""),5.782)</f>
        <v>5.782</v>
      </c>
      <c r="Q574" s="14">
        <f>IFERROR(__xludf.DUMMYFUNCTION("""COMPUTED_VALUE"""),6.443)</f>
        <v>6.443</v>
      </c>
      <c r="R574" s="48">
        <f>IFERROR(__xludf.DUMMYFUNCTION("""COMPUTED_VALUE"""),8.01)</f>
        <v>8.01</v>
      </c>
      <c r="S574" s="48">
        <f>IFERROR(__xludf.DUMMYFUNCTION("""COMPUTED_VALUE"""),8.08)</f>
        <v>8.08</v>
      </c>
      <c r="T574" s="48">
        <f>IFERROR(__xludf.DUMMYFUNCTION("""COMPUTED_VALUE"""),7.54)</f>
        <v>7.54</v>
      </c>
      <c r="U574" s="48">
        <f>IFERROR(__xludf.DUMMYFUNCTION("""COMPUTED_VALUE"""),8.14)</f>
        <v>8.14</v>
      </c>
      <c r="V574" s="48">
        <f>IFERROR(__xludf.DUMMYFUNCTION("""COMPUTED_VALUE"""),8.03)</f>
        <v>8.03</v>
      </c>
      <c r="W574" s="14">
        <f>IFERROR(__xludf.DUMMYFUNCTION("""COMPUTED_VALUE"""),7.959999999999999)</f>
        <v>7.96</v>
      </c>
      <c r="X574" s="14">
        <f>IFERROR(__xludf.DUMMYFUNCTION("""COMPUTED_VALUE"""),20.1)</f>
        <v>20.1</v>
      </c>
      <c r="Y574" s="14">
        <f>IFERROR(__xludf.DUMMYFUNCTION("""COMPUTED_VALUE"""),19.4)</f>
        <v>19.4</v>
      </c>
      <c r="Z574" s="14">
        <f>IFERROR(__xludf.DUMMYFUNCTION("""COMPUTED_VALUE"""),18.9)</f>
        <v>18.9</v>
      </c>
      <c r="AA574" s="14">
        <f>IFERROR(__xludf.DUMMYFUNCTION("""COMPUTED_VALUE"""),17.9)</f>
        <v>17.9</v>
      </c>
      <c r="AB574" s="14">
        <f>IFERROR(__xludf.DUMMYFUNCTION("""COMPUTED_VALUE"""),18.0)</f>
        <v>18</v>
      </c>
      <c r="AC574" s="14">
        <f>IFERROR(__xludf.DUMMYFUNCTION("""COMPUTED_VALUE"""),18.86)</f>
        <v>18.86</v>
      </c>
      <c r="AD574" s="48">
        <f>IFERROR(__xludf.DUMMYFUNCTION("""COMPUTED_VALUE"""),571.0)</f>
        <v>571</v>
      </c>
      <c r="AE574" s="48">
        <f>IFERROR(__xludf.DUMMYFUNCTION("""COMPUTED_VALUE"""),574.0)</f>
        <v>574</v>
      </c>
      <c r="AF574" s="48">
        <f>IFERROR(__xludf.DUMMYFUNCTION("""COMPUTED_VALUE"""),583.0)</f>
        <v>583</v>
      </c>
      <c r="AG574" s="48">
        <f>IFERROR(__xludf.DUMMYFUNCTION("""COMPUTED_VALUE"""),596.0)</f>
        <v>596</v>
      </c>
      <c r="AH574" s="48">
        <f>IFERROR(__xludf.DUMMYFUNCTION("""COMPUTED_VALUE"""),599.0)</f>
        <v>599</v>
      </c>
      <c r="AI574" s="14">
        <f>IFERROR(__xludf.DUMMYFUNCTION("""COMPUTED_VALUE"""),584.6)</f>
        <v>584.6</v>
      </c>
      <c r="AJ574" s="14">
        <f>IFERROR(__xludf.DUMMYFUNCTION("""COMPUTED_VALUE"""),3.16)</f>
        <v>3.16</v>
      </c>
      <c r="AK574" s="14">
        <f>IFERROR(__xludf.DUMMYFUNCTION("""COMPUTED_VALUE"""),2.97)</f>
        <v>2.97</v>
      </c>
      <c r="AL574" s="14">
        <f>IFERROR(__xludf.DUMMYFUNCTION("""COMPUTED_VALUE"""),2.49)</f>
        <v>2.49</v>
      </c>
      <c r="AM574" s="14">
        <f>IFERROR(__xludf.DUMMYFUNCTION("""COMPUTED_VALUE"""),2.88)</f>
        <v>2.88</v>
      </c>
      <c r="AN574" s="14">
        <f>IFERROR(__xludf.DUMMYFUNCTION("""COMPUTED_VALUE"""),2.35)</f>
        <v>2.35</v>
      </c>
      <c r="AO574" s="14">
        <f>IFERROR(__xludf.DUMMYFUNCTION("""COMPUTED_VALUE"""),2.77)</f>
        <v>2.77</v>
      </c>
      <c r="AP574" s="14">
        <f>IFERROR(__xludf.DUMMYFUNCTION("""COMPUTED_VALUE"""),90.0)</f>
        <v>90</v>
      </c>
      <c r="AQ574" s="14">
        <f>IFERROR(__xludf.DUMMYFUNCTION("""COMPUTED_VALUE"""),128.0)</f>
        <v>128</v>
      </c>
      <c r="AR574" s="14">
        <f>IFERROR(__xludf.DUMMYFUNCTION("""COMPUTED_VALUE"""),102.0)</f>
        <v>102</v>
      </c>
      <c r="AS574" s="14">
        <f>IFERROR(__xludf.DUMMYFUNCTION("""COMPUTED_VALUE"""),15.0)</f>
        <v>15</v>
      </c>
      <c r="AT574" s="14">
        <f>IFERROR(__xludf.DUMMYFUNCTION("""COMPUTED_VALUE"""),5.02)</f>
        <v>5.02</v>
      </c>
      <c r="AU574" s="14">
        <f>IFERROR(__xludf.DUMMYFUNCTION("""COMPUTED_VALUE"""),8.91E7)</f>
        <v>89100000</v>
      </c>
      <c r="AV574" s="14">
        <f>IFERROR(__xludf.DUMMYFUNCTION("""COMPUTED_VALUE"""),2.42)</f>
        <v>2.42</v>
      </c>
      <c r="AW574" s="14">
        <f>IFERROR(__xludf.DUMMYFUNCTION("""COMPUTED_VALUE"""),17.1)</f>
        <v>17.1</v>
      </c>
      <c r="AX574" s="14">
        <f>IFERROR(__xludf.DUMMYFUNCTION("""COMPUTED_VALUE"""),1058000.0)</f>
        <v>1058000</v>
      </c>
      <c r="AY574" s="14">
        <f>IFERROR(__xludf.DUMMYFUNCTION("""COMPUTED_VALUE"""),0.8)</f>
        <v>0.8</v>
      </c>
      <c r="AZ574" s="14">
        <f>IFERROR(__xludf.DUMMYFUNCTION("""COMPUTED_VALUE"""),0.007)</f>
        <v>0.007</v>
      </c>
      <c r="BA574" s="14">
        <f t="shared" si="1"/>
        <v>17.907</v>
      </c>
    </row>
    <row r="575" ht="14.25" customHeight="1">
      <c r="A575" s="10" t="str">
        <f>IFERROR(__xludf.DUMMYFUNCTION("""COMPUTED_VALUE"""),"270122MP02")</f>
        <v>270122MP02</v>
      </c>
      <c r="B575" s="12" t="str">
        <f>IFERROR(__xludf.DUMMYFUNCTION("""COMPUTED_VALUE"""),"CON-Camino del Contador")</f>
        <v>CON-Camino del Contador</v>
      </c>
      <c r="C575" s="12"/>
      <c r="D575" s="12"/>
      <c r="E575" s="44">
        <f>IFERROR(__xludf.DUMMYFUNCTION("""COMPUTED_VALUE"""),44588.0)</f>
        <v>44588</v>
      </c>
      <c r="F575" s="12" t="str">
        <f>IFERROR(__xludf.DUMMYFUNCTION("""COMPUTED_VALUE"""),"TIPO I")</f>
        <v>TIPO I</v>
      </c>
      <c r="G575" s="12" t="str">
        <f>IFERROR(__xludf.DUMMYFUNCTION("""COMPUTED_VALUE"""),"Se observa color y se perciben olores ofensivos.
Por condiciones del punto, el muestreo no se realizo en el punto habitual.
Altura: 2583 msnm")</f>
        <v>Se observa color y se perciben olores ofensivos.
Por condiciones del punto, el muestreo no se realizo en el punto habitual.
Altura: 2583 msnm</v>
      </c>
      <c r="H575" s="45">
        <f>IFERROR(__xludf.DUMMYFUNCTION("""COMPUTED_VALUE"""),0.5833333333321207)</f>
        <v>0.5833333333</v>
      </c>
      <c r="I575" s="45">
        <f>IFERROR(__xludf.DUMMYFUNCTION("""COMPUTED_VALUE"""),0.6666666666678793)</f>
        <v>0.6666666667</v>
      </c>
      <c r="J575" s="12">
        <f>IFERROR(__xludf.DUMMYFUNCTION("""COMPUTED_VALUE"""),1.2)</f>
        <v>1.2</v>
      </c>
      <c r="K575" s="12">
        <f>IFERROR(__xludf.DUMMYFUNCTION("""COMPUTED_VALUE"""),0.08)</f>
        <v>0.08</v>
      </c>
      <c r="L575" s="14">
        <f>IFERROR(__xludf.DUMMYFUNCTION("""COMPUTED_VALUE"""),10.16)</f>
        <v>10.16</v>
      </c>
      <c r="M575" s="14">
        <f>IFERROR(__xludf.DUMMYFUNCTION("""COMPUTED_VALUE"""),10.364)</f>
        <v>10.364</v>
      </c>
      <c r="N575" s="14">
        <f>IFERROR(__xludf.DUMMYFUNCTION("""COMPUTED_VALUE"""),10.717)</f>
        <v>10.717</v>
      </c>
      <c r="O575" s="14">
        <f>IFERROR(__xludf.DUMMYFUNCTION("""COMPUTED_VALUE"""),12.836)</f>
        <v>12.836</v>
      </c>
      <c r="P575" s="14">
        <f>IFERROR(__xludf.DUMMYFUNCTION("""COMPUTED_VALUE"""),13.189)</f>
        <v>13.189</v>
      </c>
      <c r="Q575" s="14">
        <f>IFERROR(__xludf.DUMMYFUNCTION("""COMPUTED_VALUE"""),11.453)</f>
        <v>11.453</v>
      </c>
      <c r="R575" s="48">
        <f>IFERROR(__xludf.DUMMYFUNCTION("""COMPUTED_VALUE"""),8.06)</f>
        <v>8.06</v>
      </c>
      <c r="S575" s="48">
        <f>IFERROR(__xludf.DUMMYFUNCTION("""COMPUTED_VALUE"""),8.2)</f>
        <v>8.2</v>
      </c>
      <c r="T575" s="48">
        <f>IFERROR(__xludf.DUMMYFUNCTION("""COMPUTED_VALUE"""),8.22)</f>
        <v>8.22</v>
      </c>
      <c r="U575" s="48">
        <f>IFERROR(__xludf.DUMMYFUNCTION("""COMPUTED_VALUE"""),8.13)</f>
        <v>8.13</v>
      </c>
      <c r="V575" s="48">
        <f>IFERROR(__xludf.DUMMYFUNCTION("""COMPUTED_VALUE"""),8.12)</f>
        <v>8.12</v>
      </c>
      <c r="W575" s="14">
        <f>IFERROR(__xludf.DUMMYFUNCTION("""COMPUTED_VALUE"""),8.145999999999999)</f>
        <v>8.146</v>
      </c>
      <c r="X575" s="14">
        <f>IFERROR(__xludf.DUMMYFUNCTION("""COMPUTED_VALUE"""),22.1)</f>
        <v>22.1</v>
      </c>
      <c r="Y575" s="14">
        <f>IFERROR(__xludf.DUMMYFUNCTION("""COMPUTED_VALUE"""),21.9)</f>
        <v>21.9</v>
      </c>
      <c r="Z575" s="14">
        <f>IFERROR(__xludf.DUMMYFUNCTION("""COMPUTED_VALUE"""),20.9)</f>
        <v>20.9</v>
      </c>
      <c r="AA575" s="14">
        <f>IFERROR(__xludf.DUMMYFUNCTION("""COMPUTED_VALUE"""),20.4)</f>
        <v>20.4</v>
      </c>
      <c r="AB575" s="14">
        <f>IFERROR(__xludf.DUMMYFUNCTION("""COMPUTED_VALUE"""),20.2)</f>
        <v>20.2</v>
      </c>
      <c r="AC575" s="14">
        <f>IFERROR(__xludf.DUMMYFUNCTION("""COMPUTED_VALUE"""),21.1)</f>
        <v>21.1</v>
      </c>
      <c r="AD575" s="48">
        <f>IFERROR(__xludf.DUMMYFUNCTION("""COMPUTED_VALUE"""),408.0)</f>
        <v>408</v>
      </c>
      <c r="AE575" s="48">
        <f>IFERROR(__xludf.DUMMYFUNCTION("""COMPUTED_VALUE"""),433.0)</f>
        <v>433</v>
      </c>
      <c r="AF575" s="48">
        <f>IFERROR(__xludf.DUMMYFUNCTION("""COMPUTED_VALUE"""),451.0)</f>
        <v>451</v>
      </c>
      <c r="AG575" s="48">
        <f>IFERROR(__xludf.DUMMYFUNCTION("""COMPUTED_VALUE"""),468.0)</f>
        <v>468</v>
      </c>
      <c r="AH575" s="48">
        <f>IFERROR(__xludf.DUMMYFUNCTION("""COMPUTED_VALUE"""),464.0)</f>
        <v>464</v>
      </c>
      <c r="AI575" s="14">
        <f>IFERROR(__xludf.DUMMYFUNCTION("""COMPUTED_VALUE"""),444.8)</f>
        <v>444.8</v>
      </c>
      <c r="AJ575" s="14">
        <f>IFERROR(__xludf.DUMMYFUNCTION("""COMPUTED_VALUE"""),3.84)</f>
        <v>3.84</v>
      </c>
      <c r="AK575" s="14">
        <f>IFERROR(__xludf.DUMMYFUNCTION("""COMPUTED_VALUE"""),3.11)</f>
        <v>3.11</v>
      </c>
      <c r="AL575" s="14">
        <f>IFERROR(__xludf.DUMMYFUNCTION("""COMPUTED_VALUE"""),3.13)</f>
        <v>3.13</v>
      </c>
      <c r="AM575" s="14">
        <f>IFERROR(__xludf.DUMMYFUNCTION("""COMPUTED_VALUE"""),3.59)</f>
        <v>3.59</v>
      </c>
      <c r="AN575" s="14">
        <f>IFERROR(__xludf.DUMMYFUNCTION("""COMPUTED_VALUE"""),3.48)</f>
        <v>3.48</v>
      </c>
      <c r="AO575" s="14">
        <f>IFERROR(__xludf.DUMMYFUNCTION("""COMPUTED_VALUE"""),3.4299999999999997)</f>
        <v>3.43</v>
      </c>
      <c r="AP575" s="14">
        <f>IFERROR(__xludf.DUMMYFUNCTION("""COMPUTED_VALUE"""),68.0)</f>
        <v>68</v>
      </c>
      <c r="AQ575" s="14">
        <f>IFERROR(__xludf.DUMMYFUNCTION("""COMPUTED_VALUE"""),91.0)</f>
        <v>91</v>
      </c>
      <c r="AR575" s="14">
        <f>IFERROR(__xludf.DUMMYFUNCTION("""COMPUTED_VALUE"""),109.0)</f>
        <v>109</v>
      </c>
      <c r="AS575" s="14">
        <f>IFERROR(__xludf.DUMMYFUNCTION("""COMPUTED_VALUE"""),9.0)</f>
        <v>9</v>
      </c>
      <c r="AT575" s="14">
        <f>IFERROR(__xludf.DUMMYFUNCTION("""COMPUTED_VALUE"""),2.23)</f>
        <v>2.23</v>
      </c>
      <c r="AU575" s="14">
        <f>IFERROR(__xludf.DUMMYFUNCTION("""COMPUTED_VALUE"""),1.281E7)</f>
        <v>12810000</v>
      </c>
      <c r="AV575" s="14">
        <f>IFERROR(__xludf.DUMMYFUNCTION("""COMPUTED_VALUE"""),1.85)</f>
        <v>1.85</v>
      </c>
      <c r="AW575" s="14">
        <f>IFERROR(__xludf.DUMMYFUNCTION("""COMPUTED_VALUE"""),12.3)</f>
        <v>12.3</v>
      </c>
      <c r="AX575" s="14">
        <f>IFERROR(__xludf.DUMMYFUNCTION("""COMPUTED_VALUE"""),487000.0)</f>
        <v>487000</v>
      </c>
      <c r="AY575" s="14">
        <f>IFERROR(__xludf.DUMMYFUNCTION("""COMPUTED_VALUE"""),0.5)</f>
        <v>0.5</v>
      </c>
      <c r="AZ575" s="14">
        <f>IFERROR(__xludf.DUMMYFUNCTION("""COMPUTED_VALUE"""),0.007)</f>
        <v>0.007</v>
      </c>
      <c r="BA575" s="14">
        <f t="shared" si="1"/>
        <v>12.807</v>
      </c>
    </row>
    <row r="576" ht="14.25" customHeight="1">
      <c r="A576" s="10" t="str">
        <f>IFERROR(__xludf.DUMMYFUNCTION("""COMPUTED_VALUE"""),"281221AN02")</f>
        <v>281221AN02</v>
      </c>
      <c r="B576" s="12" t="str">
        <f>IFERROR(__xludf.DUMMYFUNCTION("""COMPUTED_VALUE"""),"CON-Country")</f>
        <v>CON-Country</v>
      </c>
      <c r="C576" s="12"/>
      <c r="D576" s="12"/>
      <c r="E576" s="44">
        <f>IFERROR(__xludf.DUMMYFUNCTION("""COMPUTED_VALUE"""),44558.0)</f>
        <v>44558</v>
      </c>
      <c r="F576" s="12" t="str">
        <f>IFERROR(__xludf.DUMMYFUNCTION("""COMPUTED_VALUE"""),"TIPO I")</f>
        <v>TIPO I</v>
      </c>
      <c r="G576" s="12" t="str">
        <f>IFERROR(__xludf.DUMMYFUNCTION("""COMPUTED_VALUE"""),"N.A")</f>
        <v>N.A</v>
      </c>
      <c r="H576" s="45">
        <f>IFERROR(__xludf.DUMMYFUNCTION("""COMPUTED_VALUE"""),0.5833333333321207)</f>
        <v>0.5833333333</v>
      </c>
      <c r="I576" s="45">
        <f>IFERROR(__xludf.DUMMYFUNCTION("""COMPUTED_VALUE"""),0.6666666666678793)</f>
        <v>0.6666666667</v>
      </c>
      <c r="J576" s="12">
        <f>IFERROR(__xludf.DUMMYFUNCTION("""COMPUTED_VALUE"""),3.1)</f>
        <v>3.1</v>
      </c>
      <c r="K576" s="12">
        <f>IFERROR(__xludf.DUMMYFUNCTION("""COMPUTED_VALUE"""),0.07)</f>
        <v>0.07</v>
      </c>
      <c r="L576" s="14">
        <f>IFERROR(__xludf.DUMMYFUNCTION("""COMPUTED_VALUE"""),23.618)</f>
        <v>23.618</v>
      </c>
      <c r="M576" s="14">
        <f>IFERROR(__xludf.DUMMYFUNCTION("""COMPUTED_VALUE"""),23.222)</f>
        <v>23.222</v>
      </c>
      <c r="N576" s="14">
        <f>IFERROR(__xludf.DUMMYFUNCTION("""COMPUTED_VALUE"""),23.519)</f>
        <v>23.519</v>
      </c>
      <c r="O576" s="14"/>
      <c r="P576" s="14"/>
      <c r="Q576" s="14">
        <f>IFERROR(__xludf.DUMMYFUNCTION("""COMPUTED_VALUE"""),23.453)</f>
        <v>23.453</v>
      </c>
      <c r="R576" s="48">
        <f>IFERROR(__xludf.DUMMYFUNCTION("""COMPUTED_VALUE"""),8.49)</f>
        <v>8.49</v>
      </c>
      <c r="S576" s="48">
        <f>IFERROR(__xludf.DUMMYFUNCTION("""COMPUTED_VALUE"""),8.59)</f>
        <v>8.59</v>
      </c>
      <c r="T576" s="48">
        <f>IFERROR(__xludf.DUMMYFUNCTION("""COMPUTED_VALUE"""),8.65)</f>
        <v>8.65</v>
      </c>
      <c r="U576" s="48"/>
      <c r="V576" s="48"/>
      <c r="W576" s="14">
        <f>IFERROR(__xludf.DUMMYFUNCTION("""COMPUTED_VALUE"""),8.576666666666666)</f>
        <v>8.576666667</v>
      </c>
      <c r="X576" s="14">
        <f>IFERROR(__xludf.DUMMYFUNCTION("""COMPUTED_VALUE"""),15.9)</f>
        <v>15.9</v>
      </c>
      <c r="Y576" s="14">
        <f>IFERROR(__xludf.DUMMYFUNCTION("""COMPUTED_VALUE"""),15.8)</f>
        <v>15.8</v>
      </c>
      <c r="Z576" s="14">
        <f>IFERROR(__xludf.DUMMYFUNCTION("""COMPUTED_VALUE"""),15.8)</f>
        <v>15.8</v>
      </c>
      <c r="AA576" s="14"/>
      <c r="AB576" s="14"/>
      <c r="AC576" s="14">
        <f>IFERROR(__xludf.DUMMYFUNCTION("""COMPUTED_VALUE"""),15.833333333333334)</f>
        <v>15.83333333</v>
      </c>
      <c r="AD576" s="48">
        <f>IFERROR(__xludf.DUMMYFUNCTION("""COMPUTED_VALUE"""),231.0)</f>
        <v>231</v>
      </c>
      <c r="AE576" s="48">
        <f>IFERROR(__xludf.DUMMYFUNCTION("""COMPUTED_VALUE"""),220.0)</f>
        <v>220</v>
      </c>
      <c r="AF576" s="48">
        <f>IFERROR(__xludf.DUMMYFUNCTION("""COMPUTED_VALUE"""),214.0)</f>
        <v>214</v>
      </c>
      <c r="AG576" s="48"/>
      <c r="AH576" s="48"/>
      <c r="AI576" s="14">
        <f>IFERROR(__xludf.DUMMYFUNCTION("""COMPUTED_VALUE"""),221.66666666666666)</f>
        <v>221.6666667</v>
      </c>
      <c r="AJ576" s="14">
        <f>IFERROR(__xludf.DUMMYFUNCTION("""COMPUTED_VALUE"""),6.35)</f>
        <v>6.35</v>
      </c>
      <c r="AK576" s="14">
        <f>IFERROR(__xludf.DUMMYFUNCTION("""COMPUTED_VALUE"""),5.45)</f>
        <v>5.45</v>
      </c>
      <c r="AL576" s="14">
        <f>IFERROR(__xludf.DUMMYFUNCTION("""COMPUTED_VALUE"""),5.54)</f>
        <v>5.54</v>
      </c>
      <c r="AM576" s="14"/>
      <c r="AN576" s="14"/>
      <c r="AO576" s="14">
        <f>IFERROR(__xludf.DUMMYFUNCTION("""COMPUTED_VALUE"""),5.78)</f>
        <v>5.78</v>
      </c>
      <c r="AP576" s="14">
        <f>IFERROR(__xludf.DUMMYFUNCTION("""COMPUTED_VALUE"""),2.0)</f>
        <v>2</v>
      </c>
      <c r="AQ576" s="14">
        <f>IFERROR(__xludf.DUMMYFUNCTION("""COMPUTED_VALUE"""),5.0)</f>
        <v>5</v>
      </c>
      <c r="AR576" s="14">
        <f>IFERROR(__xludf.DUMMYFUNCTION("""COMPUTED_VALUE"""),8.0)</f>
        <v>8</v>
      </c>
      <c r="AS576" s="14">
        <f>IFERROR(__xludf.DUMMYFUNCTION("""COMPUTED_VALUE"""),1.2)</f>
        <v>1.2</v>
      </c>
      <c r="AT576" s="14">
        <f>IFERROR(__xludf.DUMMYFUNCTION("""COMPUTED_VALUE"""),0.07)</f>
        <v>0.07</v>
      </c>
      <c r="AU576" s="14">
        <f>IFERROR(__xludf.DUMMYFUNCTION("""COMPUTED_VALUE"""),1.243E7)</f>
        <v>12430000</v>
      </c>
      <c r="AV576" s="14">
        <f>IFERROR(__xludf.DUMMYFUNCTION("""COMPUTED_VALUE"""),0.37)</f>
        <v>0.37</v>
      </c>
      <c r="AW576" s="14">
        <f>IFERROR(__xludf.DUMMYFUNCTION("""COMPUTED_VALUE"""),2.2)</f>
        <v>2.2</v>
      </c>
      <c r="AX576" s="14">
        <f>IFERROR(__xludf.DUMMYFUNCTION("""COMPUTED_VALUE"""),1.212E7)</f>
        <v>12120000</v>
      </c>
      <c r="AY576" s="14">
        <f>IFERROR(__xludf.DUMMYFUNCTION("""COMPUTED_VALUE"""),2.3)</f>
        <v>2.3</v>
      </c>
      <c r="AZ576" s="14">
        <f>IFERROR(__xludf.DUMMYFUNCTION("""COMPUTED_VALUE"""),0.007)</f>
        <v>0.007</v>
      </c>
      <c r="BA576" s="14">
        <f t="shared" si="1"/>
        <v>4.507</v>
      </c>
    </row>
    <row r="577" ht="14.25" customHeight="1">
      <c r="A577" s="10" t="str">
        <f>IFERROR(__xludf.DUMMYFUNCTION("""COMPUTED_VALUE"""),"090222WI01")</f>
        <v>090222WI01</v>
      </c>
      <c r="B577" s="12" t="str">
        <f>IFERROR(__xludf.DUMMYFUNCTION("""COMPUTED_VALUE"""),"QTR-Mochuelo Bajo")</f>
        <v>QTR-Mochuelo Bajo</v>
      </c>
      <c r="C577" s="12"/>
      <c r="D577" s="12"/>
      <c r="E577" s="44">
        <f>IFERROR(__xludf.DUMMYFUNCTION("""COMPUTED_VALUE"""),44601.0)</f>
        <v>44601</v>
      </c>
      <c r="F577" s="12" t="str">
        <f>IFERROR(__xludf.DUMMYFUNCTION("""COMPUTED_VALUE"""),"TIPO I")</f>
        <v>TIPO I</v>
      </c>
      <c r="G577" s="12" t="str">
        <f>IFERROR(__xludf.DUMMYFUNCTION("""COMPUTED_VALUE"""),"Se observa color y presencia de espuma. Se perciben olores.
Altura: 2655 msnm")</f>
        <v>Se observa color y presencia de espuma. Se perciben olores.
Altura: 2655 msnm</v>
      </c>
      <c r="H577" s="45">
        <f>IFERROR(__xludf.DUMMYFUNCTION("""COMPUTED_VALUE"""),0.3333333333321207)</f>
        <v>0.3333333333</v>
      </c>
      <c r="I577" s="45">
        <f>IFERROR(__xludf.DUMMYFUNCTION("""COMPUTED_VALUE"""),0.4166666666678793)</f>
        <v>0.4166666667</v>
      </c>
      <c r="J577" s="12">
        <f>IFERROR(__xludf.DUMMYFUNCTION("""COMPUTED_VALUE"""),1.2)</f>
        <v>1.2</v>
      </c>
      <c r="K577" s="12">
        <f>IFERROR(__xludf.DUMMYFUNCTION("""COMPUTED_VALUE"""),0.11)</f>
        <v>0.11</v>
      </c>
      <c r="L577" s="14">
        <f>IFERROR(__xludf.DUMMYFUNCTION("""COMPUTED_VALUE"""),16.093)</f>
        <v>16.093</v>
      </c>
      <c r="M577" s="14">
        <f>IFERROR(__xludf.DUMMYFUNCTION("""COMPUTED_VALUE"""),15.18)</f>
        <v>15.18</v>
      </c>
      <c r="N577" s="14">
        <f>IFERROR(__xludf.DUMMYFUNCTION("""COMPUTED_VALUE"""),16.329)</f>
        <v>16.329</v>
      </c>
      <c r="O577" s="14">
        <f>IFERROR(__xludf.DUMMYFUNCTION("""COMPUTED_VALUE"""),17.7)</f>
        <v>17.7</v>
      </c>
      <c r="P577" s="14">
        <f>IFERROR(__xludf.DUMMYFUNCTION("""COMPUTED_VALUE"""),19.743)</f>
        <v>19.743</v>
      </c>
      <c r="Q577" s="14">
        <f>IFERROR(__xludf.DUMMYFUNCTION("""COMPUTED_VALUE"""),17.009)</f>
        <v>17.009</v>
      </c>
      <c r="R577" s="48">
        <f>IFERROR(__xludf.DUMMYFUNCTION("""COMPUTED_VALUE"""),7.89)</f>
        <v>7.89</v>
      </c>
      <c r="S577" s="48">
        <f>IFERROR(__xludf.DUMMYFUNCTION("""COMPUTED_VALUE"""),7.77)</f>
        <v>7.77</v>
      </c>
      <c r="T577" s="48">
        <f>IFERROR(__xludf.DUMMYFUNCTION("""COMPUTED_VALUE"""),7.72)</f>
        <v>7.72</v>
      </c>
      <c r="U577" s="48">
        <f>IFERROR(__xludf.DUMMYFUNCTION("""COMPUTED_VALUE"""),7.74)</f>
        <v>7.74</v>
      </c>
      <c r="V577" s="48">
        <f>IFERROR(__xludf.DUMMYFUNCTION("""COMPUTED_VALUE"""),7.69)</f>
        <v>7.69</v>
      </c>
      <c r="W577" s="14">
        <f>IFERROR(__xludf.DUMMYFUNCTION("""COMPUTED_VALUE"""),7.761999999999999)</f>
        <v>7.762</v>
      </c>
      <c r="X577" s="14">
        <f>IFERROR(__xludf.DUMMYFUNCTION("""COMPUTED_VALUE"""),12.9)</f>
        <v>12.9</v>
      </c>
      <c r="Y577" s="14">
        <f>IFERROR(__xludf.DUMMYFUNCTION("""COMPUTED_VALUE"""),12.7)</f>
        <v>12.7</v>
      </c>
      <c r="Z577" s="14">
        <f>IFERROR(__xludf.DUMMYFUNCTION("""COMPUTED_VALUE"""),13.0)</f>
        <v>13</v>
      </c>
      <c r="AA577" s="14">
        <f>IFERROR(__xludf.DUMMYFUNCTION("""COMPUTED_VALUE"""),13.4)</f>
        <v>13.4</v>
      </c>
      <c r="AB577" s="14">
        <f>IFERROR(__xludf.DUMMYFUNCTION("""COMPUTED_VALUE"""),13.8)</f>
        <v>13.8</v>
      </c>
      <c r="AC577" s="14">
        <f>IFERROR(__xludf.DUMMYFUNCTION("""COMPUTED_VALUE"""),13.16)</f>
        <v>13.16</v>
      </c>
      <c r="AD577" s="48">
        <f>IFERROR(__xludf.DUMMYFUNCTION("""COMPUTED_VALUE"""),660.0)</f>
        <v>660</v>
      </c>
      <c r="AE577" s="48">
        <f>IFERROR(__xludf.DUMMYFUNCTION("""COMPUTED_VALUE"""),683.0)</f>
        <v>683</v>
      </c>
      <c r="AF577" s="48">
        <f>IFERROR(__xludf.DUMMYFUNCTION("""COMPUTED_VALUE"""),660.0)</f>
        <v>660</v>
      </c>
      <c r="AG577" s="48">
        <f>IFERROR(__xludf.DUMMYFUNCTION("""COMPUTED_VALUE"""),687.0)</f>
        <v>687</v>
      </c>
      <c r="AH577" s="48">
        <f>IFERROR(__xludf.DUMMYFUNCTION("""COMPUTED_VALUE"""),647.0)</f>
        <v>647</v>
      </c>
      <c r="AI577" s="14">
        <f>IFERROR(__xludf.DUMMYFUNCTION("""COMPUTED_VALUE"""),667.4)</f>
        <v>667.4</v>
      </c>
      <c r="AJ577" s="14">
        <f>IFERROR(__xludf.DUMMYFUNCTION("""COMPUTED_VALUE"""),4.92)</f>
        <v>4.92</v>
      </c>
      <c r="AK577" s="14">
        <f>IFERROR(__xludf.DUMMYFUNCTION("""COMPUTED_VALUE"""),4.91)</f>
        <v>4.91</v>
      </c>
      <c r="AL577" s="14">
        <f>IFERROR(__xludf.DUMMYFUNCTION("""COMPUTED_VALUE"""),4.71)</f>
        <v>4.71</v>
      </c>
      <c r="AM577" s="14">
        <f>IFERROR(__xludf.DUMMYFUNCTION("""COMPUTED_VALUE"""),4.75)</f>
        <v>4.75</v>
      </c>
      <c r="AN577" s="14">
        <f>IFERROR(__xludf.DUMMYFUNCTION("""COMPUTED_VALUE"""),4.93)</f>
        <v>4.93</v>
      </c>
      <c r="AO577" s="14">
        <f>IFERROR(__xludf.DUMMYFUNCTION("""COMPUTED_VALUE"""),4.843999999999999)</f>
        <v>4.844</v>
      </c>
      <c r="AP577" s="14">
        <f>IFERROR(__xludf.DUMMYFUNCTION("""COMPUTED_VALUE"""),65.0)</f>
        <v>65</v>
      </c>
      <c r="AQ577" s="14">
        <f>IFERROR(__xludf.DUMMYFUNCTION("""COMPUTED_VALUE"""),89.0)</f>
        <v>89</v>
      </c>
      <c r="AR577" s="14">
        <f>IFERROR(__xludf.DUMMYFUNCTION("""COMPUTED_VALUE"""),146.0)</f>
        <v>146</v>
      </c>
      <c r="AS577" s="14">
        <f>IFERROR(__xludf.DUMMYFUNCTION("""COMPUTED_VALUE"""),5.1)</f>
        <v>5.1</v>
      </c>
      <c r="AT577" s="14">
        <f>IFERROR(__xludf.DUMMYFUNCTION("""COMPUTED_VALUE"""),0.07)</f>
        <v>0.07</v>
      </c>
      <c r="AU577" s="14">
        <f>IFERROR(__xludf.DUMMYFUNCTION("""COMPUTED_VALUE"""),1.046E7)</f>
        <v>10460000</v>
      </c>
      <c r="AV577" s="14">
        <f>IFERROR(__xludf.DUMMYFUNCTION("""COMPUTED_VALUE"""),2.44)</f>
        <v>2.44</v>
      </c>
      <c r="AW577" s="14">
        <f>IFERROR(__xludf.DUMMYFUNCTION("""COMPUTED_VALUE"""),32.2)</f>
        <v>32.2</v>
      </c>
      <c r="AX577" s="14">
        <f>IFERROR(__xludf.DUMMYFUNCTION("""COMPUTED_VALUE"""),8880000.0)</f>
        <v>8880000</v>
      </c>
      <c r="AY577" s="14">
        <f>IFERROR(__xludf.DUMMYFUNCTION("""COMPUTED_VALUE"""),0.7)</f>
        <v>0.7</v>
      </c>
      <c r="AZ577" s="14">
        <f>IFERROR(__xludf.DUMMYFUNCTION("""COMPUTED_VALUE"""),0.007)</f>
        <v>0.007</v>
      </c>
      <c r="BA577" s="14">
        <f t="shared" si="1"/>
        <v>32.907</v>
      </c>
    </row>
    <row r="578" ht="14.25" customHeight="1">
      <c r="A578" s="10" t="str">
        <f>IFERROR(__xludf.DUMMYFUNCTION("""COMPUTED_VALUE"""),"100222WI02")</f>
        <v>100222WI02</v>
      </c>
      <c r="B578" s="12" t="str">
        <f>IFERROR(__xludf.DUMMYFUNCTION("""COMPUTED_VALUE"""),"QSL-Barranquillita")</f>
        <v>QSL-Barranquillita</v>
      </c>
      <c r="C578" s="12"/>
      <c r="D578" s="12"/>
      <c r="E578" s="44">
        <f>IFERROR(__xludf.DUMMYFUNCTION("""COMPUTED_VALUE"""),44602.0)</f>
        <v>44602</v>
      </c>
      <c r="F578" s="12" t="str">
        <f>IFERROR(__xludf.DUMMYFUNCTION("""COMPUTED_VALUE"""),"TIPO I")</f>
        <v>TIPO I</v>
      </c>
      <c r="G578" s="12" t="str">
        <f>IFERROR(__xludf.DUMMYFUNCTION("""COMPUTED_VALUE"""),"Se evidencia color y olor.
")</f>
        <v>Se evidencia color y olor.
</v>
      </c>
      <c r="H578" s="45">
        <f>IFERROR(__xludf.DUMMYFUNCTION("""COMPUTED_VALUE"""),0.4166666666678793)</f>
        <v>0.4166666667</v>
      </c>
      <c r="I578" s="45">
        <f>IFERROR(__xludf.DUMMYFUNCTION("""COMPUTED_VALUE"""),0.5)</f>
        <v>0.5</v>
      </c>
      <c r="J578" s="12">
        <f>IFERROR(__xludf.DUMMYFUNCTION("""COMPUTED_VALUE"""),0.8)</f>
        <v>0.8</v>
      </c>
      <c r="K578" s="12">
        <f>IFERROR(__xludf.DUMMYFUNCTION("""COMPUTED_VALUE"""),0.15)</f>
        <v>0.15</v>
      </c>
      <c r="L578" s="14">
        <f>IFERROR(__xludf.DUMMYFUNCTION("""COMPUTED_VALUE"""),32.783)</f>
        <v>32.783</v>
      </c>
      <c r="M578" s="14">
        <f>IFERROR(__xludf.DUMMYFUNCTION("""COMPUTED_VALUE"""),34.911)</f>
        <v>34.911</v>
      </c>
      <c r="N578" s="14">
        <f>IFERROR(__xludf.DUMMYFUNCTION("""COMPUTED_VALUE"""),33.734)</f>
        <v>33.734</v>
      </c>
      <c r="O578" s="14">
        <f>IFERROR(__xludf.DUMMYFUNCTION("""COMPUTED_VALUE"""),31.31)</f>
        <v>31.31</v>
      </c>
      <c r="P578" s="14">
        <f>IFERROR(__xludf.DUMMYFUNCTION("""COMPUTED_VALUE"""),35.634)</f>
        <v>35.634</v>
      </c>
      <c r="Q578" s="14">
        <f>IFERROR(__xludf.DUMMYFUNCTION("""COMPUTED_VALUE"""),33.674)</f>
        <v>33.674</v>
      </c>
      <c r="R578" s="48">
        <f>IFERROR(__xludf.DUMMYFUNCTION("""COMPUTED_VALUE"""),7.85)</f>
        <v>7.85</v>
      </c>
      <c r="S578" s="48">
        <f>IFERROR(__xludf.DUMMYFUNCTION("""COMPUTED_VALUE"""),7.75)</f>
        <v>7.75</v>
      </c>
      <c r="T578" s="48">
        <f>IFERROR(__xludf.DUMMYFUNCTION("""COMPUTED_VALUE"""),7.66)</f>
        <v>7.66</v>
      </c>
      <c r="U578" s="48">
        <f>IFERROR(__xludf.DUMMYFUNCTION("""COMPUTED_VALUE"""),7.62)</f>
        <v>7.62</v>
      </c>
      <c r="V578" s="48">
        <f>IFERROR(__xludf.DUMMYFUNCTION("""COMPUTED_VALUE"""),7.61)</f>
        <v>7.61</v>
      </c>
      <c r="W578" s="14">
        <f>IFERROR(__xludf.DUMMYFUNCTION("""COMPUTED_VALUE"""),7.698)</f>
        <v>7.698</v>
      </c>
      <c r="X578" s="14">
        <f>IFERROR(__xludf.DUMMYFUNCTION("""COMPUTED_VALUE"""),14.0)</f>
        <v>14</v>
      </c>
      <c r="Y578" s="14">
        <f>IFERROR(__xludf.DUMMYFUNCTION("""COMPUTED_VALUE"""),14.8)</f>
        <v>14.8</v>
      </c>
      <c r="Z578" s="14">
        <f>IFERROR(__xludf.DUMMYFUNCTION("""COMPUTED_VALUE"""),15.7)</f>
        <v>15.7</v>
      </c>
      <c r="AA578" s="14">
        <f>IFERROR(__xludf.DUMMYFUNCTION("""COMPUTED_VALUE"""),15.6)</f>
        <v>15.6</v>
      </c>
      <c r="AB578" s="14">
        <f>IFERROR(__xludf.DUMMYFUNCTION("""COMPUTED_VALUE"""),15.3)</f>
        <v>15.3</v>
      </c>
      <c r="AC578" s="14">
        <f>IFERROR(__xludf.DUMMYFUNCTION("""COMPUTED_VALUE"""),15.080000000000002)</f>
        <v>15.08</v>
      </c>
      <c r="AD578" s="48">
        <f>IFERROR(__xludf.DUMMYFUNCTION("""COMPUTED_VALUE"""),417.0)</f>
        <v>417</v>
      </c>
      <c r="AE578" s="48">
        <f>IFERROR(__xludf.DUMMYFUNCTION("""COMPUTED_VALUE"""),432.0)</f>
        <v>432</v>
      </c>
      <c r="AF578" s="48">
        <f>IFERROR(__xludf.DUMMYFUNCTION("""COMPUTED_VALUE"""),424.0)</f>
        <v>424</v>
      </c>
      <c r="AG578" s="48">
        <f>IFERROR(__xludf.DUMMYFUNCTION("""COMPUTED_VALUE"""),446.0)</f>
        <v>446</v>
      </c>
      <c r="AH578" s="48">
        <f>IFERROR(__xludf.DUMMYFUNCTION("""COMPUTED_VALUE"""),450.0)</f>
        <v>450</v>
      </c>
      <c r="AI578" s="14">
        <f>IFERROR(__xludf.DUMMYFUNCTION("""COMPUTED_VALUE"""),433.8)</f>
        <v>433.8</v>
      </c>
      <c r="AJ578" s="14">
        <f>IFERROR(__xludf.DUMMYFUNCTION("""COMPUTED_VALUE"""),5.92)</f>
        <v>5.92</v>
      </c>
      <c r="AK578" s="14">
        <f>IFERROR(__xludf.DUMMYFUNCTION("""COMPUTED_VALUE"""),5.65)</f>
        <v>5.65</v>
      </c>
      <c r="AL578" s="14">
        <f>IFERROR(__xludf.DUMMYFUNCTION("""COMPUTED_VALUE"""),6.17)</f>
        <v>6.17</v>
      </c>
      <c r="AM578" s="14">
        <f>IFERROR(__xludf.DUMMYFUNCTION("""COMPUTED_VALUE"""),5.9)</f>
        <v>5.9</v>
      </c>
      <c r="AN578" s="14">
        <f>IFERROR(__xludf.DUMMYFUNCTION("""COMPUTED_VALUE"""),5.72)</f>
        <v>5.72</v>
      </c>
      <c r="AO578" s="14">
        <f>IFERROR(__xludf.DUMMYFUNCTION("""COMPUTED_VALUE"""),5.872)</f>
        <v>5.872</v>
      </c>
      <c r="AP578" s="14">
        <f>IFERROR(__xludf.DUMMYFUNCTION("""COMPUTED_VALUE"""),39.0)</f>
        <v>39</v>
      </c>
      <c r="AQ578" s="14">
        <f>IFERROR(__xludf.DUMMYFUNCTION("""COMPUTED_VALUE"""),54.0)</f>
        <v>54</v>
      </c>
      <c r="AR578" s="14">
        <f>IFERROR(__xludf.DUMMYFUNCTION("""COMPUTED_VALUE"""),23.0)</f>
        <v>23</v>
      </c>
      <c r="AS578" s="14">
        <f>IFERROR(__xludf.DUMMYFUNCTION("""COMPUTED_VALUE"""),14.7)</f>
        <v>14.7</v>
      </c>
      <c r="AT578" s="14">
        <f>IFERROR(__xludf.DUMMYFUNCTION("""COMPUTED_VALUE"""),0.07)</f>
        <v>0.07</v>
      </c>
      <c r="AU578" s="14">
        <f>IFERROR(__xludf.DUMMYFUNCTION("""COMPUTED_VALUE"""),1616000.0)</f>
        <v>1616000</v>
      </c>
      <c r="AV578" s="14">
        <f>IFERROR(__xludf.DUMMYFUNCTION("""COMPUTED_VALUE"""),1.74)</f>
        <v>1.74</v>
      </c>
      <c r="AW578" s="14">
        <f>IFERROR(__xludf.DUMMYFUNCTION("""COMPUTED_VALUE"""),5.9)</f>
        <v>5.9</v>
      </c>
      <c r="AX578" s="14">
        <f>IFERROR(__xludf.DUMMYFUNCTION("""COMPUTED_VALUE"""),127400.0)</f>
        <v>127400</v>
      </c>
      <c r="AY578" s="14">
        <f>IFERROR(__xludf.DUMMYFUNCTION("""COMPUTED_VALUE"""),0.6)</f>
        <v>0.6</v>
      </c>
      <c r="AZ578" s="14">
        <f>IFERROR(__xludf.DUMMYFUNCTION("""COMPUTED_VALUE"""),0.007)</f>
        <v>0.007</v>
      </c>
      <c r="BA578" s="14">
        <f t="shared" si="1"/>
        <v>6.507</v>
      </c>
    </row>
    <row r="579" ht="14.25" customHeight="1">
      <c r="A579" s="10" t="str">
        <f>IFERROR(__xludf.DUMMYFUNCTION("""COMPUTED_VALUE"""),"090222HA01")</f>
        <v>090222HA01</v>
      </c>
      <c r="B579" s="12" t="str">
        <f>IFERROR(__xludf.DUMMYFUNCTION("""COMPUTED_VALUE"""),"QYO-Arrayanal")</f>
        <v>QYO-Arrayanal</v>
      </c>
      <c r="C579" s="12"/>
      <c r="D579" s="12"/>
      <c r="E579" s="44">
        <f>IFERROR(__xludf.DUMMYFUNCTION("""COMPUTED_VALUE"""),44601.0)</f>
        <v>44601</v>
      </c>
      <c r="F579" s="12" t="str">
        <f>IFERROR(__xludf.DUMMYFUNCTION("""COMPUTED_VALUE"""),"TIPO I")</f>
        <v>TIPO I</v>
      </c>
      <c r="G579" s="12" t="str">
        <f>IFERROR(__xludf.DUMMYFUNCTION("""COMPUTED_VALUE"""),"Se presenta un lecho rocoso, arenoso. El cuerpo de agua presenta color y se percibe olor. ")</f>
        <v>Se presenta un lecho rocoso, arenoso. El cuerpo de agua presenta color y se percibe olor. </v>
      </c>
      <c r="H579" s="45">
        <f>IFERROR(__xludf.DUMMYFUNCTION("""COMPUTED_VALUE"""),0.3333333333321207)</f>
        <v>0.3333333333</v>
      </c>
      <c r="I579" s="45">
        <f>IFERROR(__xludf.DUMMYFUNCTION("""COMPUTED_VALUE"""),0.4166666666678793)</f>
        <v>0.4166666667</v>
      </c>
      <c r="J579" s="12">
        <f>IFERROR(__xludf.DUMMYFUNCTION("""COMPUTED_VALUE"""),3.8)</f>
        <v>3.8</v>
      </c>
      <c r="K579" s="12">
        <f>IFERROR(__xludf.DUMMYFUNCTION("""COMPUTED_VALUE"""),0.38)</f>
        <v>0.38</v>
      </c>
      <c r="L579" s="14">
        <f>IFERROR(__xludf.DUMMYFUNCTION("""COMPUTED_VALUE"""),192.874)</f>
        <v>192.874</v>
      </c>
      <c r="M579" s="14">
        <f>IFERROR(__xludf.DUMMYFUNCTION("""COMPUTED_VALUE"""),203.601)</f>
        <v>203.601</v>
      </c>
      <c r="N579" s="14">
        <f>IFERROR(__xludf.DUMMYFUNCTION("""COMPUTED_VALUE"""),206.35)</f>
        <v>206.35</v>
      </c>
      <c r="O579" s="14">
        <f>IFERROR(__xludf.DUMMYFUNCTION("""COMPUTED_VALUE"""),208.118)</f>
        <v>208.118</v>
      </c>
      <c r="P579" s="14">
        <f>IFERROR(__xludf.DUMMYFUNCTION("""COMPUTED_VALUE"""),212.435)</f>
        <v>212.435</v>
      </c>
      <c r="Q579" s="14">
        <f>IFERROR(__xludf.DUMMYFUNCTION("""COMPUTED_VALUE"""),204.676)</f>
        <v>204.676</v>
      </c>
      <c r="R579" s="48">
        <f>IFERROR(__xludf.DUMMYFUNCTION("""COMPUTED_VALUE"""),6.7)</f>
        <v>6.7</v>
      </c>
      <c r="S579" s="48">
        <f>IFERROR(__xludf.DUMMYFUNCTION("""COMPUTED_VALUE"""),6.75)</f>
        <v>6.75</v>
      </c>
      <c r="T579" s="48">
        <f>IFERROR(__xludf.DUMMYFUNCTION("""COMPUTED_VALUE"""),6.39)</f>
        <v>6.39</v>
      </c>
      <c r="U579" s="48">
        <f>IFERROR(__xludf.DUMMYFUNCTION("""COMPUTED_VALUE"""),6.42)</f>
        <v>6.42</v>
      </c>
      <c r="V579" s="48">
        <f>IFERROR(__xludf.DUMMYFUNCTION("""COMPUTED_VALUE"""),6.5)</f>
        <v>6.5</v>
      </c>
      <c r="W579" s="14">
        <f>IFERROR(__xludf.DUMMYFUNCTION("""COMPUTED_VALUE"""),6.552)</f>
        <v>6.552</v>
      </c>
      <c r="X579" s="14">
        <f>IFERROR(__xludf.DUMMYFUNCTION("""COMPUTED_VALUE"""),10.6)</f>
        <v>10.6</v>
      </c>
      <c r="Y579" s="14">
        <f>IFERROR(__xludf.DUMMYFUNCTION("""COMPUTED_VALUE"""),10.3)</f>
        <v>10.3</v>
      </c>
      <c r="Z579" s="14">
        <f>IFERROR(__xludf.DUMMYFUNCTION("""COMPUTED_VALUE"""),10.4)</f>
        <v>10.4</v>
      </c>
      <c r="AA579" s="14">
        <f>IFERROR(__xludf.DUMMYFUNCTION("""COMPUTED_VALUE"""),10.6)</f>
        <v>10.6</v>
      </c>
      <c r="AB579" s="14">
        <f>IFERROR(__xludf.DUMMYFUNCTION("""COMPUTED_VALUE"""),10.5)</f>
        <v>10.5</v>
      </c>
      <c r="AC579" s="14">
        <f>IFERROR(__xludf.DUMMYFUNCTION("""COMPUTED_VALUE"""),10.48)</f>
        <v>10.48</v>
      </c>
      <c r="AD579" s="48">
        <f>IFERROR(__xludf.DUMMYFUNCTION("""COMPUTED_VALUE"""),117.2)</f>
        <v>117.2</v>
      </c>
      <c r="AE579" s="48">
        <f>IFERROR(__xludf.DUMMYFUNCTION("""COMPUTED_VALUE"""),136.0)</f>
        <v>136</v>
      </c>
      <c r="AF579" s="48">
        <f>IFERROR(__xludf.DUMMYFUNCTION("""COMPUTED_VALUE"""),139.4)</f>
        <v>139.4</v>
      </c>
      <c r="AG579" s="48">
        <f>IFERROR(__xludf.DUMMYFUNCTION("""COMPUTED_VALUE"""),145.1)</f>
        <v>145.1</v>
      </c>
      <c r="AH579" s="48">
        <f>IFERROR(__xludf.DUMMYFUNCTION("""COMPUTED_VALUE"""),159.5)</f>
        <v>159.5</v>
      </c>
      <c r="AI579" s="14">
        <f>IFERROR(__xludf.DUMMYFUNCTION("""COMPUTED_VALUE"""),139.44)</f>
        <v>139.44</v>
      </c>
      <c r="AJ579" s="14">
        <f>IFERROR(__xludf.DUMMYFUNCTION("""COMPUTED_VALUE"""),5.43)</f>
        <v>5.43</v>
      </c>
      <c r="AK579" s="14">
        <f>IFERROR(__xludf.DUMMYFUNCTION("""COMPUTED_VALUE"""),5.53)</f>
        <v>5.53</v>
      </c>
      <c r="AL579" s="14">
        <f>IFERROR(__xludf.DUMMYFUNCTION("""COMPUTED_VALUE"""),5.4)</f>
        <v>5.4</v>
      </c>
      <c r="AM579" s="14">
        <f>IFERROR(__xludf.DUMMYFUNCTION("""COMPUTED_VALUE"""),5.84)</f>
        <v>5.84</v>
      </c>
      <c r="AN579" s="14">
        <f>IFERROR(__xludf.DUMMYFUNCTION("""COMPUTED_VALUE"""),5.57)</f>
        <v>5.57</v>
      </c>
      <c r="AO579" s="14">
        <f>IFERROR(__xludf.DUMMYFUNCTION("""COMPUTED_VALUE"""),5.554)</f>
        <v>5.554</v>
      </c>
      <c r="AP579" s="14">
        <f>IFERROR(__xludf.DUMMYFUNCTION("""COMPUTED_VALUE"""),10.0)</f>
        <v>10</v>
      </c>
      <c r="AQ579" s="14">
        <f>IFERROR(__xludf.DUMMYFUNCTION("""COMPUTED_VALUE"""),29.0)</f>
        <v>29</v>
      </c>
      <c r="AR579" s="14">
        <f>IFERROR(__xludf.DUMMYFUNCTION("""COMPUTED_VALUE"""),44.0)</f>
        <v>44</v>
      </c>
      <c r="AS579" s="14">
        <f>IFERROR(__xludf.DUMMYFUNCTION("""COMPUTED_VALUE"""),1.2)</f>
        <v>1.2</v>
      </c>
      <c r="AT579" s="14">
        <f>IFERROR(__xludf.DUMMYFUNCTION("""COMPUTED_VALUE"""),0.07)</f>
        <v>0.07</v>
      </c>
      <c r="AU579" s="14">
        <f>IFERROR(__xludf.DUMMYFUNCTION("""COMPUTED_VALUE"""),1624000.0)</f>
        <v>1624000</v>
      </c>
      <c r="AV579" s="14">
        <f>IFERROR(__xludf.DUMMYFUNCTION("""COMPUTED_VALUE"""),0.2)</f>
        <v>0.2</v>
      </c>
      <c r="AW579" s="14">
        <f>IFERROR(__xludf.DUMMYFUNCTION("""COMPUTED_VALUE"""),4.8)</f>
        <v>4.8</v>
      </c>
      <c r="AX579" s="14">
        <f>IFERROR(__xludf.DUMMYFUNCTION("""COMPUTED_VALUE"""),622000.0)</f>
        <v>622000</v>
      </c>
      <c r="AY579" s="14">
        <f>IFERROR(__xludf.DUMMYFUNCTION("""COMPUTED_VALUE"""),1.8)</f>
        <v>1.8</v>
      </c>
      <c r="AZ579" s="14">
        <f>IFERROR(__xludf.DUMMYFUNCTION("""COMPUTED_VALUE"""),0.08)</f>
        <v>0.08</v>
      </c>
      <c r="BA579" s="14">
        <f t="shared" si="1"/>
        <v>6.68</v>
      </c>
    </row>
    <row r="580" ht="14.25" customHeight="1">
      <c r="A580" s="10" t="str">
        <f>IFERROR(__xludf.DUMMYFUNCTION("""COMPUTED_VALUE"""),"100222WI01")</f>
        <v>100222WI01</v>
      </c>
      <c r="B580" s="12" t="str">
        <f>IFERROR(__xludf.DUMMYFUNCTION("""COMPUTED_VALUE"""),"QSL-Alfonso López")</f>
        <v>QSL-Alfonso López</v>
      </c>
      <c r="C580" s="12"/>
      <c r="D580" s="12"/>
      <c r="E580" s="44">
        <f>IFERROR(__xludf.DUMMYFUNCTION("""COMPUTED_VALUE"""),44602.0)</f>
        <v>44602</v>
      </c>
      <c r="F580" s="12" t="str">
        <f>IFERROR(__xludf.DUMMYFUNCTION("""COMPUTED_VALUE"""),"TIPO I")</f>
        <v>TIPO I</v>
      </c>
      <c r="G580" s="12" t="str">
        <f>IFERROR(__xludf.DUMMYFUNCTION("""COMPUTED_VALUE"""),"En el punto de muestreo se observa color y residuos solidos, no se percibe olor.
Altura: 2771 msnm")</f>
        <v>En el punto de muestreo se observa color y residuos solidos, no se percibe olor.
Altura: 2771 msnm</v>
      </c>
      <c r="H580" s="45">
        <f>IFERROR(__xludf.DUMMYFUNCTION("""COMPUTED_VALUE"""),0.25)</f>
        <v>0.25</v>
      </c>
      <c r="I580" s="45">
        <f>IFERROR(__xludf.DUMMYFUNCTION("""COMPUTED_VALUE"""),0.3333333333321207)</f>
        <v>0.3333333333</v>
      </c>
      <c r="J580" s="12">
        <f>IFERROR(__xludf.DUMMYFUNCTION("""COMPUTED_VALUE"""),0.9)</f>
        <v>0.9</v>
      </c>
      <c r="K580" s="12">
        <f>IFERROR(__xludf.DUMMYFUNCTION("""COMPUTED_VALUE"""),0.2)</f>
        <v>0.2</v>
      </c>
      <c r="L580" s="14">
        <f>IFERROR(__xludf.DUMMYFUNCTION("""COMPUTED_VALUE"""),10.774)</f>
        <v>10.774</v>
      </c>
      <c r="M580" s="14">
        <f>IFERROR(__xludf.DUMMYFUNCTION("""COMPUTED_VALUE"""),9.772)</f>
        <v>9.772</v>
      </c>
      <c r="N580" s="14">
        <f>IFERROR(__xludf.DUMMYFUNCTION("""COMPUTED_VALUE"""),8.933)</f>
        <v>8.933</v>
      </c>
      <c r="O580" s="14">
        <f>IFERROR(__xludf.DUMMYFUNCTION("""COMPUTED_VALUE"""),10.116)</f>
        <v>10.116</v>
      </c>
      <c r="P580" s="14">
        <f>IFERROR(__xludf.DUMMYFUNCTION("""COMPUTED_VALUE"""),9.517)</f>
        <v>9.517</v>
      </c>
      <c r="Q580" s="14">
        <f>IFERROR(__xludf.DUMMYFUNCTION("""COMPUTED_VALUE"""),9.824)</f>
        <v>9.824</v>
      </c>
      <c r="R580" s="48">
        <f>IFERROR(__xludf.DUMMYFUNCTION("""COMPUTED_VALUE"""),8.12)</f>
        <v>8.12</v>
      </c>
      <c r="S580" s="48">
        <f>IFERROR(__xludf.DUMMYFUNCTION("""COMPUTED_VALUE"""),8.03)</f>
        <v>8.03</v>
      </c>
      <c r="T580" s="48">
        <f>IFERROR(__xludf.DUMMYFUNCTION("""COMPUTED_VALUE"""),8.01)</f>
        <v>8.01</v>
      </c>
      <c r="U580" s="48">
        <f>IFERROR(__xludf.DUMMYFUNCTION("""COMPUTED_VALUE"""),8.07)</f>
        <v>8.07</v>
      </c>
      <c r="V580" s="48">
        <f>IFERROR(__xludf.DUMMYFUNCTION("""COMPUTED_VALUE"""),7.99)</f>
        <v>7.99</v>
      </c>
      <c r="W580" s="14">
        <f>IFERROR(__xludf.DUMMYFUNCTION("""COMPUTED_VALUE"""),8.044)</f>
        <v>8.044</v>
      </c>
      <c r="X580" s="14">
        <f>IFERROR(__xludf.DUMMYFUNCTION("""COMPUTED_VALUE"""),10.4)</f>
        <v>10.4</v>
      </c>
      <c r="Y580" s="14">
        <f>IFERROR(__xludf.DUMMYFUNCTION("""COMPUTED_VALUE"""),9.8)</f>
        <v>9.8</v>
      </c>
      <c r="Z580" s="14">
        <f>IFERROR(__xludf.DUMMYFUNCTION("""COMPUTED_VALUE"""),9.8)</f>
        <v>9.8</v>
      </c>
      <c r="AA580" s="14">
        <f>IFERROR(__xludf.DUMMYFUNCTION("""COMPUTED_VALUE"""),9.8)</f>
        <v>9.8</v>
      </c>
      <c r="AB580" s="14">
        <f>IFERROR(__xludf.DUMMYFUNCTION("""COMPUTED_VALUE"""),9.8)</f>
        <v>9.8</v>
      </c>
      <c r="AC580" s="14">
        <f>IFERROR(__xludf.DUMMYFUNCTION("""COMPUTED_VALUE"""),9.920000000000002)</f>
        <v>9.92</v>
      </c>
      <c r="AD580" s="48">
        <f>IFERROR(__xludf.DUMMYFUNCTION("""COMPUTED_VALUE"""),418.0)</f>
        <v>418</v>
      </c>
      <c r="AE580" s="48">
        <f>IFERROR(__xludf.DUMMYFUNCTION("""COMPUTED_VALUE"""),460.0)</f>
        <v>460</v>
      </c>
      <c r="AF580" s="48">
        <f>IFERROR(__xludf.DUMMYFUNCTION("""COMPUTED_VALUE"""),454.0)</f>
        <v>454</v>
      </c>
      <c r="AG580" s="48">
        <f>IFERROR(__xludf.DUMMYFUNCTION("""COMPUTED_VALUE"""),456.0)</f>
        <v>456</v>
      </c>
      <c r="AH580" s="48">
        <f>IFERROR(__xludf.DUMMYFUNCTION("""COMPUTED_VALUE"""),419.0)</f>
        <v>419</v>
      </c>
      <c r="AI580" s="14">
        <f>IFERROR(__xludf.DUMMYFUNCTION("""COMPUTED_VALUE"""),441.4)</f>
        <v>441.4</v>
      </c>
      <c r="AJ580" s="14">
        <f>IFERROR(__xludf.DUMMYFUNCTION("""COMPUTED_VALUE"""),6.88)</f>
        <v>6.88</v>
      </c>
      <c r="AK580" s="14">
        <f>IFERROR(__xludf.DUMMYFUNCTION("""COMPUTED_VALUE"""),6.43)</f>
        <v>6.43</v>
      </c>
      <c r="AL580" s="14">
        <f>IFERROR(__xludf.DUMMYFUNCTION("""COMPUTED_VALUE"""),6.81)</f>
        <v>6.81</v>
      </c>
      <c r="AM580" s="14">
        <f>IFERROR(__xludf.DUMMYFUNCTION("""COMPUTED_VALUE"""),6.74)</f>
        <v>6.74</v>
      </c>
      <c r="AN580" s="14">
        <f>IFERROR(__xludf.DUMMYFUNCTION("""COMPUTED_VALUE"""),6.71)</f>
        <v>6.71</v>
      </c>
      <c r="AO580" s="14">
        <f>IFERROR(__xludf.DUMMYFUNCTION("""COMPUTED_VALUE"""),6.714)</f>
        <v>6.714</v>
      </c>
      <c r="AP580" s="14">
        <f>IFERROR(__xludf.DUMMYFUNCTION("""COMPUTED_VALUE"""),10.0)</f>
        <v>10</v>
      </c>
      <c r="AQ580" s="14">
        <f>IFERROR(__xludf.DUMMYFUNCTION("""COMPUTED_VALUE"""),42.0)</f>
        <v>42</v>
      </c>
      <c r="AR580" s="14">
        <f>IFERROR(__xludf.DUMMYFUNCTION("""COMPUTED_VALUE"""),17.0)</f>
        <v>17</v>
      </c>
      <c r="AS580" s="14">
        <f>IFERROR(__xludf.DUMMYFUNCTION("""COMPUTED_VALUE"""),15.0)</f>
        <v>15</v>
      </c>
      <c r="AT580" s="14">
        <f>IFERROR(__xludf.DUMMYFUNCTION("""COMPUTED_VALUE"""),0.07)</f>
        <v>0.07</v>
      </c>
      <c r="AU580" s="14">
        <f>IFERROR(__xludf.DUMMYFUNCTION("""COMPUTED_VALUE"""),139100.0)</f>
        <v>139100</v>
      </c>
      <c r="AV580" s="14">
        <f>IFERROR(__xludf.DUMMYFUNCTION("""COMPUTED_VALUE"""),0.34)</f>
        <v>0.34</v>
      </c>
      <c r="AW580" s="14">
        <f>IFERROR(__xludf.DUMMYFUNCTION("""COMPUTED_VALUE"""),8.7)</f>
        <v>8.7</v>
      </c>
      <c r="AX580" s="14">
        <f>IFERROR(__xludf.DUMMYFUNCTION("""COMPUTED_VALUE"""),10920.0)</f>
        <v>10920</v>
      </c>
      <c r="AY580" s="14">
        <f>IFERROR(__xludf.DUMMYFUNCTION("""COMPUTED_VALUE"""),4.7)</f>
        <v>4.7</v>
      </c>
      <c r="AZ580" s="14">
        <f>IFERROR(__xludf.DUMMYFUNCTION("""COMPUTED_VALUE"""),0.461)</f>
        <v>0.461</v>
      </c>
      <c r="BA580" s="14">
        <f t="shared" si="1"/>
        <v>13.861</v>
      </c>
    </row>
    <row r="581" ht="14.25" customHeight="1">
      <c r="A581" s="10" t="str">
        <f>IFERROR(__xludf.DUMMYFUNCTION("""COMPUTED_VALUE"""),"090222HA02")</f>
        <v>090222HA02</v>
      </c>
      <c r="B581" s="12" t="str">
        <f>IFERROR(__xludf.DUMMYFUNCTION("""COMPUTED_VALUE"""),"QYO-Bolonia")</f>
        <v>QYO-Bolonia</v>
      </c>
      <c r="C581" s="12"/>
      <c r="D581" s="12"/>
      <c r="E581" s="44">
        <f>IFERROR(__xludf.DUMMYFUNCTION("""COMPUTED_VALUE"""),44601.0)</f>
        <v>44601</v>
      </c>
      <c r="F581" s="12" t="str">
        <f>IFERROR(__xludf.DUMMYFUNCTION("""COMPUTED_VALUE"""),"TIPO I")</f>
        <v>TIPO I</v>
      </c>
      <c r="G581" s="12" t="str">
        <f>IFERROR(__xludf.DUMMYFUNCTION("""COMPUTED_VALUE"""),"Se presenta un lecho arenoso, rocoso. El cuerpo de agua presenta color y se percibe olor. ")</f>
        <v>Se presenta un lecho arenoso, rocoso. El cuerpo de agua presenta color y se percibe olor. </v>
      </c>
      <c r="H581" s="45">
        <f>IFERROR(__xludf.DUMMYFUNCTION("""COMPUTED_VALUE"""),0.5)</f>
        <v>0.5</v>
      </c>
      <c r="I581" s="45">
        <f>IFERROR(__xludf.DUMMYFUNCTION("""COMPUTED_VALUE"""),0.5833333333321207)</f>
        <v>0.5833333333</v>
      </c>
      <c r="J581" s="12">
        <f>IFERROR(__xludf.DUMMYFUNCTION("""COMPUTED_VALUE"""),3.3)</f>
        <v>3.3</v>
      </c>
      <c r="K581" s="12">
        <f>IFERROR(__xludf.DUMMYFUNCTION("""COMPUTED_VALUE"""),0.4)</f>
        <v>0.4</v>
      </c>
      <c r="L581" s="14">
        <f>IFERROR(__xludf.DUMMYFUNCTION("""COMPUTED_VALUE"""),263.803)</f>
        <v>263.803</v>
      </c>
      <c r="M581" s="14">
        <f>IFERROR(__xludf.DUMMYFUNCTION("""COMPUTED_VALUE"""),271.523)</f>
        <v>271.523</v>
      </c>
      <c r="N581" s="14">
        <f>IFERROR(__xludf.DUMMYFUNCTION("""COMPUTED_VALUE"""),275.845)</f>
        <v>275.845</v>
      </c>
      <c r="O581" s="14">
        <f>IFERROR(__xludf.DUMMYFUNCTION("""COMPUTED_VALUE"""),280.402)</f>
        <v>280.402</v>
      </c>
      <c r="P581" s="14">
        <f>IFERROR(__xludf.DUMMYFUNCTION("""COMPUTED_VALUE"""),269.23)</f>
        <v>269.23</v>
      </c>
      <c r="Q581" s="14">
        <f>IFERROR(__xludf.DUMMYFUNCTION("""COMPUTED_VALUE"""),272.161)</f>
        <v>272.161</v>
      </c>
      <c r="R581" s="48">
        <f>IFERROR(__xludf.DUMMYFUNCTION("""COMPUTED_VALUE"""),6.13)</f>
        <v>6.13</v>
      </c>
      <c r="S581" s="48">
        <f>IFERROR(__xludf.DUMMYFUNCTION("""COMPUTED_VALUE"""),6.38)</f>
        <v>6.38</v>
      </c>
      <c r="T581" s="48">
        <f>IFERROR(__xludf.DUMMYFUNCTION("""COMPUTED_VALUE"""),6.56)</f>
        <v>6.56</v>
      </c>
      <c r="U581" s="48">
        <f>IFERROR(__xludf.DUMMYFUNCTION("""COMPUTED_VALUE"""),6.53)</f>
        <v>6.53</v>
      </c>
      <c r="V581" s="48">
        <f>IFERROR(__xludf.DUMMYFUNCTION("""COMPUTED_VALUE"""),6.6)</f>
        <v>6.6</v>
      </c>
      <c r="W581" s="14">
        <f>IFERROR(__xludf.DUMMYFUNCTION("""COMPUTED_VALUE"""),6.44)</f>
        <v>6.44</v>
      </c>
      <c r="X581" s="14">
        <f>IFERROR(__xludf.DUMMYFUNCTION("""COMPUTED_VALUE"""),14.9)</f>
        <v>14.9</v>
      </c>
      <c r="Y581" s="14">
        <f>IFERROR(__xludf.DUMMYFUNCTION("""COMPUTED_VALUE"""),16.8)</f>
        <v>16.8</v>
      </c>
      <c r="Z581" s="14">
        <f>IFERROR(__xludf.DUMMYFUNCTION("""COMPUTED_VALUE"""),15.0)</f>
        <v>15</v>
      </c>
      <c r="AA581" s="14">
        <f>IFERROR(__xludf.DUMMYFUNCTION("""COMPUTED_VALUE"""),14.7)</f>
        <v>14.7</v>
      </c>
      <c r="AB581" s="14">
        <f>IFERROR(__xludf.DUMMYFUNCTION("""COMPUTED_VALUE"""),14.4)</f>
        <v>14.4</v>
      </c>
      <c r="AC581" s="14">
        <f>IFERROR(__xludf.DUMMYFUNCTION("""COMPUTED_VALUE"""),15.160000000000002)</f>
        <v>15.16</v>
      </c>
      <c r="AD581" s="48">
        <f>IFERROR(__xludf.DUMMYFUNCTION("""COMPUTED_VALUE"""),283.0)</f>
        <v>283</v>
      </c>
      <c r="AE581" s="48">
        <f>IFERROR(__xludf.DUMMYFUNCTION("""COMPUTED_VALUE"""),398.0)</f>
        <v>398</v>
      </c>
      <c r="AF581" s="48">
        <f>IFERROR(__xludf.DUMMYFUNCTION("""COMPUTED_VALUE"""),426.0)</f>
        <v>426</v>
      </c>
      <c r="AG581" s="48">
        <f>IFERROR(__xludf.DUMMYFUNCTION("""COMPUTED_VALUE"""),415.0)</f>
        <v>415</v>
      </c>
      <c r="AH581" s="48">
        <f>IFERROR(__xludf.DUMMYFUNCTION("""COMPUTED_VALUE"""),420.0)</f>
        <v>420</v>
      </c>
      <c r="AI581" s="14">
        <f>IFERROR(__xludf.DUMMYFUNCTION("""COMPUTED_VALUE"""),388.4)</f>
        <v>388.4</v>
      </c>
      <c r="AJ581" s="14">
        <f>IFERROR(__xludf.DUMMYFUNCTION("""COMPUTED_VALUE"""),4.73)</f>
        <v>4.73</v>
      </c>
      <c r="AK581" s="14">
        <f>IFERROR(__xludf.DUMMYFUNCTION("""COMPUTED_VALUE"""),4.44)</f>
        <v>4.44</v>
      </c>
      <c r="AL581" s="14">
        <f>IFERROR(__xludf.DUMMYFUNCTION("""COMPUTED_VALUE"""),4.12)</f>
        <v>4.12</v>
      </c>
      <c r="AM581" s="14">
        <f>IFERROR(__xludf.DUMMYFUNCTION("""COMPUTED_VALUE"""),4.96)</f>
        <v>4.96</v>
      </c>
      <c r="AN581" s="14">
        <f>IFERROR(__xludf.DUMMYFUNCTION("""COMPUTED_VALUE"""),4.33)</f>
        <v>4.33</v>
      </c>
      <c r="AO581" s="14">
        <f>IFERROR(__xludf.DUMMYFUNCTION("""COMPUTED_VALUE"""),4.516000000000001)</f>
        <v>4.516</v>
      </c>
      <c r="AP581" s="14">
        <f>IFERROR(__xludf.DUMMYFUNCTION("""COMPUTED_VALUE"""),73.0)</f>
        <v>73</v>
      </c>
      <c r="AQ581" s="14">
        <f>IFERROR(__xludf.DUMMYFUNCTION("""COMPUTED_VALUE"""),187.0)</f>
        <v>187</v>
      </c>
      <c r="AR581" s="14">
        <f>IFERROR(__xludf.DUMMYFUNCTION("""COMPUTED_VALUE"""),91.0)</f>
        <v>91</v>
      </c>
      <c r="AS581" s="14">
        <f>IFERROR(__xludf.DUMMYFUNCTION("""COMPUTED_VALUE"""),15.2)</f>
        <v>15.2</v>
      </c>
      <c r="AT581" s="14">
        <f>IFERROR(__xludf.DUMMYFUNCTION("""COMPUTED_VALUE"""),3.83)</f>
        <v>3.83</v>
      </c>
      <c r="AU581" s="14">
        <f>IFERROR(__xludf.DUMMYFUNCTION("""COMPUTED_VALUE"""),1.106E7)</f>
        <v>11060000</v>
      </c>
      <c r="AV581" s="14">
        <f>IFERROR(__xludf.DUMMYFUNCTION("""COMPUTED_VALUE"""),1.75)</f>
        <v>1.75</v>
      </c>
      <c r="AW581" s="14">
        <f>IFERROR(__xludf.DUMMYFUNCTION("""COMPUTED_VALUE"""),18.8)</f>
        <v>18.8</v>
      </c>
      <c r="AX581" s="14">
        <f>IFERROR(__xludf.DUMMYFUNCTION("""COMPUTED_VALUE"""),982000.0)</f>
        <v>982000</v>
      </c>
      <c r="AY581" s="14">
        <f>IFERROR(__xludf.DUMMYFUNCTION("""COMPUTED_VALUE"""),0.8)</f>
        <v>0.8</v>
      </c>
      <c r="AZ581" s="14">
        <f>IFERROR(__xludf.DUMMYFUNCTION("""COMPUTED_VALUE"""),0.007)</f>
        <v>0.007</v>
      </c>
      <c r="BA581" s="14">
        <f t="shared" si="1"/>
        <v>19.607</v>
      </c>
    </row>
    <row r="582" ht="14.25" customHeight="1">
      <c r="A582" s="10" t="str">
        <f>IFERROR(__xludf.DUMMYFUNCTION("""COMPUTED_VALUE"""),"090222WI03")</f>
        <v>090222WI03</v>
      </c>
      <c r="B582" s="12" t="str">
        <f>IFERROR(__xludf.DUMMYFUNCTION("""COMPUTED_VALUE"""),"QTR-Acapulco")</f>
        <v>QTR-Acapulco</v>
      </c>
      <c r="C582" s="12"/>
      <c r="D582" s="12"/>
      <c r="E582" s="44">
        <f>IFERROR(__xludf.DUMMYFUNCTION("""COMPUTED_VALUE"""),44601.0)</f>
        <v>44601</v>
      </c>
      <c r="F582" s="12" t="str">
        <f>IFERROR(__xludf.DUMMYFUNCTION("""COMPUTED_VALUE"""),"TIPO I")</f>
        <v>TIPO I</v>
      </c>
      <c r="G582" s="12" t="str">
        <f>IFERROR(__xludf.DUMMYFUNCTION("""COMPUTED_VALUE"""),"Se perciben olores y se observa presencia de color ")</f>
        <v>Se perciben olores y se observa presencia de color </v>
      </c>
      <c r="H582" s="45">
        <f>IFERROR(__xludf.DUMMYFUNCTION("""COMPUTED_VALUE"""),0.6666666666678793)</f>
        <v>0.6666666667</v>
      </c>
      <c r="I582" s="45">
        <f>IFERROR(__xludf.DUMMYFUNCTION("""COMPUTED_VALUE"""),0.75)</f>
        <v>0.75</v>
      </c>
      <c r="J582" s="12">
        <f>IFERROR(__xludf.DUMMYFUNCTION("""COMPUTED_VALUE"""),1.32)</f>
        <v>1.32</v>
      </c>
      <c r="K582" s="12">
        <f>IFERROR(__xludf.DUMMYFUNCTION("""COMPUTED_VALUE"""),0.17)</f>
        <v>0.17</v>
      </c>
      <c r="L582" s="14">
        <f>IFERROR(__xludf.DUMMYFUNCTION("""COMPUTED_VALUE"""),49.542)</f>
        <v>49.542</v>
      </c>
      <c r="M582" s="14">
        <f>IFERROR(__xludf.DUMMYFUNCTION("""COMPUTED_VALUE"""),48.426)</f>
        <v>48.426</v>
      </c>
      <c r="N582" s="14">
        <f>IFERROR(__xludf.DUMMYFUNCTION("""COMPUTED_VALUE"""),49.714)</f>
        <v>49.714</v>
      </c>
      <c r="O582" s="14">
        <f>IFERROR(__xludf.DUMMYFUNCTION("""COMPUTED_VALUE"""),49.727)</f>
        <v>49.727</v>
      </c>
      <c r="P582" s="14">
        <f>IFERROR(__xludf.DUMMYFUNCTION("""COMPUTED_VALUE"""),51.765)</f>
        <v>51.765</v>
      </c>
      <c r="Q582" s="14">
        <f>IFERROR(__xludf.DUMMYFUNCTION("""COMPUTED_VALUE"""),49.835)</f>
        <v>49.835</v>
      </c>
      <c r="R582" s="48">
        <f>IFERROR(__xludf.DUMMYFUNCTION("""COMPUTED_VALUE"""),11.35)</f>
        <v>11.35</v>
      </c>
      <c r="S582" s="48">
        <f>IFERROR(__xludf.DUMMYFUNCTION("""COMPUTED_VALUE"""),11.25)</f>
        <v>11.25</v>
      </c>
      <c r="T582" s="48">
        <f>IFERROR(__xludf.DUMMYFUNCTION("""COMPUTED_VALUE"""),11.3)</f>
        <v>11.3</v>
      </c>
      <c r="U582" s="48">
        <f>IFERROR(__xludf.DUMMYFUNCTION("""COMPUTED_VALUE"""),10.82)</f>
        <v>10.82</v>
      </c>
      <c r="V582" s="48">
        <f>IFERROR(__xludf.DUMMYFUNCTION("""COMPUTED_VALUE"""),10.94)</f>
        <v>10.94</v>
      </c>
      <c r="W582" s="14">
        <f>IFERROR(__xludf.DUMMYFUNCTION("""COMPUTED_VALUE"""),11.132000000000001)</f>
        <v>11.132</v>
      </c>
      <c r="X582" s="14">
        <f>IFERROR(__xludf.DUMMYFUNCTION("""COMPUTED_VALUE"""),15.9)</f>
        <v>15.9</v>
      </c>
      <c r="Y582" s="14">
        <f>IFERROR(__xludf.DUMMYFUNCTION("""COMPUTED_VALUE"""),15.0)</f>
        <v>15</v>
      </c>
      <c r="Z582" s="14">
        <f>IFERROR(__xludf.DUMMYFUNCTION("""COMPUTED_VALUE"""),15.4)</f>
        <v>15.4</v>
      </c>
      <c r="AA582" s="14">
        <f>IFERROR(__xludf.DUMMYFUNCTION("""COMPUTED_VALUE"""),15.0)</f>
        <v>15</v>
      </c>
      <c r="AB582" s="14">
        <f>IFERROR(__xludf.DUMMYFUNCTION("""COMPUTED_VALUE"""),14.6)</f>
        <v>14.6</v>
      </c>
      <c r="AC582" s="14">
        <f>IFERROR(__xludf.DUMMYFUNCTION("""COMPUTED_VALUE"""),15.179999999999998)</f>
        <v>15.18</v>
      </c>
      <c r="AD582" s="48">
        <f>IFERROR(__xludf.DUMMYFUNCTION("""COMPUTED_VALUE"""),1138.0)</f>
        <v>1138</v>
      </c>
      <c r="AE582" s="48">
        <f>IFERROR(__xludf.DUMMYFUNCTION("""COMPUTED_VALUE"""),1095.0)</f>
        <v>1095</v>
      </c>
      <c r="AF582" s="48">
        <f>IFERROR(__xludf.DUMMYFUNCTION("""COMPUTED_VALUE"""),1108.0)</f>
        <v>1108</v>
      </c>
      <c r="AG582" s="48">
        <f>IFERROR(__xludf.DUMMYFUNCTION("""COMPUTED_VALUE"""),642.0)</f>
        <v>642</v>
      </c>
      <c r="AH582" s="48">
        <f>IFERROR(__xludf.DUMMYFUNCTION("""COMPUTED_VALUE"""),1108.0)</f>
        <v>1108</v>
      </c>
      <c r="AI582" s="14">
        <f>IFERROR(__xludf.DUMMYFUNCTION("""COMPUTED_VALUE"""),1018.2)</f>
        <v>1018.2</v>
      </c>
      <c r="AJ582" s="14">
        <f>IFERROR(__xludf.DUMMYFUNCTION("""COMPUTED_VALUE"""),5.35)</f>
        <v>5.35</v>
      </c>
      <c r="AK582" s="14">
        <f>IFERROR(__xludf.DUMMYFUNCTION("""COMPUTED_VALUE"""),5.74)</f>
        <v>5.74</v>
      </c>
      <c r="AL582" s="14">
        <f>IFERROR(__xludf.DUMMYFUNCTION("""COMPUTED_VALUE"""),5.37)</f>
        <v>5.37</v>
      </c>
      <c r="AM582" s="14">
        <f>IFERROR(__xludf.DUMMYFUNCTION("""COMPUTED_VALUE"""),5.17)</f>
        <v>5.17</v>
      </c>
      <c r="AN582" s="14">
        <f>IFERROR(__xludf.DUMMYFUNCTION("""COMPUTED_VALUE"""),5.2)</f>
        <v>5.2</v>
      </c>
      <c r="AO582" s="14">
        <f>IFERROR(__xludf.DUMMYFUNCTION("""COMPUTED_VALUE"""),5.3660000000000005)</f>
        <v>5.366</v>
      </c>
      <c r="AP582" s="14">
        <f>IFERROR(__xludf.DUMMYFUNCTION("""COMPUTED_VALUE"""),62.0)</f>
        <v>62</v>
      </c>
      <c r="AQ582" s="14">
        <f>IFERROR(__xludf.DUMMYFUNCTION("""COMPUTED_VALUE"""),659.0)</f>
        <v>659</v>
      </c>
      <c r="AR582" s="14">
        <f>IFERROR(__xludf.DUMMYFUNCTION("""COMPUTED_VALUE"""),6287.0)</f>
        <v>6287</v>
      </c>
      <c r="AS582" s="14">
        <f>IFERROR(__xludf.DUMMYFUNCTION("""COMPUTED_VALUE"""),19.7)</f>
        <v>19.7</v>
      </c>
      <c r="AT582" s="14">
        <f>IFERROR(__xludf.DUMMYFUNCTION("""COMPUTED_VALUE"""),1.52)</f>
        <v>1.52</v>
      </c>
      <c r="AU582" s="14">
        <f>IFERROR(__xludf.DUMMYFUNCTION("""COMPUTED_VALUE"""),8230000.0)</f>
        <v>8230000</v>
      </c>
      <c r="AV582" s="14">
        <f>IFERROR(__xludf.DUMMYFUNCTION("""COMPUTED_VALUE"""),0.05)</f>
        <v>0.05</v>
      </c>
      <c r="AW582" s="14">
        <f>IFERROR(__xludf.DUMMYFUNCTION("""COMPUTED_VALUE"""),13.2)</f>
        <v>13.2</v>
      </c>
      <c r="AX582" s="14">
        <f>IFERROR(__xludf.DUMMYFUNCTION("""COMPUTED_VALUE"""),776000.0)</f>
        <v>776000</v>
      </c>
      <c r="AY582" s="14">
        <f>IFERROR(__xludf.DUMMYFUNCTION("""COMPUTED_VALUE"""),1.4)</f>
        <v>1.4</v>
      </c>
      <c r="AZ582" s="14">
        <f>IFERROR(__xludf.DUMMYFUNCTION("""COMPUTED_VALUE"""),0.535)</f>
        <v>0.535</v>
      </c>
      <c r="BA582" s="14">
        <f t="shared" si="1"/>
        <v>15.135</v>
      </c>
    </row>
    <row r="583" ht="14.25" customHeight="1">
      <c r="A583" s="10" t="str">
        <f>IFERROR(__xludf.DUMMYFUNCTION("""COMPUTED_VALUE"""),"090222WI02")</f>
        <v>090222WI02</v>
      </c>
      <c r="B583" s="12" t="str">
        <f>IFERROR(__xludf.DUMMYFUNCTION("""COMPUTED_VALUE"""),"QTR-Quiba")</f>
        <v>QTR-Quiba</v>
      </c>
      <c r="C583" s="12"/>
      <c r="D583" s="12"/>
      <c r="E583" s="44">
        <f>IFERROR(__xludf.DUMMYFUNCTION("""COMPUTED_VALUE"""),44601.0)</f>
        <v>44601</v>
      </c>
      <c r="F583" s="12" t="str">
        <f>IFERROR(__xludf.DUMMYFUNCTION("""COMPUTED_VALUE"""),"TIPO I")</f>
        <v>TIPO I</v>
      </c>
      <c r="G583" s="12" t="str">
        <f>IFERROR(__xludf.DUMMYFUNCTION("""COMPUTED_VALUE"""),"Se observa color, espuma y residuos sólidos, además se percibe olor.
Al momento de realizar la toma de muestra 1,4 y 5 se observó cambio en el color del agua por posible vertimiento de actividades relacionadas con canteras ubicadas aguas arriba.")</f>
        <v>Se observa color, espuma y residuos sólidos, además se percibe olor.
Al momento de realizar la toma de muestra 1,4 y 5 se observó cambio en el color del agua por posible vertimiento de actividades relacionadas con canteras ubicadas aguas arriba.</v>
      </c>
      <c r="H583" s="45">
        <f>IFERROR(__xludf.DUMMYFUNCTION("""COMPUTED_VALUE"""),0.5)</f>
        <v>0.5</v>
      </c>
      <c r="I583" s="45">
        <f>IFERROR(__xludf.DUMMYFUNCTION("""COMPUTED_VALUE"""),0.5833333333321207)</f>
        <v>0.5833333333</v>
      </c>
      <c r="J583" s="12">
        <f>IFERROR(__xludf.DUMMYFUNCTION("""COMPUTED_VALUE"""),0.7)</f>
        <v>0.7</v>
      </c>
      <c r="K583" s="12">
        <f>IFERROR(__xludf.DUMMYFUNCTION("""COMPUTED_VALUE"""),0.17)</f>
        <v>0.17</v>
      </c>
      <c r="L583" s="14">
        <f>IFERROR(__xludf.DUMMYFUNCTION("""COMPUTED_VALUE"""),27.034)</f>
        <v>27.034</v>
      </c>
      <c r="M583" s="14">
        <f>IFERROR(__xludf.DUMMYFUNCTION("""COMPUTED_VALUE"""),30.207)</f>
        <v>30.207</v>
      </c>
      <c r="N583" s="14">
        <f>IFERROR(__xludf.DUMMYFUNCTION("""COMPUTED_VALUE"""),25.834)</f>
        <v>25.834</v>
      </c>
      <c r="O583" s="14">
        <f>IFERROR(__xludf.DUMMYFUNCTION("""COMPUTED_VALUE"""),28.119)</f>
        <v>28.119</v>
      </c>
      <c r="P583" s="14">
        <f>IFERROR(__xludf.DUMMYFUNCTION("""COMPUTED_VALUE"""),31.078)</f>
        <v>31.078</v>
      </c>
      <c r="Q583" s="14">
        <f>IFERROR(__xludf.DUMMYFUNCTION("""COMPUTED_VALUE"""),28.454)</f>
        <v>28.454</v>
      </c>
      <c r="R583" s="48">
        <f>IFERROR(__xludf.DUMMYFUNCTION("""COMPUTED_VALUE"""),11.04)</f>
        <v>11.04</v>
      </c>
      <c r="S583" s="48">
        <f>IFERROR(__xludf.DUMMYFUNCTION("""COMPUTED_VALUE"""),9.4)</f>
        <v>9.4</v>
      </c>
      <c r="T583" s="48">
        <f>IFERROR(__xludf.DUMMYFUNCTION("""COMPUTED_VALUE"""),9.18)</f>
        <v>9.18</v>
      </c>
      <c r="U583" s="48">
        <f>IFERROR(__xludf.DUMMYFUNCTION("""COMPUTED_VALUE"""),10.57)</f>
        <v>10.57</v>
      </c>
      <c r="V583" s="48">
        <f>IFERROR(__xludf.DUMMYFUNCTION("""COMPUTED_VALUE"""),11.36)</f>
        <v>11.36</v>
      </c>
      <c r="W583" s="14">
        <f>IFERROR(__xludf.DUMMYFUNCTION("""COMPUTED_VALUE"""),10.309999999999999)</f>
        <v>10.31</v>
      </c>
      <c r="X583" s="14">
        <f>IFERROR(__xludf.DUMMYFUNCTION("""COMPUTED_VALUE"""),16.0)</f>
        <v>16</v>
      </c>
      <c r="Y583" s="14">
        <f>IFERROR(__xludf.DUMMYFUNCTION("""COMPUTED_VALUE"""),16.4)</f>
        <v>16.4</v>
      </c>
      <c r="Z583" s="14">
        <f>IFERROR(__xludf.DUMMYFUNCTION("""COMPUTED_VALUE"""),16.2)</f>
        <v>16.2</v>
      </c>
      <c r="AA583" s="14">
        <f>IFERROR(__xludf.DUMMYFUNCTION("""COMPUTED_VALUE"""),16.2)</f>
        <v>16.2</v>
      </c>
      <c r="AB583" s="14">
        <f>IFERROR(__xludf.DUMMYFUNCTION("""COMPUTED_VALUE"""),15.9)</f>
        <v>15.9</v>
      </c>
      <c r="AC583" s="14">
        <f>IFERROR(__xludf.DUMMYFUNCTION("""COMPUTED_VALUE"""),16.14)</f>
        <v>16.14</v>
      </c>
      <c r="AD583" s="48">
        <f>IFERROR(__xludf.DUMMYFUNCTION("""COMPUTED_VALUE"""),820.0)</f>
        <v>820</v>
      </c>
      <c r="AE583" s="48">
        <f>IFERROR(__xludf.DUMMYFUNCTION("""COMPUTED_VALUE"""),630.0)</f>
        <v>630</v>
      </c>
      <c r="AF583" s="48">
        <f>IFERROR(__xludf.DUMMYFUNCTION("""COMPUTED_VALUE"""),633.0)</f>
        <v>633</v>
      </c>
      <c r="AG583" s="48">
        <f>IFERROR(__xludf.DUMMYFUNCTION("""COMPUTED_VALUE"""),645.0)</f>
        <v>645</v>
      </c>
      <c r="AH583" s="48">
        <f>IFERROR(__xludf.DUMMYFUNCTION("""COMPUTED_VALUE"""),1253.0)</f>
        <v>1253</v>
      </c>
      <c r="AI583" s="14">
        <f>IFERROR(__xludf.DUMMYFUNCTION("""COMPUTED_VALUE"""),796.2)</f>
        <v>796.2</v>
      </c>
      <c r="AJ583" s="14">
        <f>IFERROR(__xludf.DUMMYFUNCTION("""COMPUTED_VALUE"""),5.65)</f>
        <v>5.65</v>
      </c>
      <c r="AK583" s="14">
        <f>IFERROR(__xludf.DUMMYFUNCTION("""COMPUTED_VALUE"""),5.16)</f>
        <v>5.16</v>
      </c>
      <c r="AL583" s="14">
        <f>IFERROR(__xludf.DUMMYFUNCTION("""COMPUTED_VALUE"""),5.43)</f>
        <v>5.43</v>
      </c>
      <c r="AM583" s="14">
        <f>IFERROR(__xludf.DUMMYFUNCTION("""COMPUTED_VALUE"""),5.6)</f>
        <v>5.6</v>
      </c>
      <c r="AN583" s="14">
        <f>IFERROR(__xludf.DUMMYFUNCTION("""COMPUTED_VALUE"""),5.68)</f>
        <v>5.68</v>
      </c>
      <c r="AO583" s="14">
        <f>IFERROR(__xludf.DUMMYFUNCTION("""COMPUTED_VALUE"""),5.5040000000000004)</f>
        <v>5.504</v>
      </c>
      <c r="AP583" s="14">
        <f>IFERROR(__xludf.DUMMYFUNCTION("""COMPUTED_VALUE"""),143.0)</f>
        <v>143</v>
      </c>
      <c r="AQ583" s="14">
        <f>IFERROR(__xludf.DUMMYFUNCTION("""COMPUTED_VALUE"""),435.0)</f>
        <v>435</v>
      </c>
      <c r="AR583" s="14">
        <f>IFERROR(__xludf.DUMMYFUNCTION("""COMPUTED_VALUE"""),5190.0)</f>
        <v>5190</v>
      </c>
      <c r="AS583" s="14">
        <f>IFERROR(__xludf.DUMMYFUNCTION("""COMPUTED_VALUE"""),4.4)</f>
        <v>4.4</v>
      </c>
      <c r="AT583" s="14">
        <f>IFERROR(__xludf.DUMMYFUNCTION("""COMPUTED_VALUE"""),2.27)</f>
        <v>2.27</v>
      </c>
      <c r="AU583" s="14">
        <f>IFERROR(__xludf.DUMMYFUNCTION("""COMPUTED_VALUE"""),1.092E7)</f>
        <v>10920000</v>
      </c>
      <c r="AV583" s="14">
        <f>IFERROR(__xludf.DUMMYFUNCTION("""COMPUTED_VALUE"""),0.05)</f>
        <v>0.05</v>
      </c>
      <c r="AW583" s="14">
        <f>IFERROR(__xludf.DUMMYFUNCTION("""COMPUTED_VALUE"""),15.7)</f>
        <v>15.7</v>
      </c>
      <c r="AX583" s="14">
        <f>IFERROR(__xludf.DUMMYFUNCTION("""COMPUTED_VALUE"""),9590000.0)</f>
        <v>9590000</v>
      </c>
      <c r="AY583" s="14">
        <f>IFERROR(__xludf.DUMMYFUNCTION("""COMPUTED_VALUE"""),1.7)</f>
        <v>1.7</v>
      </c>
      <c r="AZ583" s="14">
        <f>IFERROR(__xludf.DUMMYFUNCTION("""COMPUTED_VALUE"""),0.315)</f>
        <v>0.315</v>
      </c>
      <c r="BA583" s="14">
        <f t="shared" si="1"/>
        <v>17.715</v>
      </c>
    </row>
    <row r="584" ht="14.25" customHeight="1">
      <c r="A584" s="10" t="str">
        <f>IFERROR(__xludf.DUMMYFUNCTION("""COMPUTED_VALUE"""),"100222WI03")</f>
        <v>100222WI03</v>
      </c>
      <c r="B584" s="12" t="str">
        <f>IFERROR(__xludf.DUMMYFUNCTION("""COMPUTED_VALUE"""),"QSL-Portal Usme")</f>
        <v>QSL-Portal Usme</v>
      </c>
      <c r="C584" s="12"/>
      <c r="D584" s="12"/>
      <c r="E584" s="44">
        <f>IFERROR(__xludf.DUMMYFUNCTION("""COMPUTED_VALUE"""),44602.0)</f>
        <v>44602</v>
      </c>
      <c r="F584" s="12" t="str">
        <f>IFERROR(__xludf.DUMMYFUNCTION("""COMPUTED_VALUE"""),"TIPO I")</f>
        <v>TIPO I</v>
      </c>
      <c r="G584" s="12" t="str">
        <f>IFERROR(__xludf.DUMMYFUNCTION("""COMPUTED_VALUE"""),"Se evidencia color y olor, el lecho del cuerpo del agua es rocoso arenosos, se encuentra a una altura de 2602 m.s.n.m.")</f>
        <v>Se evidencia color y olor, el lecho del cuerpo del agua es rocoso arenosos, se encuentra a una altura de 2602 m.s.n.m.</v>
      </c>
      <c r="H584" s="45">
        <f>IFERROR(__xludf.DUMMYFUNCTION("""COMPUTED_VALUE"""),0.5833333333321207)</f>
        <v>0.5833333333</v>
      </c>
      <c r="I584" s="45">
        <f>IFERROR(__xludf.DUMMYFUNCTION("""COMPUTED_VALUE"""),0.6666666666678793)</f>
        <v>0.6666666667</v>
      </c>
      <c r="J584" s="12">
        <f>IFERROR(__xludf.DUMMYFUNCTION("""COMPUTED_VALUE"""),1.68)</f>
        <v>1.68</v>
      </c>
      <c r="K584" s="12">
        <f>IFERROR(__xludf.DUMMYFUNCTION("""COMPUTED_VALUE"""),0.25)</f>
        <v>0.25</v>
      </c>
      <c r="L584" s="14">
        <f>IFERROR(__xludf.DUMMYFUNCTION("""COMPUTED_VALUE"""),69.179)</f>
        <v>69.179</v>
      </c>
      <c r="M584" s="14">
        <f>IFERROR(__xludf.DUMMYFUNCTION("""COMPUTED_VALUE"""),70.1)</f>
        <v>70.1</v>
      </c>
      <c r="N584" s="14">
        <f>IFERROR(__xludf.DUMMYFUNCTION("""COMPUTED_VALUE"""),71.176)</f>
        <v>71.176</v>
      </c>
      <c r="O584" s="14">
        <f>IFERROR(__xludf.DUMMYFUNCTION("""COMPUTED_VALUE"""),72.963)</f>
        <v>72.963</v>
      </c>
      <c r="P584" s="14">
        <f>IFERROR(__xludf.DUMMYFUNCTION("""COMPUTED_VALUE"""),73.666)</f>
        <v>73.666</v>
      </c>
      <c r="Q584" s="14">
        <f>IFERROR(__xludf.DUMMYFUNCTION("""COMPUTED_VALUE"""),71.417)</f>
        <v>71.417</v>
      </c>
      <c r="R584" s="48">
        <f>IFERROR(__xludf.DUMMYFUNCTION("""COMPUTED_VALUE"""),7.33)</f>
        <v>7.33</v>
      </c>
      <c r="S584" s="48">
        <f>IFERROR(__xludf.DUMMYFUNCTION("""COMPUTED_VALUE"""),7.37)</f>
        <v>7.37</v>
      </c>
      <c r="T584" s="48">
        <f>IFERROR(__xludf.DUMMYFUNCTION("""COMPUTED_VALUE"""),7.22)</f>
        <v>7.22</v>
      </c>
      <c r="U584" s="48">
        <f>IFERROR(__xludf.DUMMYFUNCTION("""COMPUTED_VALUE"""),7.31)</f>
        <v>7.31</v>
      </c>
      <c r="V584" s="48">
        <f>IFERROR(__xludf.DUMMYFUNCTION("""COMPUTED_VALUE"""),7.23)</f>
        <v>7.23</v>
      </c>
      <c r="W584" s="14">
        <f>IFERROR(__xludf.DUMMYFUNCTION("""COMPUTED_VALUE"""),7.291999999999999)</f>
        <v>7.292</v>
      </c>
      <c r="X584" s="14">
        <f>IFERROR(__xludf.DUMMYFUNCTION("""COMPUTED_VALUE"""),16.1)</f>
        <v>16.1</v>
      </c>
      <c r="Y584" s="14">
        <f>IFERROR(__xludf.DUMMYFUNCTION("""COMPUTED_VALUE"""),16.3)</f>
        <v>16.3</v>
      </c>
      <c r="Z584" s="14">
        <f>IFERROR(__xludf.DUMMYFUNCTION("""COMPUTED_VALUE"""),15.7)</f>
        <v>15.7</v>
      </c>
      <c r="AA584" s="14">
        <f>IFERROR(__xludf.DUMMYFUNCTION("""COMPUTED_VALUE"""),16.1)</f>
        <v>16.1</v>
      </c>
      <c r="AB584" s="14">
        <f>IFERROR(__xludf.DUMMYFUNCTION("""COMPUTED_VALUE"""),16.1)</f>
        <v>16.1</v>
      </c>
      <c r="AC584" s="14">
        <f>IFERROR(__xludf.DUMMYFUNCTION("""COMPUTED_VALUE"""),16.060000000000002)</f>
        <v>16.06</v>
      </c>
      <c r="AD584" s="48">
        <f>IFERROR(__xludf.DUMMYFUNCTION("""COMPUTED_VALUE"""),450.0)</f>
        <v>450</v>
      </c>
      <c r="AE584" s="48">
        <f>IFERROR(__xludf.DUMMYFUNCTION("""COMPUTED_VALUE"""),451.0)</f>
        <v>451</v>
      </c>
      <c r="AF584" s="48">
        <f>IFERROR(__xludf.DUMMYFUNCTION("""COMPUTED_VALUE"""),446.0)</f>
        <v>446</v>
      </c>
      <c r="AG584" s="48">
        <f>IFERROR(__xludf.DUMMYFUNCTION("""COMPUTED_VALUE"""),457.0)</f>
        <v>457</v>
      </c>
      <c r="AH584" s="48">
        <f>IFERROR(__xludf.DUMMYFUNCTION("""COMPUTED_VALUE"""),448.0)</f>
        <v>448</v>
      </c>
      <c r="AI584" s="14">
        <f>IFERROR(__xludf.DUMMYFUNCTION("""COMPUTED_VALUE"""),450.4)</f>
        <v>450.4</v>
      </c>
      <c r="AJ584" s="14">
        <f>IFERROR(__xludf.DUMMYFUNCTION("""COMPUTED_VALUE"""),1.87)</f>
        <v>1.87</v>
      </c>
      <c r="AK584" s="14">
        <f>IFERROR(__xludf.DUMMYFUNCTION("""COMPUTED_VALUE"""),1.93)</f>
        <v>1.93</v>
      </c>
      <c r="AL584" s="14">
        <f>IFERROR(__xludf.DUMMYFUNCTION("""COMPUTED_VALUE"""),1.81)</f>
        <v>1.81</v>
      </c>
      <c r="AM584" s="14">
        <f>IFERROR(__xludf.DUMMYFUNCTION("""COMPUTED_VALUE"""),1.8)</f>
        <v>1.8</v>
      </c>
      <c r="AN584" s="14">
        <f>IFERROR(__xludf.DUMMYFUNCTION("""COMPUTED_VALUE"""),1.72)</f>
        <v>1.72</v>
      </c>
      <c r="AO584" s="14">
        <f>IFERROR(__xludf.DUMMYFUNCTION("""COMPUTED_VALUE"""),1.8259999999999998)</f>
        <v>1.826</v>
      </c>
      <c r="AP584" s="14">
        <f>IFERROR(__xludf.DUMMYFUNCTION("""COMPUTED_VALUE"""),40.0)</f>
        <v>40</v>
      </c>
      <c r="AQ584" s="14">
        <f>IFERROR(__xludf.DUMMYFUNCTION("""COMPUTED_VALUE"""),57.0)</f>
        <v>57</v>
      </c>
      <c r="AR584" s="14">
        <f>IFERROR(__xludf.DUMMYFUNCTION("""COMPUTED_VALUE"""),31.0)</f>
        <v>31</v>
      </c>
      <c r="AS584" s="14">
        <f>IFERROR(__xludf.DUMMYFUNCTION("""COMPUTED_VALUE"""),15.5)</f>
        <v>15.5</v>
      </c>
      <c r="AT584" s="14">
        <f>IFERROR(__xludf.DUMMYFUNCTION("""COMPUTED_VALUE"""),1.17)</f>
        <v>1.17</v>
      </c>
      <c r="AU584" s="14">
        <f>IFERROR(__xludf.DUMMYFUNCTION("""COMPUTED_VALUE"""),1.182E7)</f>
        <v>11820000</v>
      </c>
      <c r="AV584" s="14">
        <f>IFERROR(__xludf.DUMMYFUNCTION("""COMPUTED_VALUE"""),1.82)</f>
        <v>1.82</v>
      </c>
      <c r="AW584" s="14">
        <f>IFERROR(__xludf.DUMMYFUNCTION("""COMPUTED_VALUE"""),16.8)</f>
        <v>16.8</v>
      </c>
      <c r="AX584" s="14">
        <f>IFERROR(__xludf.DUMMYFUNCTION("""COMPUTED_VALUE"""),959000.0)</f>
        <v>959000</v>
      </c>
      <c r="AY584" s="14">
        <f>IFERROR(__xludf.DUMMYFUNCTION("""COMPUTED_VALUE"""),0.7)</f>
        <v>0.7</v>
      </c>
      <c r="AZ584" s="14">
        <f>IFERROR(__xludf.DUMMYFUNCTION("""COMPUTED_VALUE"""),0.007)</f>
        <v>0.007</v>
      </c>
      <c r="BA584" s="14">
        <f t="shared" si="1"/>
        <v>17.507</v>
      </c>
    </row>
    <row r="585" ht="14.25" customHeight="1">
      <c r="A585" s="10" t="str">
        <f>IFERROR(__xludf.DUMMYFUNCTION("""COMPUTED_VALUE"""),"160222HA01")</f>
        <v>160222HA01</v>
      </c>
      <c r="B585" s="12" t="str">
        <f>IFERROR(__xludf.DUMMYFUNCTION("""COMPUTED_VALUE"""),"QLI-Bella Flor")</f>
        <v>QLI-Bella Flor</v>
      </c>
      <c r="C585" s="12"/>
      <c r="D585" s="12"/>
      <c r="E585" s="44">
        <f>IFERROR(__xludf.DUMMYFUNCTION("""COMPUTED_VALUE"""),44608.0)</f>
        <v>44608</v>
      </c>
      <c r="F585" s="12" t="str">
        <f>IFERROR(__xludf.DUMMYFUNCTION("""COMPUTED_VALUE"""),"TIPO I")</f>
        <v>TIPO I</v>
      </c>
      <c r="G585" s="12" t="str">
        <f>IFERROR(__xludf.DUMMYFUNCTION("""COMPUTED_VALUE"""),"Se observa la presencia de color y se perciben olores, aguas abajo del punto de aforo se encuentra un vertimiento de agua residual domestica.")</f>
        <v>Se observa la presencia de color y se perciben olores, aguas abajo del punto de aforo se encuentra un vertimiento de agua residual domestica.</v>
      </c>
      <c r="H585" s="45">
        <f>IFERROR(__xludf.DUMMYFUNCTION("""COMPUTED_VALUE"""),0.25)</f>
        <v>0.25</v>
      </c>
      <c r="I585" s="45">
        <f>IFERROR(__xludf.DUMMYFUNCTION("""COMPUTED_VALUE"""),0.3333333333321207)</f>
        <v>0.3333333333</v>
      </c>
      <c r="J585" s="12">
        <f>IFERROR(__xludf.DUMMYFUNCTION("""COMPUTED_VALUE"""),1.0)</f>
        <v>1</v>
      </c>
      <c r="K585" s="12">
        <f>IFERROR(__xludf.DUMMYFUNCTION("""COMPUTED_VALUE"""),0.17)</f>
        <v>0.17</v>
      </c>
      <c r="L585" s="14">
        <f>IFERROR(__xludf.DUMMYFUNCTION("""COMPUTED_VALUE"""),17.077)</f>
        <v>17.077</v>
      </c>
      <c r="M585" s="14">
        <f>IFERROR(__xludf.DUMMYFUNCTION("""COMPUTED_VALUE"""),16.218)</f>
        <v>16.218</v>
      </c>
      <c r="N585" s="14">
        <f>IFERROR(__xludf.DUMMYFUNCTION("""COMPUTED_VALUE"""),20.599)</f>
        <v>20.599</v>
      </c>
      <c r="O585" s="14">
        <f>IFERROR(__xludf.DUMMYFUNCTION("""COMPUTED_VALUE"""),20.525)</f>
        <v>20.525</v>
      </c>
      <c r="P585" s="14">
        <f>IFERROR(__xludf.DUMMYFUNCTION("""COMPUTED_VALUE"""),20.872)</f>
        <v>20.872</v>
      </c>
      <c r="Q585" s="14">
        <f>IFERROR(__xludf.DUMMYFUNCTION("""COMPUTED_VALUE"""),19.058)</f>
        <v>19.058</v>
      </c>
      <c r="R585" s="48">
        <f>IFERROR(__xludf.DUMMYFUNCTION("""COMPUTED_VALUE"""),7.84)</f>
        <v>7.84</v>
      </c>
      <c r="S585" s="48">
        <f>IFERROR(__xludf.DUMMYFUNCTION("""COMPUTED_VALUE"""),7.77)</f>
        <v>7.77</v>
      </c>
      <c r="T585" s="48">
        <f>IFERROR(__xludf.DUMMYFUNCTION("""COMPUTED_VALUE"""),7.76)</f>
        <v>7.76</v>
      </c>
      <c r="U585" s="48">
        <f>IFERROR(__xludf.DUMMYFUNCTION("""COMPUTED_VALUE"""),7.79)</f>
        <v>7.79</v>
      </c>
      <c r="V585" s="48">
        <f>IFERROR(__xludf.DUMMYFUNCTION("""COMPUTED_VALUE"""),7.84)</f>
        <v>7.84</v>
      </c>
      <c r="W585" s="14">
        <f>IFERROR(__xludf.DUMMYFUNCTION("""COMPUTED_VALUE"""),7.8)</f>
        <v>7.8</v>
      </c>
      <c r="X585" s="14">
        <f>IFERROR(__xludf.DUMMYFUNCTION("""COMPUTED_VALUE"""),11.9)</f>
        <v>11.9</v>
      </c>
      <c r="Y585" s="14">
        <f>IFERROR(__xludf.DUMMYFUNCTION("""COMPUTED_VALUE"""),11.7)</f>
        <v>11.7</v>
      </c>
      <c r="Z585" s="14">
        <f>IFERROR(__xludf.DUMMYFUNCTION("""COMPUTED_VALUE"""),11.3)</f>
        <v>11.3</v>
      </c>
      <c r="AA585" s="14">
        <f>IFERROR(__xludf.DUMMYFUNCTION("""COMPUTED_VALUE"""),11.4)</f>
        <v>11.4</v>
      </c>
      <c r="AB585" s="14">
        <f>IFERROR(__xludf.DUMMYFUNCTION("""COMPUTED_VALUE"""),11.7)</f>
        <v>11.7</v>
      </c>
      <c r="AC585" s="14">
        <f>IFERROR(__xludf.DUMMYFUNCTION("""COMPUTED_VALUE"""),11.6)</f>
        <v>11.6</v>
      </c>
      <c r="AD585" s="48">
        <f>IFERROR(__xludf.DUMMYFUNCTION("""COMPUTED_VALUE"""),360.0)</f>
        <v>360</v>
      </c>
      <c r="AE585" s="48">
        <f>IFERROR(__xludf.DUMMYFUNCTION("""COMPUTED_VALUE"""),369.0)</f>
        <v>369</v>
      </c>
      <c r="AF585" s="48">
        <f>IFERROR(__xludf.DUMMYFUNCTION("""COMPUTED_VALUE"""),382.0)</f>
        <v>382</v>
      </c>
      <c r="AG585" s="48">
        <f>IFERROR(__xludf.DUMMYFUNCTION("""COMPUTED_VALUE"""),416.0)</f>
        <v>416</v>
      </c>
      <c r="AH585" s="48">
        <f>IFERROR(__xludf.DUMMYFUNCTION("""COMPUTED_VALUE"""),429.0)</f>
        <v>429</v>
      </c>
      <c r="AI585" s="14">
        <f>IFERROR(__xludf.DUMMYFUNCTION("""COMPUTED_VALUE"""),391.2)</f>
        <v>391.2</v>
      </c>
      <c r="AJ585" s="14">
        <f>IFERROR(__xludf.DUMMYFUNCTION("""COMPUTED_VALUE"""),5.84)</f>
        <v>5.84</v>
      </c>
      <c r="AK585" s="14">
        <f>IFERROR(__xludf.DUMMYFUNCTION("""COMPUTED_VALUE"""),5.37)</f>
        <v>5.37</v>
      </c>
      <c r="AL585" s="14">
        <f>IFERROR(__xludf.DUMMYFUNCTION("""COMPUTED_VALUE"""),5.48)</f>
        <v>5.48</v>
      </c>
      <c r="AM585" s="14">
        <f>IFERROR(__xludf.DUMMYFUNCTION("""COMPUTED_VALUE"""),5.4)</f>
        <v>5.4</v>
      </c>
      <c r="AN585" s="14">
        <f>IFERROR(__xludf.DUMMYFUNCTION("""COMPUTED_VALUE"""),5.41)</f>
        <v>5.41</v>
      </c>
      <c r="AO585" s="14">
        <f>IFERROR(__xludf.DUMMYFUNCTION("""COMPUTED_VALUE"""),5.500000000000001)</f>
        <v>5.5</v>
      </c>
      <c r="AP585" s="14">
        <f>IFERROR(__xludf.DUMMYFUNCTION("""COMPUTED_VALUE"""),21.0)</f>
        <v>21</v>
      </c>
      <c r="AQ585" s="14">
        <f>IFERROR(__xludf.DUMMYFUNCTION("""COMPUTED_VALUE"""),49.0)</f>
        <v>49</v>
      </c>
      <c r="AR585" s="14">
        <f>IFERROR(__xludf.DUMMYFUNCTION("""COMPUTED_VALUE"""),31.0)</f>
        <v>31</v>
      </c>
      <c r="AS585" s="14">
        <f>IFERROR(__xludf.DUMMYFUNCTION("""COMPUTED_VALUE"""),1.2)</f>
        <v>1.2</v>
      </c>
      <c r="AT585" s="14">
        <f>IFERROR(__xludf.DUMMYFUNCTION("""COMPUTED_VALUE"""),0.07)</f>
        <v>0.07</v>
      </c>
      <c r="AU585" s="14">
        <f>IFERROR(__xludf.DUMMYFUNCTION("""COMPUTED_VALUE"""),1.326E7)</f>
        <v>13260000</v>
      </c>
      <c r="AV585" s="14">
        <f>IFERROR(__xludf.DUMMYFUNCTION("""COMPUTED_VALUE"""),1.24)</f>
        <v>1.24</v>
      </c>
      <c r="AW585" s="14">
        <f>IFERROR(__xludf.DUMMYFUNCTION("""COMPUTED_VALUE"""),17.4)</f>
        <v>17.4</v>
      </c>
      <c r="AX585" s="14">
        <f>IFERROR(__xludf.DUMMYFUNCTION("""COMPUTED_VALUE"""),123800.0)</f>
        <v>123800</v>
      </c>
      <c r="AY585" s="14">
        <f>IFERROR(__xludf.DUMMYFUNCTION("""COMPUTED_VALUE"""),0.9)</f>
        <v>0.9</v>
      </c>
      <c r="AZ585" s="14">
        <f>IFERROR(__xludf.DUMMYFUNCTION("""COMPUTED_VALUE"""),0.05)</f>
        <v>0.05</v>
      </c>
      <c r="BA585" s="14">
        <f t="shared" si="1"/>
        <v>18.35</v>
      </c>
    </row>
    <row r="586" ht="14.25" customHeight="1">
      <c r="A586" s="10" t="str">
        <f>IFERROR(__xludf.DUMMYFUNCTION("""COMPUTED_VALUE"""),"160222HA02")</f>
        <v>160222HA02</v>
      </c>
      <c r="B586" s="12" t="str">
        <f>IFERROR(__xludf.DUMMYFUNCTION("""COMPUTED_VALUE"""),"QLI-Villa del Diamante")</f>
        <v>QLI-Villa del Diamante</v>
      </c>
      <c r="C586" s="12"/>
      <c r="D586" s="12"/>
      <c r="E586" s="44">
        <f>IFERROR(__xludf.DUMMYFUNCTION("""COMPUTED_VALUE"""),44608.0)</f>
        <v>44608</v>
      </c>
      <c r="F586" s="12" t="str">
        <f>IFERROR(__xludf.DUMMYFUNCTION("""COMPUTED_VALUE"""),"TIPO I")</f>
        <v>TIPO I</v>
      </c>
      <c r="G586" s="12" t="str">
        <f>IFERROR(__xludf.DUMMYFUNCTION("""COMPUTED_VALUE"""),"Presencia de color y espuma, se perciben olores ")</f>
        <v>Presencia de color y espuma, se perciben olores </v>
      </c>
      <c r="H586" s="45">
        <f>IFERROR(__xludf.DUMMYFUNCTION("""COMPUTED_VALUE"""),0.4166666666678793)</f>
        <v>0.4166666667</v>
      </c>
      <c r="I586" s="45">
        <f>IFERROR(__xludf.DUMMYFUNCTION("""COMPUTED_VALUE"""),0.5)</f>
        <v>0.5</v>
      </c>
      <c r="J586" s="12">
        <f>IFERROR(__xludf.DUMMYFUNCTION("""COMPUTED_VALUE"""),0.9)</f>
        <v>0.9</v>
      </c>
      <c r="K586" s="12">
        <f>IFERROR(__xludf.DUMMYFUNCTION("""COMPUTED_VALUE"""),0.24)</f>
        <v>0.24</v>
      </c>
      <c r="L586" s="14">
        <f>IFERROR(__xludf.DUMMYFUNCTION("""COMPUTED_VALUE"""),40.321)</f>
        <v>40.321</v>
      </c>
      <c r="M586" s="14">
        <f>IFERROR(__xludf.DUMMYFUNCTION("""COMPUTED_VALUE"""),37.499)</f>
        <v>37.499</v>
      </c>
      <c r="N586" s="14">
        <f>IFERROR(__xludf.DUMMYFUNCTION("""COMPUTED_VALUE"""),39.02)</f>
        <v>39.02</v>
      </c>
      <c r="O586" s="14">
        <f>IFERROR(__xludf.DUMMYFUNCTION("""COMPUTED_VALUE"""),42.569)</f>
        <v>42.569</v>
      </c>
      <c r="P586" s="14">
        <f>IFERROR(__xludf.DUMMYFUNCTION("""COMPUTED_VALUE"""),47.116)</f>
        <v>47.116</v>
      </c>
      <c r="Q586" s="14">
        <f>IFERROR(__xludf.DUMMYFUNCTION("""COMPUTED_VALUE"""),41.305)</f>
        <v>41.305</v>
      </c>
      <c r="R586" s="48">
        <f>IFERROR(__xludf.DUMMYFUNCTION("""COMPUTED_VALUE"""),8.98)</f>
        <v>8.98</v>
      </c>
      <c r="S586" s="48">
        <f>IFERROR(__xludf.DUMMYFUNCTION("""COMPUTED_VALUE"""),8.67)</f>
        <v>8.67</v>
      </c>
      <c r="T586" s="48">
        <f>IFERROR(__xludf.DUMMYFUNCTION("""COMPUTED_VALUE"""),8.61)</f>
        <v>8.61</v>
      </c>
      <c r="U586" s="48">
        <f>IFERROR(__xludf.DUMMYFUNCTION("""COMPUTED_VALUE"""),8.63)</f>
        <v>8.63</v>
      </c>
      <c r="V586" s="48">
        <f>IFERROR(__xludf.DUMMYFUNCTION("""COMPUTED_VALUE"""),8.56)</f>
        <v>8.56</v>
      </c>
      <c r="W586" s="14">
        <f>IFERROR(__xludf.DUMMYFUNCTION("""COMPUTED_VALUE"""),8.690000000000001)</f>
        <v>8.69</v>
      </c>
      <c r="X586" s="14">
        <f>IFERROR(__xludf.DUMMYFUNCTION("""COMPUTED_VALUE"""),14.5)</f>
        <v>14.5</v>
      </c>
      <c r="Y586" s="14">
        <f>IFERROR(__xludf.DUMMYFUNCTION("""COMPUTED_VALUE"""),14.6)</f>
        <v>14.6</v>
      </c>
      <c r="Z586" s="14">
        <f>IFERROR(__xludf.DUMMYFUNCTION("""COMPUTED_VALUE"""),15.0)</f>
        <v>15</v>
      </c>
      <c r="AA586" s="14">
        <f>IFERROR(__xludf.DUMMYFUNCTION("""COMPUTED_VALUE"""),15.7)</f>
        <v>15.7</v>
      </c>
      <c r="AB586" s="14">
        <f>IFERROR(__xludf.DUMMYFUNCTION("""COMPUTED_VALUE"""),15.2)</f>
        <v>15.2</v>
      </c>
      <c r="AC586" s="14">
        <f>IFERROR(__xludf.DUMMYFUNCTION("""COMPUTED_VALUE"""),15.0)</f>
        <v>15</v>
      </c>
      <c r="AD586" s="48">
        <f>IFERROR(__xludf.DUMMYFUNCTION("""COMPUTED_VALUE"""),351.0)</f>
        <v>351</v>
      </c>
      <c r="AE586" s="48">
        <f>IFERROR(__xludf.DUMMYFUNCTION("""COMPUTED_VALUE"""),357.0)</f>
        <v>357</v>
      </c>
      <c r="AF586" s="48">
        <f>IFERROR(__xludf.DUMMYFUNCTION("""COMPUTED_VALUE"""),369.0)</f>
        <v>369</v>
      </c>
      <c r="AG586" s="48">
        <f>IFERROR(__xludf.DUMMYFUNCTION("""COMPUTED_VALUE"""),376.0)</f>
        <v>376</v>
      </c>
      <c r="AH586" s="48">
        <f>IFERROR(__xludf.DUMMYFUNCTION("""COMPUTED_VALUE"""),383.0)</f>
        <v>383</v>
      </c>
      <c r="AI586" s="14">
        <f>IFERROR(__xludf.DUMMYFUNCTION("""COMPUTED_VALUE"""),367.2)</f>
        <v>367.2</v>
      </c>
      <c r="AJ586" s="14">
        <f>IFERROR(__xludf.DUMMYFUNCTION("""COMPUTED_VALUE"""),6.66)</f>
        <v>6.66</v>
      </c>
      <c r="AK586" s="14">
        <f>IFERROR(__xludf.DUMMYFUNCTION("""COMPUTED_VALUE"""),6.65)</f>
        <v>6.65</v>
      </c>
      <c r="AL586" s="14">
        <f>IFERROR(__xludf.DUMMYFUNCTION("""COMPUTED_VALUE"""),6.63)</f>
        <v>6.63</v>
      </c>
      <c r="AM586" s="14">
        <f>IFERROR(__xludf.DUMMYFUNCTION("""COMPUTED_VALUE"""),6.26)</f>
        <v>6.26</v>
      </c>
      <c r="AN586" s="14">
        <f>IFERROR(__xludf.DUMMYFUNCTION("""COMPUTED_VALUE"""),6.48)</f>
        <v>6.48</v>
      </c>
      <c r="AO586" s="14">
        <f>IFERROR(__xludf.DUMMYFUNCTION("""COMPUTED_VALUE"""),6.536000000000001)</f>
        <v>6.536</v>
      </c>
      <c r="AP586" s="14">
        <f>IFERROR(__xludf.DUMMYFUNCTION("""COMPUTED_VALUE"""),12.0)</f>
        <v>12</v>
      </c>
      <c r="AQ586" s="14">
        <f>IFERROR(__xludf.DUMMYFUNCTION("""COMPUTED_VALUE"""),37.0)</f>
        <v>37</v>
      </c>
      <c r="AR586" s="14">
        <f>IFERROR(__xludf.DUMMYFUNCTION("""COMPUTED_VALUE"""),59.0)</f>
        <v>59</v>
      </c>
      <c r="AS586" s="14">
        <f>IFERROR(__xludf.DUMMYFUNCTION("""COMPUTED_VALUE"""),1.2)</f>
        <v>1.2</v>
      </c>
      <c r="AT586" s="14">
        <f>IFERROR(__xludf.DUMMYFUNCTION("""COMPUTED_VALUE"""),0.07)</f>
        <v>0.07</v>
      </c>
      <c r="AU586" s="14">
        <f>IFERROR(__xludf.DUMMYFUNCTION("""COMPUTED_VALUE"""),1284000.0)</f>
        <v>1284000</v>
      </c>
      <c r="AV586" s="14">
        <f>IFERROR(__xludf.DUMMYFUNCTION("""COMPUTED_VALUE"""),1.31)</f>
        <v>1.31</v>
      </c>
      <c r="AW586" s="14">
        <f>IFERROR(__xludf.DUMMYFUNCTION("""COMPUTED_VALUE"""),7.6)</f>
        <v>7.6</v>
      </c>
      <c r="AX586" s="14">
        <f>IFERROR(__xludf.DUMMYFUNCTION("""COMPUTED_VALUE"""),1230000.0)</f>
        <v>1230000</v>
      </c>
      <c r="AY586" s="14">
        <f>IFERROR(__xludf.DUMMYFUNCTION("""COMPUTED_VALUE"""),2.6)</f>
        <v>2.6</v>
      </c>
      <c r="AZ586" s="14">
        <f>IFERROR(__xludf.DUMMYFUNCTION("""COMPUTED_VALUE"""),0.023)</f>
        <v>0.023</v>
      </c>
      <c r="BA586" s="14">
        <f t="shared" si="1"/>
        <v>10.223</v>
      </c>
    </row>
    <row r="587" ht="14.25" customHeight="1">
      <c r="A587" s="10" t="str">
        <f>IFERROR(__xludf.DUMMYFUNCTION("""COMPUTED_VALUE"""),"170222HA01")</f>
        <v>170222HA01</v>
      </c>
      <c r="B587" s="12" t="str">
        <f>IFERROR(__xludf.DUMMYFUNCTION("""COMPUTED_VALUE"""),"CON-Callejas")</f>
        <v>CON-Callejas</v>
      </c>
      <c r="C587" s="12"/>
      <c r="D587" s="12"/>
      <c r="E587" s="44">
        <f>IFERROR(__xludf.DUMMYFUNCTION("""COMPUTED_VALUE"""),44609.0)</f>
        <v>44609</v>
      </c>
      <c r="F587" s="12" t="str">
        <f>IFERROR(__xludf.DUMMYFUNCTION("""COMPUTED_VALUE"""),"TIPO I")</f>
        <v>TIPO I</v>
      </c>
      <c r="G587" s="12" t="str">
        <f>IFERROR(__xludf.DUMMYFUNCTION("""COMPUTED_VALUE"""),"No se percibe olor y no se observa color. 
Altura: 2556 msnm")</f>
        <v>No se percibe olor y no se observa color. 
Altura: 2556 msnm</v>
      </c>
      <c r="H587" s="45">
        <f>IFERROR(__xludf.DUMMYFUNCTION("""COMPUTED_VALUE"""),0.25)</f>
        <v>0.25</v>
      </c>
      <c r="I587" s="45">
        <f>IFERROR(__xludf.DUMMYFUNCTION("""COMPUTED_VALUE"""),0.3333333333321207)</f>
        <v>0.3333333333</v>
      </c>
      <c r="J587" s="12">
        <f>IFERROR(__xludf.DUMMYFUNCTION("""COMPUTED_VALUE"""),3.36)</f>
        <v>3.36</v>
      </c>
      <c r="K587" s="12">
        <f>IFERROR(__xludf.DUMMYFUNCTION("""COMPUTED_VALUE"""),0.11)</f>
        <v>0.11</v>
      </c>
      <c r="L587" s="14">
        <f>IFERROR(__xludf.DUMMYFUNCTION("""COMPUTED_VALUE"""),18.785)</f>
        <v>18.785</v>
      </c>
      <c r="M587" s="14">
        <f>IFERROR(__xludf.DUMMYFUNCTION("""COMPUTED_VALUE"""),19.029)</f>
        <v>19.029</v>
      </c>
      <c r="N587" s="14">
        <f>IFERROR(__xludf.DUMMYFUNCTION("""COMPUTED_VALUE"""),21.785)</f>
        <v>21.785</v>
      </c>
      <c r="O587" s="14">
        <f>IFERROR(__xludf.DUMMYFUNCTION("""COMPUTED_VALUE"""),20.264)</f>
        <v>20.264</v>
      </c>
      <c r="P587" s="14">
        <f>IFERROR(__xludf.DUMMYFUNCTION("""COMPUTED_VALUE"""),24.291)</f>
        <v>24.291</v>
      </c>
      <c r="Q587" s="14">
        <f>IFERROR(__xludf.DUMMYFUNCTION("""COMPUTED_VALUE"""),20.831)</f>
        <v>20.831</v>
      </c>
      <c r="R587" s="48">
        <f>IFERROR(__xludf.DUMMYFUNCTION("""COMPUTED_VALUE"""),8.53)</f>
        <v>8.53</v>
      </c>
      <c r="S587" s="48">
        <f>IFERROR(__xludf.DUMMYFUNCTION("""COMPUTED_VALUE"""),8.43)</f>
        <v>8.43</v>
      </c>
      <c r="T587" s="48">
        <f>IFERROR(__xludf.DUMMYFUNCTION("""COMPUTED_VALUE"""),8.44)</f>
        <v>8.44</v>
      </c>
      <c r="U587" s="48">
        <f>IFERROR(__xludf.DUMMYFUNCTION("""COMPUTED_VALUE"""),8.49)</f>
        <v>8.49</v>
      </c>
      <c r="V587" s="48">
        <f>IFERROR(__xludf.DUMMYFUNCTION("""COMPUTED_VALUE"""),8.59)</f>
        <v>8.59</v>
      </c>
      <c r="W587" s="14">
        <f>IFERROR(__xludf.DUMMYFUNCTION("""COMPUTED_VALUE"""),8.496)</f>
        <v>8.496</v>
      </c>
      <c r="X587" s="14">
        <f>IFERROR(__xludf.DUMMYFUNCTION("""COMPUTED_VALUE"""),15.8)</f>
        <v>15.8</v>
      </c>
      <c r="Y587" s="14">
        <f>IFERROR(__xludf.DUMMYFUNCTION("""COMPUTED_VALUE"""),14.3)</f>
        <v>14.3</v>
      </c>
      <c r="Z587" s="14">
        <f>IFERROR(__xludf.DUMMYFUNCTION("""COMPUTED_VALUE"""),15.3)</f>
        <v>15.3</v>
      </c>
      <c r="AA587" s="14">
        <f>IFERROR(__xludf.DUMMYFUNCTION("""COMPUTED_VALUE"""),15.4)</f>
        <v>15.4</v>
      </c>
      <c r="AB587" s="14">
        <f>IFERROR(__xludf.DUMMYFUNCTION("""COMPUTED_VALUE"""),15.2)</f>
        <v>15.2</v>
      </c>
      <c r="AC587" s="14">
        <f>IFERROR(__xludf.DUMMYFUNCTION("""COMPUTED_VALUE"""),15.2)</f>
        <v>15.2</v>
      </c>
      <c r="AD587" s="48">
        <f>IFERROR(__xludf.DUMMYFUNCTION("""COMPUTED_VALUE"""),239.0)</f>
        <v>239</v>
      </c>
      <c r="AE587" s="48">
        <f>IFERROR(__xludf.DUMMYFUNCTION("""COMPUTED_VALUE"""),234.0)</f>
        <v>234</v>
      </c>
      <c r="AF587" s="48">
        <f>IFERROR(__xludf.DUMMYFUNCTION("""COMPUTED_VALUE"""),228.0)</f>
        <v>228</v>
      </c>
      <c r="AG587" s="48">
        <f>IFERROR(__xludf.DUMMYFUNCTION("""COMPUTED_VALUE"""),232.0)</f>
        <v>232</v>
      </c>
      <c r="AH587" s="48">
        <f>IFERROR(__xludf.DUMMYFUNCTION("""COMPUTED_VALUE"""),242.0)</f>
        <v>242</v>
      </c>
      <c r="AI587" s="14">
        <f>IFERROR(__xludf.DUMMYFUNCTION("""COMPUTED_VALUE"""),235.0)</f>
        <v>235</v>
      </c>
      <c r="AJ587" s="14">
        <f>IFERROR(__xludf.DUMMYFUNCTION("""COMPUTED_VALUE"""),3.11)</f>
        <v>3.11</v>
      </c>
      <c r="AK587" s="14">
        <f>IFERROR(__xludf.DUMMYFUNCTION("""COMPUTED_VALUE"""),3.35)</f>
        <v>3.35</v>
      </c>
      <c r="AL587" s="14">
        <f>IFERROR(__xludf.DUMMYFUNCTION("""COMPUTED_VALUE"""),3.74)</f>
        <v>3.74</v>
      </c>
      <c r="AM587" s="14">
        <f>IFERROR(__xludf.DUMMYFUNCTION("""COMPUTED_VALUE"""),3.9)</f>
        <v>3.9</v>
      </c>
      <c r="AN587" s="14">
        <f>IFERROR(__xludf.DUMMYFUNCTION("""COMPUTED_VALUE"""),3.68)</f>
        <v>3.68</v>
      </c>
      <c r="AO587" s="14">
        <f>IFERROR(__xludf.DUMMYFUNCTION("""COMPUTED_VALUE"""),3.556)</f>
        <v>3.556</v>
      </c>
      <c r="AP587" s="14">
        <f>IFERROR(__xludf.DUMMYFUNCTION("""COMPUTED_VALUE"""),14.0)</f>
        <v>14</v>
      </c>
      <c r="AQ587" s="14">
        <f>IFERROR(__xludf.DUMMYFUNCTION("""COMPUTED_VALUE"""),30.0)</f>
        <v>30</v>
      </c>
      <c r="AR587" s="14">
        <f>IFERROR(__xludf.DUMMYFUNCTION("""COMPUTED_VALUE"""),12.0)</f>
        <v>12</v>
      </c>
      <c r="AS587" s="14">
        <f>IFERROR(__xludf.DUMMYFUNCTION("""COMPUTED_VALUE"""),1.2)</f>
        <v>1.2</v>
      </c>
      <c r="AT587" s="14">
        <f>IFERROR(__xludf.DUMMYFUNCTION("""COMPUTED_VALUE"""),0.07)</f>
        <v>0.07</v>
      </c>
      <c r="AU587" s="14">
        <f>IFERROR(__xludf.DUMMYFUNCTION("""COMPUTED_VALUE"""),1.367E8)</f>
        <v>136700000</v>
      </c>
      <c r="AV587" s="14">
        <f>IFERROR(__xludf.DUMMYFUNCTION("""COMPUTED_VALUE"""),0.31)</f>
        <v>0.31</v>
      </c>
      <c r="AW587" s="14">
        <f>IFERROR(__xludf.DUMMYFUNCTION("""COMPUTED_VALUE"""),5.0)</f>
        <v>5</v>
      </c>
      <c r="AX587" s="14">
        <f>IFERROR(__xludf.DUMMYFUNCTION("""COMPUTED_VALUE"""),1.311E8)</f>
        <v>131100000</v>
      </c>
      <c r="AY587" s="14">
        <f>IFERROR(__xludf.DUMMYFUNCTION("""COMPUTED_VALUE"""),1.8)</f>
        <v>1.8</v>
      </c>
      <c r="AZ587" s="14">
        <f>IFERROR(__xludf.DUMMYFUNCTION("""COMPUTED_VALUE"""),0.11)</f>
        <v>0.11</v>
      </c>
      <c r="BA587" s="14">
        <f t="shared" si="1"/>
        <v>6.91</v>
      </c>
    </row>
    <row r="588" ht="14.25" customHeight="1">
      <c r="A588" s="10" t="str">
        <f>IFERROR(__xludf.DUMMYFUNCTION("""COMPUTED_VALUE"""),"170222MI01")</f>
        <v>170222MI01</v>
      </c>
      <c r="B588" s="12" t="str">
        <f>IFERROR(__xludf.DUMMYFUNCTION("""COMPUTED_VALUE"""),"COR-Prado Veraniego")</f>
        <v>COR-Prado Veraniego</v>
      </c>
      <c r="C588" s="12"/>
      <c r="D588" s="12"/>
      <c r="E588" s="44">
        <f>IFERROR(__xludf.DUMMYFUNCTION("""COMPUTED_VALUE"""),44609.0)</f>
        <v>44609</v>
      </c>
      <c r="F588" s="12" t="str">
        <f>IFERROR(__xludf.DUMMYFUNCTION("""COMPUTED_VALUE"""),"TIPO I")</f>
        <v>TIPO I</v>
      </c>
      <c r="G588" s="12" t="str">
        <f>IFERROR(__xludf.DUMMYFUNCTION("""COMPUTED_VALUE"""),"En el canal se observa material flotante y material vegetal.
Altura: 2576 msnm")</f>
        <v>En el canal se observa material flotante y material vegetal.
Altura: 2576 msnm</v>
      </c>
      <c r="H588" s="45">
        <f>IFERROR(__xludf.DUMMYFUNCTION("""COMPUTED_VALUE"""),0.25)</f>
        <v>0.25</v>
      </c>
      <c r="I588" s="45">
        <f>IFERROR(__xludf.DUMMYFUNCTION("""COMPUTED_VALUE"""),0.3333333333321207)</f>
        <v>0.3333333333</v>
      </c>
      <c r="J588" s="12">
        <f>IFERROR(__xludf.DUMMYFUNCTION("""COMPUTED_VALUE"""),5.6)</f>
        <v>5.6</v>
      </c>
      <c r="K588" s="12">
        <f>IFERROR(__xludf.DUMMYFUNCTION("""COMPUTED_VALUE"""),0.17)</f>
        <v>0.17</v>
      </c>
      <c r="L588" s="14">
        <f>IFERROR(__xludf.DUMMYFUNCTION("""COMPUTED_VALUE"""),362.95)</f>
        <v>362.95</v>
      </c>
      <c r="M588" s="14">
        <f>IFERROR(__xludf.DUMMYFUNCTION("""COMPUTED_VALUE"""),366.981)</f>
        <v>366.981</v>
      </c>
      <c r="N588" s="14">
        <f>IFERROR(__xludf.DUMMYFUNCTION("""COMPUTED_VALUE"""),318.673)</f>
        <v>318.673</v>
      </c>
      <c r="O588" s="14">
        <f>IFERROR(__xludf.DUMMYFUNCTION("""COMPUTED_VALUE"""),321.575)</f>
        <v>321.575</v>
      </c>
      <c r="P588" s="14">
        <f>IFERROR(__xludf.DUMMYFUNCTION("""COMPUTED_VALUE"""),331.741)</f>
        <v>331.741</v>
      </c>
      <c r="Q588" s="14">
        <f>IFERROR(__xludf.DUMMYFUNCTION("""COMPUTED_VALUE"""),340.384)</f>
        <v>340.384</v>
      </c>
      <c r="R588" s="48">
        <f>IFERROR(__xludf.DUMMYFUNCTION("""COMPUTED_VALUE"""),7.38)</f>
        <v>7.38</v>
      </c>
      <c r="S588" s="48">
        <f>IFERROR(__xludf.DUMMYFUNCTION("""COMPUTED_VALUE"""),7.37)</f>
        <v>7.37</v>
      </c>
      <c r="T588" s="48">
        <f>IFERROR(__xludf.DUMMYFUNCTION("""COMPUTED_VALUE"""),7.41)</f>
        <v>7.41</v>
      </c>
      <c r="U588" s="48">
        <f>IFERROR(__xludf.DUMMYFUNCTION("""COMPUTED_VALUE"""),7.48)</f>
        <v>7.48</v>
      </c>
      <c r="V588" s="48">
        <f>IFERROR(__xludf.DUMMYFUNCTION("""COMPUTED_VALUE"""),7.47)</f>
        <v>7.47</v>
      </c>
      <c r="W588" s="14">
        <f>IFERROR(__xludf.DUMMYFUNCTION("""COMPUTED_VALUE"""),7.422)</f>
        <v>7.422</v>
      </c>
      <c r="X588" s="14">
        <f>IFERROR(__xludf.DUMMYFUNCTION("""COMPUTED_VALUE"""),14.8)</f>
        <v>14.8</v>
      </c>
      <c r="Y588" s="14">
        <f>IFERROR(__xludf.DUMMYFUNCTION("""COMPUTED_VALUE"""),15.4)</f>
        <v>15.4</v>
      </c>
      <c r="Z588" s="14">
        <f>IFERROR(__xludf.DUMMYFUNCTION("""COMPUTED_VALUE"""),15.5)</f>
        <v>15.5</v>
      </c>
      <c r="AA588" s="14">
        <f>IFERROR(__xludf.DUMMYFUNCTION("""COMPUTED_VALUE"""),16.2)</f>
        <v>16.2</v>
      </c>
      <c r="AB588" s="14">
        <f>IFERROR(__xludf.DUMMYFUNCTION("""COMPUTED_VALUE"""),16.4)</f>
        <v>16.4</v>
      </c>
      <c r="AC588" s="14">
        <f>IFERROR(__xludf.DUMMYFUNCTION("""COMPUTED_VALUE"""),15.660000000000002)</f>
        <v>15.66</v>
      </c>
      <c r="AD588" s="48">
        <f>IFERROR(__xludf.DUMMYFUNCTION("""COMPUTED_VALUE"""),359.0)</f>
        <v>359</v>
      </c>
      <c r="AE588" s="48">
        <f>IFERROR(__xludf.DUMMYFUNCTION("""COMPUTED_VALUE"""),359.0)</f>
        <v>359</v>
      </c>
      <c r="AF588" s="48">
        <f>IFERROR(__xludf.DUMMYFUNCTION("""COMPUTED_VALUE"""),370.0)</f>
        <v>370</v>
      </c>
      <c r="AG588" s="48">
        <f>IFERROR(__xludf.DUMMYFUNCTION("""COMPUTED_VALUE"""),370.0)</f>
        <v>370</v>
      </c>
      <c r="AH588" s="48">
        <f>IFERROR(__xludf.DUMMYFUNCTION("""COMPUTED_VALUE"""),372.0)</f>
        <v>372</v>
      </c>
      <c r="AI588" s="14">
        <f>IFERROR(__xludf.DUMMYFUNCTION("""COMPUTED_VALUE"""),366.0)</f>
        <v>366</v>
      </c>
      <c r="AJ588" s="14">
        <f>IFERROR(__xludf.DUMMYFUNCTION("""COMPUTED_VALUE"""),5.18)</f>
        <v>5.18</v>
      </c>
      <c r="AK588" s="14">
        <f>IFERROR(__xludf.DUMMYFUNCTION("""COMPUTED_VALUE"""),5.36)</f>
        <v>5.36</v>
      </c>
      <c r="AL588" s="14">
        <f>IFERROR(__xludf.DUMMYFUNCTION("""COMPUTED_VALUE"""),5.29)</f>
        <v>5.29</v>
      </c>
      <c r="AM588" s="14">
        <f>IFERROR(__xludf.DUMMYFUNCTION("""COMPUTED_VALUE"""),5.66)</f>
        <v>5.66</v>
      </c>
      <c r="AN588" s="14">
        <f>IFERROR(__xludf.DUMMYFUNCTION("""COMPUTED_VALUE"""),5.82)</f>
        <v>5.82</v>
      </c>
      <c r="AO588" s="14">
        <f>IFERROR(__xludf.DUMMYFUNCTION("""COMPUTED_VALUE"""),5.462)</f>
        <v>5.462</v>
      </c>
      <c r="AP588" s="14">
        <f>IFERROR(__xludf.DUMMYFUNCTION("""COMPUTED_VALUE"""),3.0)</f>
        <v>3</v>
      </c>
      <c r="AQ588" s="14">
        <f>IFERROR(__xludf.DUMMYFUNCTION("""COMPUTED_VALUE"""),23.0)</f>
        <v>23</v>
      </c>
      <c r="AR588" s="14">
        <f>IFERROR(__xludf.DUMMYFUNCTION("""COMPUTED_VALUE"""),8.0)</f>
        <v>8</v>
      </c>
      <c r="AS588" s="14">
        <f>IFERROR(__xludf.DUMMYFUNCTION("""COMPUTED_VALUE"""),1.2)</f>
        <v>1.2</v>
      </c>
      <c r="AT588" s="14">
        <f>IFERROR(__xludf.DUMMYFUNCTION("""COMPUTED_VALUE"""),0.07)</f>
        <v>0.07</v>
      </c>
      <c r="AU588" s="14">
        <f>IFERROR(__xludf.DUMMYFUNCTION("""COMPUTED_VALUE"""),1095000.0)</f>
        <v>1095000</v>
      </c>
      <c r="AV588" s="14">
        <f>IFERROR(__xludf.DUMMYFUNCTION("""COMPUTED_VALUE"""),0.09)</f>
        <v>0.09</v>
      </c>
      <c r="AW588" s="14">
        <f>IFERROR(__xludf.DUMMYFUNCTION("""COMPUTED_VALUE"""),7.3)</f>
        <v>7.3</v>
      </c>
      <c r="AX588" s="14">
        <f>IFERROR(__xludf.DUMMYFUNCTION("""COMPUTED_VALUE"""),10220.0)</f>
        <v>10220</v>
      </c>
      <c r="AY588" s="14">
        <f>IFERROR(__xludf.DUMMYFUNCTION("""COMPUTED_VALUE"""),3.9)</f>
        <v>3.9</v>
      </c>
      <c r="AZ588" s="14">
        <f>IFERROR(__xludf.DUMMYFUNCTION("""COMPUTED_VALUE"""),0.44)</f>
        <v>0.44</v>
      </c>
      <c r="BA588" s="14">
        <f t="shared" si="1"/>
        <v>11.64</v>
      </c>
    </row>
    <row r="589" ht="14.25" customHeight="1">
      <c r="A589" s="10" t="str">
        <f>IFERROR(__xludf.DUMMYFUNCTION("""COMPUTED_VALUE"""),"170222DU01")</f>
        <v>170222DU01</v>
      </c>
      <c r="B589" s="12" t="str">
        <f>IFERROR(__xludf.DUMMYFUNCTION("""COMPUTED_VALUE"""),"COR-Britalia")</f>
        <v>COR-Britalia</v>
      </c>
      <c r="C589" s="12"/>
      <c r="D589" s="12"/>
      <c r="E589" s="44">
        <f>IFERROR(__xludf.DUMMYFUNCTION("""COMPUTED_VALUE"""),44609.0)</f>
        <v>44609</v>
      </c>
      <c r="F589" s="12" t="str">
        <f>IFERROR(__xludf.DUMMYFUNCTION("""COMPUTED_VALUE"""),"TIPO I")</f>
        <v>TIPO I</v>
      </c>
      <c r="G589" s="12" t="str">
        <f>IFERROR(__xludf.DUMMYFUNCTION("""COMPUTED_VALUE"""),"Se observa la presencia de color , no se percibieron olores ")</f>
        <v>Se observa la presencia de color , no se percibieron olores </v>
      </c>
      <c r="H589" s="45">
        <f>IFERROR(__xludf.DUMMYFUNCTION("""COMPUTED_VALUE"""),0.25)</f>
        <v>0.25</v>
      </c>
      <c r="I589" s="45">
        <f>IFERROR(__xludf.DUMMYFUNCTION("""COMPUTED_VALUE"""),0.3333333333321207)</f>
        <v>0.3333333333</v>
      </c>
      <c r="J589" s="12">
        <f>IFERROR(__xludf.DUMMYFUNCTION("""COMPUTED_VALUE"""),3.3)</f>
        <v>3.3</v>
      </c>
      <c r="K589" s="12">
        <f>IFERROR(__xludf.DUMMYFUNCTION("""COMPUTED_VALUE"""),0.11)</f>
        <v>0.11</v>
      </c>
      <c r="L589" s="14">
        <f>IFERROR(__xludf.DUMMYFUNCTION("""COMPUTED_VALUE"""),33.373)</f>
        <v>33.373</v>
      </c>
      <c r="M589" s="14">
        <f>IFERROR(__xludf.DUMMYFUNCTION("""COMPUTED_VALUE"""),33.747)</f>
        <v>33.747</v>
      </c>
      <c r="N589" s="14">
        <f>IFERROR(__xludf.DUMMYFUNCTION("""COMPUTED_VALUE"""),33.859)</f>
        <v>33.859</v>
      </c>
      <c r="O589" s="14">
        <f>IFERROR(__xludf.DUMMYFUNCTION("""COMPUTED_VALUE"""),32.417)</f>
        <v>32.417</v>
      </c>
      <c r="P589" s="14">
        <f>IFERROR(__xludf.DUMMYFUNCTION("""COMPUTED_VALUE"""),31.937)</f>
        <v>31.937</v>
      </c>
      <c r="Q589" s="14">
        <f>IFERROR(__xludf.DUMMYFUNCTION("""COMPUTED_VALUE"""),33.066)</f>
        <v>33.066</v>
      </c>
      <c r="R589" s="48">
        <f>IFERROR(__xludf.DUMMYFUNCTION("""COMPUTED_VALUE"""),7.26)</f>
        <v>7.26</v>
      </c>
      <c r="S589" s="48">
        <f>IFERROR(__xludf.DUMMYFUNCTION("""COMPUTED_VALUE"""),6.22)</f>
        <v>6.22</v>
      </c>
      <c r="T589" s="48">
        <f>IFERROR(__xludf.DUMMYFUNCTION("""COMPUTED_VALUE"""),6.65)</f>
        <v>6.65</v>
      </c>
      <c r="U589" s="48">
        <f>IFERROR(__xludf.DUMMYFUNCTION("""COMPUTED_VALUE"""),6.48)</f>
        <v>6.48</v>
      </c>
      <c r="V589" s="48">
        <f>IFERROR(__xludf.DUMMYFUNCTION("""COMPUTED_VALUE"""),6.51)</f>
        <v>6.51</v>
      </c>
      <c r="W589" s="14">
        <f>IFERROR(__xludf.DUMMYFUNCTION("""COMPUTED_VALUE"""),6.6240000000000006)</f>
        <v>6.624</v>
      </c>
      <c r="X589" s="14">
        <f>IFERROR(__xludf.DUMMYFUNCTION("""COMPUTED_VALUE"""),17.6)</f>
        <v>17.6</v>
      </c>
      <c r="Y589" s="14">
        <f>IFERROR(__xludf.DUMMYFUNCTION("""COMPUTED_VALUE"""),17.1)</f>
        <v>17.1</v>
      </c>
      <c r="Z589" s="14">
        <f>IFERROR(__xludf.DUMMYFUNCTION("""COMPUTED_VALUE"""),17.1)</f>
        <v>17.1</v>
      </c>
      <c r="AA589" s="14">
        <f>IFERROR(__xludf.DUMMYFUNCTION("""COMPUTED_VALUE"""),17.3)</f>
        <v>17.3</v>
      </c>
      <c r="AB589" s="14">
        <f>IFERROR(__xludf.DUMMYFUNCTION("""COMPUTED_VALUE"""),17.9)</f>
        <v>17.9</v>
      </c>
      <c r="AC589" s="14">
        <f>IFERROR(__xludf.DUMMYFUNCTION("""COMPUTED_VALUE"""),17.4)</f>
        <v>17.4</v>
      </c>
      <c r="AD589" s="48">
        <f>IFERROR(__xludf.DUMMYFUNCTION("""COMPUTED_VALUE"""),254.0)</f>
        <v>254</v>
      </c>
      <c r="AE589" s="48">
        <f>IFERROR(__xludf.DUMMYFUNCTION("""COMPUTED_VALUE"""),319.0)</f>
        <v>319</v>
      </c>
      <c r="AF589" s="48">
        <f>IFERROR(__xludf.DUMMYFUNCTION("""COMPUTED_VALUE"""),323.0)</f>
        <v>323</v>
      </c>
      <c r="AG589" s="48">
        <f>IFERROR(__xludf.DUMMYFUNCTION("""COMPUTED_VALUE"""),298.0)</f>
        <v>298</v>
      </c>
      <c r="AH589" s="48">
        <f>IFERROR(__xludf.DUMMYFUNCTION("""COMPUTED_VALUE"""),298.0)</f>
        <v>298</v>
      </c>
      <c r="AI589" s="14">
        <f>IFERROR(__xludf.DUMMYFUNCTION("""COMPUTED_VALUE"""),298.4)</f>
        <v>298.4</v>
      </c>
      <c r="AJ589" s="14">
        <f>IFERROR(__xludf.DUMMYFUNCTION("""COMPUTED_VALUE"""),3.08)</f>
        <v>3.08</v>
      </c>
      <c r="AK589" s="14">
        <f>IFERROR(__xludf.DUMMYFUNCTION("""COMPUTED_VALUE"""),3.63)</f>
        <v>3.63</v>
      </c>
      <c r="AL589" s="14">
        <f>IFERROR(__xludf.DUMMYFUNCTION("""COMPUTED_VALUE"""),3.41)</f>
        <v>3.41</v>
      </c>
      <c r="AM589" s="14">
        <f>IFERROR(__xludf.DUMMYFUNCTION("""COMPUTED_VALUE"""),3.32)</f>
        <v>3.32</v>
      </c>
      <c r="AN589" s="14">
        <f>IFERROR(__xludf.DUMMYFUNCTION("""COMPUTED_VALUE"""),3.4)</f>
        <v>3.4</v>
      </c>
      <c r="AO589" s="14">
        <f>IFERROR(__xludf.DUMMYFUNCTION("""COMPUTED_VALUE"""),3.368)</f>
        <v>3.368</v>
      </c>
      <c r="AP589" s="14">
        <f>IFERROR(__xludf.DUMMYFUNCTION("""COMPUTED_VALUE"""),11.0)</f>
        <v>11</v>
      </c>
      <c r="AQ589" s="14">
        <f>IFERROR(__xludf.DUMMYFUNCTION("""COMPUTED_VALUE"""),25.0)</f>
        <v>25</v>
      </c>
      <c r="AR589" s="14">
        <f>IFERROR(__xludf.DUMMYFUNCTION("""COMPUTED_VALUE"""),10.0)</f>
        <v>10</v>
      </c>
      <c r="AS589" s="14">
        <f>IFERROR(__xludf.DUMMYFUNCTION("""COMPUTED_VALUE"""),1.2)</f>
        <v>1.2</v>
      </c>
      <c r="AT589" s="14">
        <f>IFERROR(__xludf.DUMMYFUNCTION("""COMPUTED_VALUE"""),0.07)</f>
        <v>0.07</v>
      </c>
      <c r="AU589" s="14">
        <f>IFERROR(__xludf.DUMMYFUNCTION("""COMPUTED_VALUE"""),1374000.0)</f>
        <v>1374000</v>
      </c>
      <c r="AV589" s="14">
        <f>IFERROR(__xludf.DUMMYFUNCTION("""COMPUTED_VALUE"""),0.42)</f>
        <v>0.42</v>
      </c>
      <c r="AW589" s="14">
        <f>IFERROR(__xludf.DUMMYFUNCTION("""COMPUTED_VALUE"""),8.7)</f>
        <v>8.7</v>
      </c>
      <c r="AX589" s="14">
        <f>IFERROR(__xludf.DUMMYFUNCTION("""COMPUTED_VALUE"""),111900.0)</f>
        <v>111900</v>
      </c>
      <c r="AY589" s="14">
        <f>IFERROR(__xludf.DUMMYFUNCTION("""COMPUTED_VALUE"""),2.8)</f>
        <v>2.8</v>
      </c>
      <c r="AZ589" s="14">
        <f>IFERROR(__xludf.DUMMYFUNCTION("""COMPUTED_VALUE"""),0.195)</f>
        <v>0.195</v>
      </c>
      <c r="BA589" s="14">
        <f t="shared" si="1"/>
        <v>11.695</v>
      </c>
    </row>
    <row r="590" ht="14.25" customHeight="1">
      <c r="A590" s="10" t="str">
        <f>IFERROR(__xludf.DUMMYFUNCTION("""COMPUTED_VALUE"""),"170222MI02")</f>
        <v>170222MI02</v>
      </c>
      <c r="B590" s="12" t="str">
        <f>IFERROR(__xludf.DUMMYFUNCTION("""COMPUTED_VALUE"""),"COR-Humedal Córdoba")</f>
        <v>COR-Humedal Córdoba</v>
      </c>
      <c r="C590" s="12"/>
      <c r="D590" s="12"/>
      <c r="E590" s="44">
        <f>IFERROR(__xludf.DUMMYFUNCTION("""COMPUTED_VALUE"""),44609.0)</f>
        <v>44609</v>
      </c>
      <c r="F590" s="12" t="str">
        <f>IFERROR(__xludf.DUMMYFUNCTION("""COMPUTED_VALUE"""),"TIPO I")</f>
        <v>TIPO I</v>
      </c>
      <c r="G590" s="12" t="str">
        <f>IFERROR(__xludf.DUMMYFUNCTION("""COMPUTED_VALUE"""),"Se percibe olor. Se observa color y material flotante.
Altura: 2573 msnm")</f>
        <v>Se percibe olor. Se observa color y material flotante.
Altura: 2573 msnm</v>
      </c>
      <c r="H590" s="45">
        <f>IFERROR(__xludf.DUMMYFUNCTION("""COMPUTED_VALUE"""),0.4166666666678793)</f>
        <v>0.4166666667</v>
      </c>
      <c r="I590" s="45">
        <f>IFERROR(__xludf.DUMMYFUNCTION("""COMPUTED_VALUE"""),0.5)</f>
        <v>0.5</v>
      </c>
      <c r="J590" s="12">
        <f>IFERROR(__xludf.DUMMYFUNCTION("""COMPUTED_VALUE"""),9.52)</f>
        <v>9.52</v>
      </c>
      <c r="K590" s="12">
        <f>IFERROR(__xludf.DUMMYFUNCTION("""COMPUTED_VALUE"""),0.85)</f>
        <v>0.85</v>
      </c>
      <c r="L590" s="14">
        <f>IFERROR(__xludf.DUMMYFUNCTION("""COMPUTED_VALUE"""),1435.0)</f>
        <v>1435</v>
      </c>
      <c r="M590" s="14">
        <f>IFERROR(__xludf.DUMMYFUNCTION("""COMPUTED_VALUE"""),1294.0)</f>
        <v>1294</v>
      </c>
      <c r="N590" s="14">
        <f>IFERROR(__xludf.DUMMYFUNCTION("""COMPUTED_VALUE"""),1276.0)</f>
        <v>1276</v>
      </c>
      <c r="O590" s="14">
        <f>IFERROR(__xludf.DUMMYFUNCTION("""COMPUTED_VALUE"""),1219.0)</f>
        <v>1219</v>
      </c>
      <c r="P590" s="14">
        <f>IFERROR(__xludf.DUMMYFUNCTION("""COMPUTED_VALUE"""),1237.0)</f>
        <v>1237</v>
      </c>
      <c r="Q590" s="14">
        <f>IFERROR(__xludf.DUMMYFUNCTION("""COMPUTED_VALUE"""),1292.0)</f>
        <v>1292</v>
      </c>
      <c r="R590" s="48">
        <f>IFERROR(__xludf.DUMMYFUNCTION("""COMPUTED_VALUE"""),7.96)</f>
        <v>7.96</v>
      </c>
      <c r="S590" s="48">
        <f>IFERROR(__xludf.DUMMYFUNCTION("""COMPUTED_VALUE"""),7.79)</f>
        <v>7.79</v>
      </c>
      <c r="T590" s="48">
        <f>IFERROR(__xludf.DUMMYFUNCTION("""COMPUTED_VALUE"""),7.66)</f>
        <v>7.66</v>
      </c>
      <c r="U590" s="48">
        <f>IFERROR(__xludf.DUMMYFUNCTION("""COMPUTED_VALUE"""),7.68)</f>
        <v>7.68</v>
      </c>
      <c r="V590" s="48">
        <f>IFERROR(__xludf.DUMMYFUNCTION("""COMPUTED_VALUE"""),7.68)</f>
        <v>7.68</v>
      </c>
      <c r="W590" s="14">
        <f>IFERROR(__xludf.DUMMYFUNCTION("""COMPUTED_VALUE"""),7.754)</f>
        <v>7.754</v>
      </c>
      <c r="X590" s="14">
        <f>IFERROR(__xludf.DUMMYFUNCTION("""COMPUTED_VALUE"""),16.9)</f>
        <v>16.9</v>
      </c>
      <c r="Y590" s="14">
        <f>IFERROR(__xludf.DUMMYFUNCTION("""COMPUTED_VALUE"""),16.4)</f>
        <v>16.4</v>
      </c>
      <c r="Z590" s="14">
        <f>IFERROR(__xludf.DUMMYFUNCTION("""COMPUTED_VALUE"""),16.5)</f>
        <v>16.5</v>
      </c>
      <c r="AA590" s="14">
        <f>IFERROR(__xludf.DUMMYFUNCTION("""COMPUTED_VALUE"""),16.6)</f>
        <v>16.6</v>
      </c>
      <c r="AB590" s="14">
        <f>IFERROR(__xludf.DUMMYFUNCTION("""COMPUTED_VALUE"""),16.3)</f>
        <v>16.3</v>
      </c>
      <c r="AC590" s="14">
        <f>IFERROR(__xludf.DUMMYFUNCTION("""COMPUTED_VALUE"""),16.54)</f>
        <v>16.54</v>
      </c>
      <c r="AD590" s="48">
        <f>IFERROR(__xludf.DUMMYFUNCTION("""COMPUTED_VALUE"""),271.0)</f>
        <v>271</v>
      </c>
      <c r="AE590" s="48">
        <f>IFERROR(__xludf.DUMMYFUNCTION("""COMPUTED_VALUE"""),254.0)</f>
        <v>254</v>
      </c>
      <c r="AF590" s="48">
        <f>IFERROR(__xludf.DUMMYFUNCTION("""COMPUTED_VALUE"""),266.0)</f>
        <v>266</v>
      </c>
      <c r="AG590" s="48">
        <f>IFERROR(__xludf.DUMMYFUNCTION("""COMPUTED_VALUE"""),280.0)</f>
        <v>280</v>
      </c>
      <c r="AH590" s="48">
        <f>IFERROR(__xludf.DUMMYFUNCTION("""COMPUTED_VALUE"""),311.0)</f>
        <v>311</v>
      </c>
      <c r="AI590" s="14">
        <f>IFERROR(__xludf.DUMMYFUNCTION("""COMPUTED_VALUE"""),276.4)</f>
        <v>276.4</v>
      </c>
      <c r="AJ590" s="14">
        <f>IFERROR(__xludf.DUMMYFUNCTION("""COMPUTED_VALUE"""),3.34)</f>
        <v>3.34</v>
      </c>
      <c r="AK590" s="14">
        <f>IFERROR(__xludf.DUMMYFUNCTION("""COMPUTED_VALUE"""),3.95)</f>
        <v>3.95</v>
      </c>
      <c r="AL590" s="14">
        <f>IFERROR(__xludf.DUMMYFUNCTION("""COMPUTED_VALUE"""),3.94)</f>
        <v>3.94</v>
      </c>
      <c r="AM590" s="14">
        <f>IFERROR(__xludf.DUMMYFUNCTION("""COMPUTED_VALUE"""),3.91)</f>
        <v>3.91</v>
      </c>
      <c r="AN590" s="14">
        <f>IFERROR(__xludf.DUMMYFUNCTION("""COMPUTED_VALUE"""),3.82)</f>
        <v>3.82</v>
      </c>
      <c r="AO590" s="14">
        <f>IFERROR(__xludf.DUMMYFUNCTION("""COMPUTED_VALUE"""),3.7920000000000003)</f>
        <v>3.792</v>
      </c>
      <c r="AP590" s="14">
        <f>IFERROR(__xludf.DUMMYFUNCTION("""COMPUTED_VALUE"""),10.0)</f>
        <v>10</v>
      </c>
      <c r="AQ590" s="14">
        <f>IFERROR(__xludf.DUMMYFUNCTION("""COMPUTED_VALUE"""),28.0)</f>
        <v>28</v>
      </c>
      <c r="AR590" s="14">
        <f>IFERROR(__xludf.DUMMYFUNCTION("""COMPUTED_VALUE"""),19.0)</f>
        <v>19</v>
      </c>
      <c r="AS590" s="14">
        <f>IFERROR(__xludf.DUMMYFUNCTION("""COMPUTED_VALUE"""),1.2)</f>
        <v>1.2</v>
      </c>
      <c r="AT590" s="14">
        <f>IFERROR(__xludf.DUMMYFUNCTION("""COMPUTED_VALUE"""),0.86)</f>
        <v>0.86</v>
      </c>
      <c r="AU590" s="14">
        <f>IFERROR(__xludf.DUMMYFUNCTION("""COMPUTED_VALUE"""),1039000.0)</f>
        <v>1039000</v>
      </c>
      <c r="AV590" s="14">
        <f>IFERROR(__xludf.DUMMYFUNCTION("""COMPUTED_VALUE"""),0.47)</f>
        <v>0.47</v>
      </c>
      <c r="AW590" s="14">
        <f>IFERROR(__xludf.DUMMYFUNCTION("""COMPUTED_VALUE"""),4.8)</f>
        <v>4.8</v>
      </c>
      <c r="AX590" s="14">
        <f>IFERROR(__xludf.DUMMYFUNCTION("""COMPUTED_VALUE"""),93300.0)</f>
        <v>93300</v>
      </c>
      <c r="AY590" s="14">
        <f>IFERROR(__xludf.DUMMYFUNCTION("""COMPUTED_VALUE"""),1.7)</f>
        <v>1.7</v>
      </c>
      <c r="AZ590" s="14">
        <f>IFERROR(__xludf.DUMMYFUNCTION("""COMPUTED_VALUE"""),0.303)</f>
        <v>0.303</v>
      </c>
      <c r="BA590" s="14">
        <f t="shared" si="1"/>
        <v>6.803</v>
      </c>
    </row>
    <row r="591" ht="14.25" customHeight="1">
      <c r="A591" s="10" t="str">
        <f>IFERROR(__xludf.DUMMYFUNCTION("""COMPUTED_VALUE"""),"110222DU01")</f>
        <v>110222DU01</v>
      </c>
      <c r="B591" s="12" t="str">
        <f>IFERROR(__xludf.DUMMYFUNCTION("""COMPUTED_VALUE"""),"QCH-La Orquídea")</f>
        <v>QCH-La Orquídea</v>
      </c>
      <c r="C591" s="12"/>
      <c r="D591" s="12"/>
      <c r="E591" s="44">
        <f>IFERROR(__xludf.DUMMYFUNCTION("""COMPUTED_VALUE"""),44603.0)</f>
        <v>44603</v>
      </c>
      <c r="F591" s="12" t="str">
        <f>IFERROR(__xludf.DUMMYFUNCTION("""COMPUTED_VALUE"""),"TIPO I")</f>
        <v>TIPO I</v>
      </c>
      <c r="G591" s="12" t="str">
        <f>IFERROR(__xludf.DUMMYFUNCTION("""COMPUTED_VALUE"""),"Se presenta un lecho rocoso arenoso. No se percibe olor ni se observa color. ")</f>
        <v>Se presenta un lecho rocoso arenoso. No se percibe olor ni se observa color. </v>
      </c>
      <c r="H591" s="45">
        <f>IFERROR(__xludf.DUMMYFUNCTION("""COMPUTED_VALUE"""),0.25)</f>
        <v>0.25</v>
      </c>
      <c r="I591" s="45">
        <f>IFERROR(__xludf.DUMMYFUNCTION("""COMPUTED_VALUE"""),0.3333333333321207)</f>
        <v>0.3333333333</v>
      </c>
      <c r="J591" s="12">
        <f>IFERROR(__xludf.DUMMYFUNCTION("""COMPUTED_VALUE"""),0.6)</f>
        <v>0.6</v>
      </c>
      <c r="K591" s="12"/>
      <c r="L591" s="14">
        <f>IFERROR(__xludf.DUMMYFUNCTION("""COMPUTED_VALUE"""),0.436)</f>
        <v>0.436</v>
      </c>
      <c r="M591" s="14">
        <f>IFERROR(__xludf.DUMMYFUNCTION("""COMPUTED_VALUE"""),0.561)</f>
        <v>0.561</v>
      </c>
      <c r="N591" s="14">
        <f>IFERROR(__xludf.DUMMYFUNCTION("""COMPUTED_VALUE"""),0.455)</f>
        <v>0.455</v>
      </c>
      <c r="O591" s="14">
        <f>IFERROR(__xludf.DUMMYFUNCTION("""COMPUTED_VALUE"""),0.49)</f>
        <v>0.49</v>
      </c>
      <c r="P591" s="14">
        <f>IFERROR(__xludf.DUMMYFUNCTION("""COMPUTED_VALUE"""),0.48)</f>
        <v>0.48</v>
      </c>
      <c r="Q591" s="14">
        <f>IFERROR(__xludf.DUMMYFUNCTION("""COMPUTED_VALUE"""),0.484)</f>
        <v>0.484</v>
      </c>
      <c r="R591" s="48">
        <f>IFERROR(__xludf.DUMMYFUNCTION("""COMPUTED_VALUE"""),6.34)</f>
        <v>6.34</v>
      </c>
      <c r="S591" s="48">
        <f>IFERROR(__xludf.DUMMYFUNCTION("""COMPUTED_VALUE"""),6.21)</f>
        <v>6.21</v>
      </c>
      <c r="T591" s="48">
        <f>IFERROR(__xludf.DUMMYFUNCTION("""COMPUTED_VALUE"""),6.55)</f>
        <v>6.55</v>
      </c>
      <c r="U591" s="48">
        <f>IFERROR(__xludf.DUMMYFUNCTION("""COMPUTED_VALUE"""),6.48)</f>
        <v>6.48</v>
      </c>
      <c r="V591" s="48">
        <f>IFERROR(__xludf.DUMMYFUNCTION("""COMPUTED_VALUE"""),6.69)</f>
        <v>6.69</v>
      </c>
      <c r="W591" s="14">
        <f>IFERROR(__xludf.DUMMYFUNCTION("""COMPUTED_VALUE"""),6.454000000000001)</f>
        <v>6.454</v>
      </c>
      <c r="X591" s="14">
        <f>IFERROR(__xludf.DUMMYFUNCTION("""COMPUTED_VALUE"""),13.6)</f>
        <v>13.6</v>
      </c>
      <c r="Y591" s="14">
        <f>IFERROR(__xludf.DUMMYFUNCTION("""COMPUTED_VALUE"""),13.1)</f>
        <v>13.1</v>
      </c>
      <c r="Z591" s="14">
        <f>IFERROR(__xludf.DUMMYFUNCTION("""COMPUTED_VALUE"""),13.2)</f>
        <v>13.2</v>
      </c>
      <c r="AA591" s="14">
        <f>IFERROR(__xludf.DUMMYFUNCTION("""COMPUTED_VALUE"""),12.6)</f>
        <v>12.6</v>
      </c>
      <c r="AB591" s="14">
        <f>IFERROR(__xludf.DUMMYFUNCTION("""COMPUTED_VALUE"""),13.8)</f>
        <v>13.8</v>
      </c>
      <c r="AC591" s="14">
        <f>IFERROR(__xludf.DUMMYFUNCTION("""COMPUTED_VALUE"""),13.26)</f>
        <v>13.26</v>
      </c>
      <c r="AD591" s="48">
        <f>IFERROR(__xludf.DUMMYFUNCTION("""COMPUTED_VALUE"""),275.0)</f>
        <v>275</v>
      </c>
      <c r="AE591" s="48">
        <f>IFERROR(__xludf.DUMMYFUNCTION("""COMPUTED_VALUE"""),307.0)</f>
        <v>307</v>
      </c>
      <c r="AF591" s="48">
        <f>IFERROR(__xludf.DUMMYFUNCTION("""COMPUTED_VALUE"""),510.0)</f>
        <v>510</v>
      </c>
      <c r="AG591" s="48">
        <f>IFERROR(__xludf.DUMMYFUNCTION("""COMPUTED_VALUE"""),506.0)</f>
        <v>506</v>
      </c>
      <c r="AH591" s="48">
        <f>IFERROR(__xludf.DUMMYFUNCTION("""COMPUTED_VALUE"""),502.0)</f>
        <v>502</v>
      </c>
      <c r="AI591" s="14">
        <f>IFERROR(__xludf.DUMMYFUNCTION("""COMPUTED_VALUE"""),420.0)</f>
        <v>420</v>
      </c>
      <c r="AJ591" s="14">
        <f>IFERROR(__xludf.DUMMYFUNCTION("""COMPUTED_VALUE"""),5.32)</f>
        <v>5.32</v>
      </c>
      <c r="AK591" s="14">
        <f>IFERROR(__xludf.DUMMYFUNCTION("""COMPUTED_VALUE"""),4.37)</f>
        <v>4.37</v>
      </c>
      <c r="AL591" s="14">
        <f>IFERROR(__xludf.DUMMYFUNCTION("""COMPUTED_VALUE"""),4.48)</f>
        <v>4.48</v>
      </c>
      <c r="AM591" s="14">
        <f>IFERROR(__xludf.DUMMYFUNCTION("""COMPUTED_VALUE"""),4.12)</f>
        <v>4.12</v>
      </c>
      <c r="AN591" s="14">
        <f>IFERROR(__xludf.DUMMYFUNCTION("""COMPUTED_VALUE"""),4.45)</f>
        <v>4.45</v>
      </c>
      <c r="AO591" s="14">
        <f>IFERROR(__xludf.DUMMYFUNCTION("""COMPUTED_VALUE"""),4.548)</f>
        <v>4.548</v>
      </c>
      <c r="AP591" s="14">
        <f>IFERROR(__xludf.DUMMYFUNCTION("""COMPUTED_VALUE"""),17.0)</f>
        <v>17</v>
      </c>
      <c r="AQ591" s="14">
        <f>IFERROR(__xludf.DUMMYFUNCTION("""COMPUTED_VALUE"""),39.0)</f>
        <v>39</v>
      </c>
      <c r="AR591" s="14">
        <f>IFERROR(__xludf.DUMMYFUNCTION("""COMPUTED_VALUE"""),9.0)</f>
        <v>9</v>
      </c>
      <c r="AS591" s="14">
        <f>IFERROR(__xludf.DUMMYFUNCTION("""COMPUTED_VALUE"""),1.2)</f>
        <v>1.2</v>
      </c>
      <c r="AT591" s="14">
        <f>IFERROR(__xludf.DUMMYFUNCTION("""COMPUTED_VALUE"""),0.07)</f>
        <v>0.07</v>
      </c>
      <c r="AU591" s="14">
        <f>IFERROR(__xludf.DUMMYFUNCTION("""COMPUTED_VALUE"""),133600.0)</f>
        <v>133600</v>
      </c>
      <c r="AV591" s="14">
        <f>IFERROR(__xludf.DUMMYFUNCTION("""COMPUTED_VALUE"""),0.22)</f>
        <v>0.22</v>
      </c>
      <c r="AW591" s="14">
        <f>IFERROR(__xludf.DUMMYFUNCTION("""COMPUTED_VALUE"""),5.9)</f>
        <v>5.9</v>
      </c>
      <c r="AX591" s="14">
        <f>IFERROR(__xludf.DUMMYFUNCTION("""COMPUTED_VALUE"""),10920.0)</f>
        <v>10920</v>
      </c>
      <c r="AY591" s="14">
        <f>IFERROR(__xludf.DUMMYFUNCTION("""COMPUTED_VALUE"""),2.4)</f>
        <v>2.4</v>
      </c>
      <c r="AZ591" s="14">
        <f>IFERROR(__xludf.DUMMYFUNCTION("""COMPUTED_VALUE"""),0.344)</f>
        <v>0.344</v>
      </c>
      <c r="BA591" s="14">
        <f t="shared" si="1"/>
        <v>8.644</v>
      </c>
    </row>
    <row r="592" ht="14.25" customHeight="1">
      <c r="A592" s="10" t="str">
        <f>IFERROR(__xludf.DUMMYFUNCTION("""COMPUTED_VALUE"""),"110222DU02")</f>
        <v>110222DU02</v>
      </c>
      <c r="B592" s="12" t="str">
        <f>IFERROR(__xludf.DUMMYFUNCTION("""COMPUTED_VALUE"""),"QCH-Cantarrana")</f>
        <v>QCH-Cantarrana</v>
      </c>
      <c r="C592" s="12"/>
      <c r="D592" s="12"/>
      <c r="E592" s="44">
        <f>IFERROR(__xludf.DUMMYFUNCTION("""COMPUTED_VALUE"""),44603.0)</f>
        <v>44603</v>
      </c>
      <c r="F592" s="12" t="str">
        <f>IFERROR(__xludf.DUMMYFUNCTION("""COMPUTED_VALUE"""),"TIPO I")</f>
        <v>TIPO I</v>
      </c>
      <c r="G592" s="12" t="str">
        <f>IFERROR(__xludf.DUMMYFUNCTION("""COMPUTED_VALUE"""),"Se presenta un lecho rocoso, arenoso. Se percibe olor y se observa color. ")</f>
        <v>Se presenta un lecho rocoso, arenoso. Se percibe olor y se observa color. </v>
      </c>
      <c r="H592" s="45">
        <f>IFERROR(__xludf.DUMMYFUNCTION("""COMPUTED_VALUE"""),0.4166666666678793)</f>
        <v>0.4166666667</v>
      </c>
      <c r="I592" s="45">
        <f>IFERROR(__xludf.DUMMYFUNCTION("""COMPUTED_VALUE"""),0.5)</f>
        <v>0.5</v>
      </c>
      <c r="J592" s="12">
        <f>IFERROR(__xludf.DUMMYFUNCTION("""COMPUTED_VALUE"""),0.8)</f>
        <v>0.8</v>
      </c>
      <c r="K592" s="12">
        <f>IFERROR(__xludf.DUMMYFUNCTION("""COMPUTED_VALUE"""),0.36)</f>
        <v>0.36</v>
      </c>
      <c r="L592" s="14">
        <f>IFERROR(__xludf.DUMMYFUNCTION("""COMPUTED_VALUE"""),101.569)</f>
        <v>101.569</v>
      </c>
      <c r="M592" s="14">
        <f>IFERROR(__xludf.DUMMYFUNCTION("""COMPUTED_VALUE"""),104.484)</f>
        <v>104.484</v>
      </c>
      <c r="N592" s="14">
        <f>IFERROR(__xludf.DUMMYFUNCTION("""COMPUTED_VALUE"""),106.753)</f>
        <v>106.753</v>
      </c>
      <c r="O592" s="14">
        <f>IFERROR(__xludf.DUMMYFUNCTION("""COMPUTED_VALUE"""),111.235)</f>
        <v>111.235</v>
      </c>
      <c r="P592" s="14">
        <f>IFERROR(__xludf.DUMMYFUNCTION("""COMPUTED_VALUE"""),113.816)</f>
        <v>113.816</v>
      </c>
      <c r="Q592" s="14">
        <f>IFERROR(__xludf.DUMMYFUNCTION("""COMPUTED_VALUE"""),107.571)</f>
        <v>107.571</v>
      </c>
      <c r="R592" s="48">
        <f>IFERROR(__xludf.DUMMYFUNCTION("""COMPUTED_VALUE"""),7.1)</f>
        <v>7.1</v>
      </c>
      <c r="S592" s="48">
        <f>IFERROR(__xludf.DUMMYFUNCTION("""COMPUTED_VALUE"""),7.23)</f>
        <v>7.23</v>
      </c>
      <c r="T592" s="48">
        <f>IFERROR(__xludf.DUMMYFUNCTION("""COMPUTED_VALUE"""),7.16)</f>
        <v>7.16</v>
      </c>
      <c r="U592" s="48">
        <f>IFERROR(__xludf.DUMMYFUNCTION("""COMPUTED_VALUE"""),7.22)</f>
        <v>7.22</v>
      </c>
      <c r="V592" s="48">
        <f>IFERROR(__xludf.DUMMYFUNCTION("""COMPUTED_VALUE"""),7.25)</f>
        <v>7.25</v>
      </c>
      <c r="W592" s="14">
        <f>IFERROR(__xludf.DUMMYFUNCTION("""COMPUTED_VALUE"""),7.192)</f>
        <v>7.192</v>
      </c>
      <c r="X592" s="14">
        <f>IFERROR(__xludf.DUMMYFUNCTION("""COMPUTED_VALUE"""),15.3)</f>
        <v>15.3</v>
      </c>
      <c r="Y592" s="14">
        <f>IFERROR(__xludf.DUMMYFUNCTION("""COMPUTED_VALUE"""),16.0)</f>
        <v>16</v>
      </c>
      <c r="Z592" s="14">
        <f>IFERROR(__xludf.DUMMYFUNCTION("""COMPUTED_VALUE"""),15.8)</f>
        <v>15.8</v>
      </c>
      <c r="AA592" s="14">
        <f>IFERROR(__xludf.DUMMYFUNCTION("""COMPUTED_VALUE"""),15.9)</f>
        <v>15.9</v>
      </c>
      <c r="AB592" s="14">
        <f>IFERROR(__xludf.DUMMYFUNCTION("""COMPUTED_VALUE"""),16.8)</f>
        <v>16.8</v>
      </c>
      <c r="AC592" s="14">
        <f>IFERROR(__xludf.DUMMYFUNCTION("""COMPUTED_VALUE"""),15.959999999999999)</f>
        <v>15.96</v>
      </c>
      <c r="AD592" s="48">
        <f>IFERROR(__xludf.DUMMYFUNCTION("""COMPUTED_VALUE"""),766.0)</f>
        <v>766</v>
      </c>
      <c r="AE592" s="48">
        <f>IFERROR(__xludf.DUMMYFUNCTION("""COMPUTED_VALUE"""),779.0)</f>
        <v>779</v>
      </c>
      <c r="AF592" s="48">
        <f>IFERROR(__xludf.DUMMYFUNCTION("""COMPUTED_VALUE"""),765.0)</f>
        <v>765</v>
      </c>
      <c r="AG592" s="48">
        <f>IFERROR(__xludf.DUMMYFUNCTION("""COMPUTED_VALUE"""),766.0)</f>
        <v>766</v>
      </c>
      <c r="AH592" s="48">
        <f>IFERROR(__xludf.DUMMYFUNCTION("""COMPUTED_VALUE"""),712.0)</f>
        <v>712</v>
      </c>
      <c r="AI592" s="14">
        <f>IFERROR(__xludf.DUMMYFUNCTION("""COMPUTED_VALUE"""),757.6)</f>
        <v>757.6</v>
      </c>
      <c r="AJ592" s="14">
        <f>IFERROR(__xludf.DUMMYFUNCTION("""COMPUTED_VALUE"""),4.82)</f>
        <v>4.82</v>
      </c>
      <c r="AK592" s="14">
        <f>IFERROR(__xludf.DUMMYFUNCTION("""COMPUTED_VALUE"""),4.42)</f>
        <v>4.42</v>
      </c>
      <c r="AL592" s="14">
        <f>IFERROR(__xludf.DUMMYFUNCTION("""COMPUTED_VALUE"""),4.65)</f>
        <v>4.65</v>
      </c>
      <c r="AM592" s="14">
        <f>IFERROR(__xludf.DUMMYFUNCTION("""COMPUTED_VALUE"""),4.12)</f>
        <v>4.12</v>
      </c>
      <c r="AN592" s="14">
        <f>IFERROR(__xludf.DUMMYFUNCTION("""COMPUTED_VALUE"""),4.11)</f>
        <v>4.11</v>
      </c>
      <c r="AO592" s="14">
        <f>IFERROR(__xludf.DUMMYFUNCTION("""COMPUTED_VALUE"""),4.424)</f>
        <v>4.424</v>
      </c>
      <c r="AP592" s="14">
        <f>IFERROR(__xludf.DUMMYFUNCTION("""COMPUTED_VALUE"""),252.0)</f>
        <v>252</v>
      </c>
      <c r="AQ592" s="14">
        <f>IFERROR(__xludf.DUMMYFUNCTION("""COMPUTED_VALUE"""),336.0)</f>
        <v>336</v>
      </c>
      <c r="AR592" s="14">
        <f>IFERROR(__xludf.DUMMYFUNCTION("""COMPUTED_VALUE"""),197.0)</f>
        <v>197</v>
      </c>
      <c r="AS592" s="14">
        <f>IFERROR(__xludf.DUMMYFUNCTION("""COMPUTED_VALUE"""),81.0)</f>
        <v>81</v>
      </c>
      <c r="AT592" s="14">
        <f>IFERROR(__xludf.DUMMYFUNCTION("""COMPUTED_VALUE"""),10.7)</f>
        <v>10.7</v>
      </c>
      <c r="AU592" s="14">
        <f>IFERROR(__xludf.DUMMYFUNCTION("""COMPUTED_VALUE"""),9880.0)</f>
        <v>9880</v>
      </c>
      <c r="AV592" s="14">
        <f>IFERROR(__xludf.DUMMYFUNCTION("""COMPUTED_VALUE"""),5.09)</f>
        <v>5.09</v>
      </c>
      <c r="AW592" s="14">
        <f>IFERROR(__xludf.DUMMYFUNCTION("""COMPUTED_VALUE"""),37.5)</f>
        <v>37.5</v>
      </c>
      <c r="AX592" s="14">
        <f>IFERROR(__xludf.DUMMYFUNCTION("""COMPUTED_VALUE"""),762.0)</f>
        <v>762</v>
      </c>
      <c r="AY592" s="14">
        <f>IFERROR(__xludf.DUMMYFUNCTION("""COMPUTED_VALUE"""),1.9)</f>
        <v>1.9</v>
      </c>
      <c r="AZ592" s="14">
        <f>IFERROR(__xludf.DUMMYFUNCTION("""COMPUTED_VALUE"""),0.007)</f>
        <v>0.007</v>
      </c>
      <c r="BA592" s="14">
        <f t="shared" si="1"/>
        <v>39.407</v>
      </c>
    </row>
    <row r="593" ht="14.25" customHeight="1">
      <c r="A593" s="10" t="str">
        <f>IFERROR(__xludf.DUMMYFUNCTION("""COMPUTED_VALUE"""),"140222WI01")</f>
        <v>140222WI01</v>
      </c>
      <c r="B593" s="12" t="str">
        <f>IFERROR(__xludf.DUMMYFUNCTION("""COMPUTED_VALUE"""),"CRN-Quebrada Chicó")</f>
        <v>CRN-Quebrada Chicó</v>
      </c>
      <c r="C593" s="12"/>
      <c r="D593" s="12"/>
      <c r="E593" s="44">
        <f>IFERROR(__xludf.DUMMYFUNCTION("""COMPUTED_VALUE"""),44606.0)</f>
        <v>44606</v>
      </c>
      <c r="F593" s="12" t="str">
        <f>IFERROR(__xludf.DUMMYFUNCTION("""COMPUTED_VALUE"""),"TIPO I")</f>
        <v>TIPO I</v>
      </c>
      <c r="G593" s="12" t="str">
        <f>IFERROR(__xludf.DUMMYFUNCTION("""COMPUTED_VALUE"""),"Se observa coloración.
Altura: 2609 msnm")</f>
        <v>Se observa coloración.
Altura: 2609 msnm</v>
      </c>
      <c r="H593" s="45">
        <f>IFERROR(__xludf.DUMMYFUNCTION("""COMPUTED_VALUE"""),0.25)</f>
        <v>0.25</v>
      </c>
      <c r="I593" s="45">
        <f>IFERROR(__xludf.DUMMYFUNCTION("""COMPUTED_VALUE"""),0.3333333333321207)</f>
        <v>0.3333333333</v>
      </c>
      <c r="J593" s="12">
        <f>IFERROR(__xludf.DUMMYFUNCTION("""COMPUTED_VALUE"""),0.43)</f>
        <v>0.43</v>
      </c>
      <c r="K593" s="12">
        <f>IFERROR(__xludf.DUMMYFUNCTION("""COMPUTED_VALUE"""),0.05)</f>
        <v>0.05</v>
      </c>
      <c r="L593" s="14">
        <f>IFERROR(__xludf.DUMMYFUNCTION("""COMPUTED_VALUE"""),1.233)</f>
        <v>1.233</v>
      </c>
      <c r="M593" s="14">
        <f>IFERROR(__xludf.DUMMYFUNCTION("""COMPUTED_VALUE"""),1.436)</f>
        <v>1.436</v>
      </c>
      <c r="N593" s="14">
        <f>IFERROR(__xludf.DUMMYFUNCTION("""COMPUTED_VALUE"""),2.068)</f>
        <v>2.068</v>
      </c>
      <c r="O593" s="14">
        <f>IFERROR(__xludf.DUMMYFUNCTION("""COMPUTED_VALUE"""),1.392)</f>
        <v>1.392</v>
      </c>
      <c r="P593" s="14">
        <f>IFERROR(__xludf.DUMMYFUNCTION("""COMPUTED_VALUE"""),1.489)</f>
        <v>1.489</v>
      </c>
      <c r="Q593" s="14">
        <f>IFERROR(__xludf.DUMMYFUNCTION("""COMPUTED_VALUE"""),1.524)</f>
        <v>1.524</v>
      </c>
      <c r="R593" s="48">
        <f>IFERROR(__xludf.DUMMYFUNCTION("""COMPUTED_VALUE"""),6.83)</f>
        <v>6.83</v>
      </c>
      <c r="S593" s="48">
        <f>IFERROR(__xludf.DUMMYFUNCTION("""COMPUTED_VALUE"""),6.55)</f>
        <v>6.55</v>
      </c>
      <c r="T593" s="48">
        <f>IFERROR(__xludf.DUMMYFUNCTION("""COMPUTED_VALUE"""),6.8)</f>
        <v>6.8</v>
      </c>
      <c r="U593" s="48">
        <f>IFERROR(__xludf.DUMMYFUNCTION("""COMPUTED_VALUE"""),6.7)</f>
        <v>6.7</v>
      </c>
      <c r="V593" s="48">
        <f>IFERROR(__xludf.DUMMYFUNCTION("""COMPUTED_VALUE"""),6.86)</f>
        <v>6.86</v>
      </c>
      <c r="W593" s="14">
        <f>IFERROR(__xludf.DUMMYFUNCTION("""COMPUTED_VALUE"""),6.748)</f>
        <v>6.748</v>
      </c>
      <c r="X593" s="14">
        <f>IFERROR(__xludf.DUMMYFUNCTION("""COMPUTED_VALUE"""),14.0)</f>
        <v>14</v>
      </c>
      <c r="Y593" s="14">
        <f>IFERROR(__xludf.DUMMYFUNCTION("""COMPUTED_VALUE"""),14.0)</f>
        <v>14</v>
      </c>
      <c r="Z593" s="14">
        <f>IFERROR(__xludf.DUMMYFUNCTION("""COMPUTED_VALUE"""),14.0)</f>
        <v>14</v>
      </c>
      <c r="AA593" s="14">
        <f>IFERROR(__xludf.DUMMYFUNCTION("""COMPUTED_VALUE"""),14.3)</f>
        <v>14.3</v>
      </c>
      <c r="AB593" s="14">
        <f>IFERROR(__xludf.DUMMYFUNCTION("""COMPUTED_VALUE"""),14.5)</f>
        <v>14.5</v>
      </c>
      <c r="AC593" s="14">
        <f>IFERROR(__xludf.DUMMYFUNCTION("""COMPUTED_VALUE"""),14.16)</f>
        <v>14.16</v>
      </c>
      <c r="AD593" s="48">
        <f>IFERROR(__xludf.DUMMYFUNCTION("""COMPUTED_VALUE"""),150.4)</f>
        <v>150.4</v>
      </c>
      <c r="AE593" s="48">
        <f>IFERROR(__xludf.DUMMYFUNCTION("""COMPUTED_VALUE"""),149.4)</f>
        <v>149.4</v>
      </c>
      <c r="AF593" s="48">
        <f>IFERROR(__xludf.DUMMYFUNCTION("""COMPUTED_VALUE"""),179.7)</f>
        <v>179.7</v>
      </c>
      <c r="AG593" s="48">
        <f>IFERROR(__xludf.DUMMYFUNCTION("""COMPUTED_VALUE"""),397.0)</f>
        <v>397</v>
      </c>
      <c r="AH593" s="48">
        <f>IFERROR(__xludf.DUMMYFUNCTION("""COMPUTED_VALUE"""),396.0)</f>
        <v>396</v>
      </c>
      <c r="AI593" s="14">
        <f>IFERROR(__xludf.DUMMYFUNCTION("""COMPUTED_VALUE"""),254.5)</f>
        <v>254.5</v>
      </c>
      <c r="AJ593" s="14">
        <f>IFERROR(__xludf.DUMMYFUNCTION("""COMPUTED_VALUE"""),5.63)</f>
        <v>5.63</v>
      </c>
      <c r="AK593" s="14">
        <f>IFERROR(__xludf.DUMMYFUNCTION("""COMPUTED_VALUE"""),5.47)</f>
        <v>5.47</v>
      </c>
      <c r="AL593" s="14">
        <f>IFERROR(__xludf.DUMMYFUNCTION("""COMPUTED_VALUE"""),5.31)</f>
        <v>5.31</v>
      </c>
      <c r="AM593" s="14">
        <f>IFERROR(__xludf.DUMMYFUNCTION("""COMPUTED_VALUE"""),5.48)</f>
        <v>5.48</v>
      </c>
      <c r="AN593" s="14">
        <f>IFERROR(__xludf.DUMMYFUNCTION("""COMPUTED_VALUE"""),5.57)</f>
        <v>5.57</v>
      </c>
      <c r="AO593" s="14">
        <f>IFERROR(__xludf.DUMMYFUNCTION("""COMPUTED_VALUE"""),5.492)</f>
        <v>5.492</v>
      </c>
      <c r="AP593" s="14">
        <f>IFERROR(__xludf.DUMMYFUNCTION("""COMPUTED_VALUE"""),49.0)</f>
        <v>49</v>
      </c>
      <c r="AQ593" s="14">
        <f>IFERROR(__xludf.DUMMYFUNCTION("""COMPUTED_VALUE"""),85.0)</f>
        <v>85</v>
      </c>
      <c r="AR593" s="14">
        <f>IFERROR(__xludf.DUMMYFUNCTION("""COMPUTED_VALUE"""),13.0)</f>
        <v>13</v>
      </c>
      <c r="AS593" s="14">
        <f>IFERROR(__xludf.DUMMYFUNCTION("""COMPUTED_VALUE"""),5.4)</f>
        <v>5.4</v>
      </c>
      <c r="AT593" s="14">
        <f>IFERROR(__xludf.DUMMYFUNCTION("""COMPUTED_VALUE"""),0.07)</f>
        <v>0.07</v>
      </c>
      <c r="AU593" s="14">
        <f>IFERROR(__xludf.DUMMYFUNCTION("""COMPUTED_VALUE"""),1.541E8)</f>
        <v>154100000</v>
      </c>
      <c r="AV593" s="14">
        <f>IFERROR(__xludf.DUMMYFUNCTION("""COMPUTED_VALUE"""),3.72)</f>
        <v>3.72</v>
      </c>
      <c r="AW593" s="14">
        <f>IFERROR(__xludf.DUMMYFUNCTION("""COMPUTED_VALUE"""),21.8)</f>
        <v>21.8</v>
      </c>
      <c r="AX593" s="14">
        <f>IFERROR(__xludf.DUMMYFUNCTION("""COMPUTED_VALUE"""),1.391E8)</f>
        <v>139100000</v>
      </c>
      <c r="AY593" s="14">
        <f>IFERROR(__xludf.DUMMYFUNCTION("""COMPUTED_VALUE"""),0.4)</f>
        <v>0.4</v>
      </c>
      <c r="AZ593" s="14">
        <f>IFERROR(__xludf.DUMMYFUNCTION("""COMPUTED_VALUE"""),0.007)</f>
        <v>0.007</v>
      </c>
      <c r="BA593" s="14">
        <f t="shared" si="1"/>
        <v>22.207</v>
      </c>
    </row>
    <row r="594" ht="14.25" customHeight="1">
      <c r="A594" s="10" t="str">
        <f>IFERROR(__xludf.DUMMYFUNCTION("""COMPUTED_VALUE"""),"150222SA01")</f>
        <v>150222SA01</v>
      </c>
      <c r="B594" s="12" t="str">
        <f>IFERROR(__xludf.DUMMYFUNCTION("""COMPUTED_VALUE"""),"QZA-Molinos")</f>
        <v>QZA-Molinos</v>
      </c>
      <c r="C594" s="12"/>
      <c r="D594" s="12"/>
      <c r="E594" s="44">
        <f>IFERROR(__xludf.DUMMYFUNCTION("""COMPUTED_VALUE"""),44607.0)</f>
        <v>44607</v>
      </c>
      <c r="F594" s="12" t="str">
        <f>IFERROR(__xludf.DUMMYFUNCTION("""COMPUTED_VALUE"""),"TIPO I")</f>
        <v>TIPO I</v>
      </c>
      <c r="G594" s="12" t="str">
        <f>IFERROR(__xludf.DUMMYFUNCTION("""COMPUTED_VALUE"""),"Se presenta lecho rocoso-arenoso.
Aproximadamente a 50 metros aguas arriba del punto de monitoreo se observan dos vertimientos los cuales presentan flujo bajo y con características de agua residual.")</f>
        <v>Se presenta lecho rocoso-arenoso.
Aproximadamente a 50 metros aguas arriba del punto de monitoreo se observan dos vertimientos los cuales presentan flujo bajo y con características de agua residual.</v>
      </c>
      <c r="H594" s="45">
        <f>IFERROR(__xludf.DUMMYFUNCTION("""COMPUTED_VALUE"""),0.25)</f>
        <v>0.25</v>
      </c>
      <c r="I594" s="45">
        <f>IFERROR(__xludf.DUMMYFUNCTION("""COMPUTED_VALUE"""),0.3333333333321207)</f>
        <v>0.3333333333</v>
      </c>
      <c r="J594" s="12">
        <f>IFERROR(__xludf.DUMMYFUNCTION("""COMPUTED_VALUE"""),3.0)</f>
        <v>3</v>
      </c>
      <c r="K594" s="12">
        <f>IFERROR(__xludf.DUMMYFUNCTION("""COMPUTED_VALUE"""),0.2)</f>
        <v>0.2</v>
      </c>
      <c r="L594" s="14">
        <f>IFERROR(__xludf.DUMMYFUNCTION("""COMPUTED_VALUE"""),221.813)</f>
        <v>221.813</v>
      </c>
      <c r="M594" s="14">
        <f>IFERROR(__xludf.DUMMYFUNCTION("""COMPUTED_VALUE"""),229.399)</f>
        <v>229.399</v>
      </c>
      <c r="N594" s="14">
        <f>IFERROR(__xludf.DUMMYFUNCTION("""COMPUTED_VALUE"""),236.626)</f>
        <v>236.626</v>
      </c>
      <c r="O594" s="14">
        <f>IFERROR(__xludf.DUMMYFUNCTION("""COMPUTED_VALUE"""),237.078)</f>
        <v>237.078</v>
      </c>
      <c r="P594" s="14">
        <f>IFERROR(__xludf.DUMMYFUNCTION("""COMPUTED_VALUE"""),239.969)</f>
        <v>239.969</v>
      </c>
      <c r="Q594" s="14">
        <f>IFERROR(__xludf.DUMMYFUNCTION("""COMPUTED_VALUE"""),232.977)</f>
        <v>232.977</v>
      </c>
      <c r="R594" s="48">
        <f>IFERROR(__xludf.DUMMYFUNCTION("""COMPUTED_VALUE"""),6.72)</f>
        <v>6.72</v>
      </c>
      <c r="S594" s="48">
        <f>IFERROR(__xludf.DUMMYFUNCTION("""COMPUTED_VALUE"""),6.62)</f>
        <v>6.62</v>
      </c>
      <c r="T594" s="48">
        <f>IFERROR(__xludf.DUMMYFUNCTION("""COMPUTED_VALUE"""),6.78)</f>
        <v>6.78</v>
      </c>
      <c r="U594" s="48">
        <f>IFERROR(__xludf.DUMMYFUNCTION("""COMPUTED_VALUE"""),6.64)</f>
        <v>6.64</v>
      </c>
      <c r="V594" s="48">
        <f>IFERROR(__xludf.DUMMYFUNCTION("""COMPUTED_VALUE"""),6.93)</f>
        <v>6.93</v>
      </c>
      <c r="W594" s="14">
        <f>IFERROR(__xludf.DUMMYFUNCTION("""COMPUTED_VALUE"""),6.7379999999999995)</f>
        <v>6.738</v>
      </c>
      <c r="X594" s="14">
        <f>IFERROR(__xludf.DUMMYFUNCTION("""COMPUTED_VALUE"""),13.5)</f>
        <v>13.5</v>
      </c>
      <c r="Y594" s="14">
        <f>IFERROR(__xludf.DUMMYFUNCTION("""COMPUTED_VALUE"""),13.3)</f>
        <v>13.3</v>
      </c>
      <c r="Z594" s="14">
        <f>IFERROR(__xludf.DUMMYFUNCTION("""COMPUTED_VALUE"""),13.3)</f>
        <v>13.3</v>
      </c>
      <c r="AA594" s="14">
        <f>IFERROR(__xludf.DUMMYFUNCTION("""COMPUTED_VALUE"""),13.3)</f>
        <v>13.3</v>
      </c>
      <c r="AB594" s="14">
        <f>IFERROR(__xludf.DUMMYFUNCTION("""COMPUTED_VALUE"""),13.4)</f>
        <v>13.4</v>
      </c>
      <c r="AC594" s="14">
        <f>IFERROR(__xludf.DUMMYFUNCTION("""COMPUTED_VALUE"""),13.360000000000003)</f>
        <v>13.36</v>
      </c>
      <c r="AD594" s="48">
        <f>IFERROR(__xludf.DUMMYFUNCTION("""COMPUTED_VALUE"""),274.0)</f>
        <v>274</v>
      </c>
      <c r="AE594" s="48">
        <f>IFERROR(__xludf.DUMMYFUNCTION("""COMPUTED_VALUE"""),285.0)</f>
        <v>285</v>
      </c>
      <c r="AF594" s="48">
        <f>IFERROR(__xludf.DUMMYFUNCTION("""COMPUTED_VALUE"""),307.0)</f>
        <v>307</v>
      </c>
      <c r="AG594" s="48">
        <f>IFERROR(__xludf.DUMMYFUNCTION("""COMPUTED_VALUE"""),355.0)</f>
        <v>355</v>
      </c>
      <c r="AH594" s="48">
        <f>IFERROR(__xludf.DUMMYFUNCTION("""COMPUTED_VALUE"""),398.0)</f>
        <v>398</v>
      </c>
      <c r="AI594" s="14">
        <f>IFERROR(__xludf.DUMMYFUNCTION("""COMPUTED_VALUE"""),323.8)</f>
        <v>323.8</v>
      </c>
      <c r="AJ594" s="14">
        <f>IFERROR(__xludf.DUMMYFUNCTION("""COMPUTED_VALUE"""),5.31)</f>
        <v>5.31</v>
      </c>
      <c r="AK594" s="14">
        <f>IFERROR(__xludf.DUMMYFUNCTION("""COMPUTED_VALUE"""),4.99)</f>
        <v>4.99</v>
      </c>
      <c r="AL594" s="14">
        <f>IFERROR(__xludf.DUMMYFUNCTION("""COMPUTED_VALUE"""),5.08)</f>
        <v>5.08</v>
      </c>
      <c r="AM594" s="14">
        <f>IFERROR(__xludf.DUMMYFUNCTION("""COMPUTED_VALUE"""),5.09)</f>
        <v>5.09</v>
      </c>
      <c r="AN594" s="14">
        <f>IFERROR(__xludf.DUMMYFUNCTION("""COMPUTED_VALUE"""),4.8)</f>
        <v>4.8</v>
      </c>
      <c r="AO594" s="14">
        <f>IFERROR(__xludf.DUMMYFUNCTION("""COMPUTED_VALUE"""),5.054)</f>
        <v>5.054</v>
      </c>
      <c r="AP594" s="14">
        <f>IFERROR(__xludf.DUMMYFUNCTION("""COMPUTED_VALUE"""),34.0)</f>
        <v>34</v>
      </c>
      <c r="AQ594" s="14">
        <f>IFERROR(__xludf.DUMMYFUNCTION("""COMPUTED_VALUE"""),53.0)</f>
        <v>53</v>
      </c>
      <c r="AR594" s="14">
        <f>IFERROR(__xludf.DUMMYFUNCTION("""COMPUTED_VALUE"""),16.0)</f>
        <v>16</v>
      </c>
      <c r="AS594" s="14">
        <f>IFERROR(__xludf.DUMMYFUNCTION("""COMPUTED_VALUE"""),6.8)</f>
        <v>6.8</v>
      </c>
      <c r="AT594" s="14">
        <f>IFERROR(__xludf.DUMMYFUNCTION("""COMPUTED_VALUE"""),0.07)</f>
        <v>0.07</v>
      </c>
      <c r="AU594" s="14">
        <f>IFERROR(__xludf.DUMMYFUNCTION("""COMPUTED_VALUE"""),1.043E7)</f>
        <v>10430000</v>
      </c>
      <c r="AV594" s="14">
        <f>IFERROR(__xludf.DUMMYFUNCTION("""COMPUTED_VALUE"""),1.51)</f>
        <v>1.51</v>
      </c>
      <c r="AW594" s="14">
        <f>IFERROR(__xludf.DUMMYFUNCTION("""COMPUTED_VALUE"""),3.9)</f>
        <v>3.9</v>
      </c>
      <c r="AX594" s="14">
        <f>IFERROR(__xludf.DUMMYFUNCTION("""COMPUTED_VALUE"""),823000.0)</f>
        <v>823000</v>
      </c>
      <c r="AY594" s="14">
        <f>IFERROR(__xludf.DUMMYFUNCTION("""COMPUTED_VALUE"""),0.6)</f>
        <v>0.6</v>
      </c>
      <c r="AZ594" s="14">
        <f>IFERROR(__xludf.DUMMYFUNCTION("""COMPUTED_VALUE"""),0.533)</f>
        <v>0.533</v>
      </c>
      <c r="BA594" s="14">
        <f t="shared" si="1"/>
        <v>5.033</v>
      </c>
    </row>
    <row r="595" ht="14.25" customHeight="1">
      <c r="A595" s="10" t="str">
        <f>IFERROR(__xludf.DUMMYFUNCTION("""COMPUTED_VALUE"""),"150222CA02")</f>
        <v>150222CA02</v>
      </c>
      <c r="B595" s="12" t="str">
        <f>IFERROR(__xludf.DUMMYFUNCTION("""COMPUTED_VALUE"""),"QZA-Meissen")</f>
        <v>QZA-Meissen</v>
      </c>
      <c r="C595" s="12"/>
      <c r="D595" s="12"/>
      <c r="E595" s="44">
        <f>IFERROR(__xludf.DUMMYFUNCTION("""COMPUTED_VALUE"""),44607.0)</f>
        <v>44607</v>
      </c>
      <c r="F595" s="12" t="str">
        <f>IFERROR(__xludf.DUMMYFUNCTION("""COMPUTED_VALUE"""),"TIPO I")</f>
        <v>TIPO I</v>
      </c>
      <c r="G595" s="12" t="str">
        <f>IFERROR(__xludf.DUMMYFUNCTION("""COMPUTED_VALUE"""),"Se presenta un lecho en concreto, se observa color y no se percibe olor. ")</f>
        <v>Se presenta un lecho en concreto, se observa color y no se percibe olor. </v>
      </c>
      <c r="H595" s="45">
        <f>IFERROR(__xludf.DUMMYFUNCTION("""COMPUTED_VALUE"""),0.4166666666678793)</f>
        <v>0.4166666667</v>
      </c>
      <c r="I595" s="45">
        <f>IFERROR(__xludf.DUMMYFUNCTION("""COMPUTED_VALUE"""),0.5)</f>
        <v>0.5</v>
      </c>
      <c r="J595" s="12">
        <f>IFERROR(__xludf.DUMMYFUNCTION("""COMPUTED_VALUE"""),12.0)</f>
        <v>12</v>
      </c>
      <c r="K595" s="12">
        <f>IFERROR(__xludf.DUMMYFUNCTION("""COMPUTED_VALUE"""),0.1)</f>
        <v>0.1</v>
      </c>
      <c r="L595" s="14">
        <f>IFERROR(__xludf.DUMMYFUNCTION("""COMPUTED_VALUE"""),546.228)</f>
        <v>546.228</v>
      </c>
      <c r="M595" s="14">
        <f>IFERROR(__xludf.DUMMYFUNCTION("""COMPUTED_VALUE"""),569.571)</f>
        <v>569.571</v>
      </c>
      <c r="N595" s="14">
        <f>IFERROR(__xludf.DUMMYFUNCTION("""COMPUTED_VALUE"""),574.813)</f>
        <v>574.813</v>
      </c>
      <c r="O595" s="14">
        <f>IFERROR(__xludf.DUMMYFUNCTION("""COMPUTED_VALUE"""),576.419)</f>
        <v>576.419</v>
      </c>
      <c r="P595" s="14">
        <f>IFERROR(__xludf.DUMMYFUNCTION("""COMPUTED_VALUE"""),572.435)</f>
        <v>572.435</v>
      </c>
      <c r="Q595" s="14">
        <f>IFERROR(__xludf.DUMMYFUNCTION("""COMPUTED_VALUE"""),567.893)</f>
        <v>567.893</v>
      </c>
      <c r="R595" s="48">
        <f>IFERROR(__xludf.DUMMYFUNCTION("""COMPUTED_VALUE"""),6.86)</f>
        <v>6.86</v>
      </c>
      <c r="S595" s="48">
        <f>IFERROR(__xludf.DUMMYFUNCTION("""COMPUTED_VALUE"""),7.17)</f>
        <v>7.17</v>
      </c>
      <c r="T595" s="48">
        <f>IFERROR(__xludf.DUMMYFUNCTION("""COMPUTED_VALUE"""),7.02)</f>
        <v>7.02</v>
      </c>
      <c r="U595" s="48">
        <f>IFERROR(__xludf.DUMMYFUNCTION("""COMPUTED_VALUE"""),6.88)</f>
        <v>6.88</v>
      </c>
      <c r="V595" s="48">
        <f>IFERROR(__xludf.DUMMYFUNCTION("""COMPUTED_VALUE"""),7.1)</f>
        <v>7.1</v>
      </c>
      <c r="W595" s="14">
        <f>IFERROR(__xludf.DUMMYFUNCTION("""COMPUTED_VALUE"""),7.006)</f>
        <v>7.006</v>
      </c>
      <c r="X595" s="14">
        <f>IFERROR(__xludf.DUMMYFUNCTION("""COMPUTED_VALUE"""),15.8)</f>
        <v>15.8</v>
      </c>
      <c r="Y595" s="14">
        <f>IFERROR(__xludf.DUMMYFUNCTION("""COMPUTED_VALUE"""),16.0)</f>
        <v>16</v>
      </c>
      <c r="Z595" s="14">
        <f>IFERROR(__xludf.DUMMYFUNCTION("""COMPUTED_VALUE"""),17.7)</f>
        <v>17.7</v>
      </c>
      <c r="AA595" s="14">
        <f>IFERROR(__xludf.DUMMYFUNCTION("""COMPUTED_VALUE"""),18.4)</f>
        <v>18.4</v>
      </c>
      <c r="AB595" s="14">
        <f>IFERROR(__xludf.DUMMYFUNCTION("""COMPUTED_VALUE"""),17.8)</f>
        <v>17.8</v>
      </c>
      <c r="AC595" s="14">
        <f>IFERROR(__xludf.DUMMYFUNCTION("""COMPUTED_VALUE"""),17.14)</f>
        <v>17.14</v>
      </c>
      <c r="AD595" s="48">
        <f>IFERROR(__xludf.DUMMYFUNCTION("""COMPUTED_VALUE"""),496.0)</f>
        <v>496</v>
      </c>
      <c r="AE595" s="48">
        <f>IFERROR(__xludf.DUMMYFUNCTION("""COMPUTED_VALUE"""),511.0)</f>
        <v>511</v>
      </c>
      <c r="AF595" s="48">
        <f>IFERROR(__xludf.DUMMYFUNCTION("""COMPUTED_VALUE"""),508.0)</f>
        <v>508</v>
      </c>
      <c r="AG595" s="48">
        <f>IFERROR(__xludf.DUMMYFUNCTION("""COMPUTED_VALUE"""),506.0)</f>
        <v>506</v>
      </c>
      <c r="AH595" s="48">
        <f>IFERROR(__xludf.DUMMYFUNCTION("""COMPUTED_VALUE"""),525.0)</f>
        <v>525</v>
      </c>
      <c r="AI595" s="14">
        <f>IFERROR(__xludf.DUMMYFUNCTION("""COMPUTED_VALUE"""),509.2)</f>
        <v>509.2</v>
      </c>
      <c r="AJ595" s="14">
        <f>IFERROR(__xludf.DUMMYFUNCTION("""COMPUTED_VALUE"""),4.87)</f>
        <v>4.87</v>
      </c>
      <c r="AK595" s="14">
        <f>IFERROR(__xludf.DUMMYFUNCTION("""COMPUTED_VALUE"""),4.53)</f>
        <v>4.53</v>
      </c>
      <c r="AL595" s="14">
        <f>IFERROR(__xludf.DUMMYFUNCTION("""COMPUTED_VALUE"""),4.44)</f>
        <v>4.44</v>
      </c>
      <c r="AM595" s="14">
        <f>IFERROR(__xludf.DUMMYFUNCTION("""COMPUTED_VALUE"""),4.46)</f>
        <v>4.46</v>
      </c>
      <c r="AN595" s="14">
        <f>IFERROR(__xludf.DUMMYFUNCTION("""COMPUTED_VALUE"""),4.09)</f>
        <v>4.09</v>
      </c>
      <c r="AO595" s="14">
        <f>IFERROR(__xludf.DUMMYFUNCTION("""COMPUTED_VALUE"""),4.478)</f>
        <v>4.478</v>
      </c>
      <c r="AP595" s="14">
        <f>IFERROR(__xludf.DUMMYFUNCTION("""COMPUTED_VALUE"""),110.0)</f>
        <v>110</v>
      </c>
      <c r="AQ595" s="14">
        <f>IFERROR(__xludf.DUMMYFUNCTION("""COMPUTED_VALUE"""),182.0)</f>
        <v>182</v>
      </c>
      <c r="AR595" s="14">
        <f>IFERROR(__xludf.DUMMYFUNCTION("""COMPUTED_VALUE"""),87.0)</f>
        <v>87</v>
      </c>
      <c r="AS595" s="14">
        <f>IFERROR(__xludf.DUMMYFUNCTION("""COMPUTED_VALUE"""),7.5)</f>
        <v>7.5</v>
      </c>
      <c r="AT595" s="14">
        <f>IFERROR(__xludf.DUMMYFUNCTION("""COMPUTED_VALUE"""),2.45)</f>
        <v>2.45</v>
      </c>
      <c r="AU595" s="14">
        <f>IFERROR(__xludf.DUMMYFUNCTION("""COMPUTED_VALUE"""),1.169E7)</f>
        <v>11690000</v>
      </c>
      <c r="AV595" s="14">
        <f>IFERROR(__xludf.DUMMYFUNCTION("""COMPUTED_VALUE"""),3.05)</f>
        <v>3.05</v>
      </c>
      <c r="AW595" s="14">
        <f>IFERROR(__xludf.DUMMYFUNCTION("""COMPUTED_VALUE"""),21.6)</f>
        <v>21.6</v>
      </c>
      <c r="AX595" s="14">
        <f>IFERROR(__xludf.DUMMYFUNCTION("""COMPUTED_VALUE"""),1100000.0)</f>
        <v>1100000</v>
      </c>
      <c r="AY595" s="14">
        <f>IFERROR(__xludf.DUMMYFUNCTION("""COMPUTED_VALUE"""),1.1)</f>
        <v>1.1</v>
      </c>
      <c r="AZ595" s="14">
        <f>IFERROR(__xludf.DUMMYFUNCTION("""COMPUTED_VALUE"""),0.007)</f>
        <v>0.007</v>
      </c>
      <c r="BA595" s="14">
        <f t="shared" si="1"/>
        <v>22.707</v>
      </c>
    </row>
    <row r="596" ht="14.25" customHeight="1">
      <c r="A596" s="10" t="str">
        <f>IFERROR(__xludf.DUMMYFUNCTION("""COMPUTED_VALUE"""),"140222DU01")</f>
        <v>140222DU01</v>
      </c>
      <c r="B596" s="12" t="str">
        <f>IFERROR(__xludf.DUMMYFUNCTION("""COMPUTED_VALUE"""),"CRN-La Castellana")</f>
        <v>CRN-La Castellana</v>
      </c>
      <c r="C596" s="12"/>
      <c r="D596" s="12"/>
      <c r="E596" s="44">
        <f>IFERROR(__xludf.DUMMYFUNCTION("""COMPUTED_VALUE"""),44606.0)</f>
        <v>44606</v>
      </c>
      <c r="F596" s="12" t="str">
        <f>IFERROR(__xludf.DUMMYFUNCTION("""COMPUTED_VALUE"""),"TIPO I")</f>
        <v>TIPO I</v>
      </c>
      <c r="G596" s="12" t="str">
        <f>IFERROR(__xludf.DUMMYFUNCTION("""COMPUTED_VALUE"""),"El agua presenta coloración, se perciben olores y se logran observar sedimentos en el margen izquierdo del canal")</f>
        <v>El agua presenta coloración, se perciben olores y se logran observar sedimentos en el margen izquierdo del canal</v>
      </c>
      <c r="H596" s="45">
        <f>IFERROR(__xludf.DUMMYFUNCTION("""COMPUTED_VALUE"""),0.25)</f>
        <v>0.25</v>
      </c>
      <c r="I596" s="45">
        <f>IFERROR(__xludf.DUMMYFUNCTION("""COMPUTED_VALUE"""),0.3333333333321207)</f>
        <v>0.3333333333</v>
      </c>
      <c r="J596" s="12">
        <f>IFERROR(__xludf.DUMMYFUNCTION("""COMPUTED_VALUE"""),4.08)</f>
        <v>4.08</v>
      </c>
      <c r="K596" s="12">
        <f>IFERROR(__xludf.DUMMYFUNCTION("""COMPUTED_VALUE"""),0.18)</f>
        <v>0.18</v>
      </c>
      <c r="L596" s="14">
        <f>IFERROR(__xludf.DUMMYFUNCTION("""COMPUTED_VALUE"""),95.794)</f>
        <v>95.794</v>
      </c>
      <c r="M596" s="14">
        <f>IFERROR(__xludf.DUMMYFUNCTION("""COMPUTED_VALUE"""),93.217)</f>
        <v>93.217</v>
      </c>
      <c r="N596" s="14">
        <f>IFERROR(__xludf.DUMMYFUNCTION("""COMPUTED_VALUE"""),97.448)</f>
        <v>97.448</v>
      </c>
      <c r="O596" s="14">
        <f>IFERROR(__xludf.DUMMYFUNCTION("""COMPUTED_VALUE"""),118.285)</f>
        <v>118.285</v>
      </c>
      <c r="P596" s="14">
        <f>IFERROR(__xludf.DUMMYFUNCTION("""COMPUTED_VALUE"""),114.689)</f>
        <v>114.689</v>
      </c>
      <c r="Q596" s="14">
        <f>IFERROR(__xludf.DUMMYFUNCTION("""COMPUTED_VALUE"""),103.887)</f>
        <v>103.887</v>
      </c>
      <c r="R596" s="48">
        <f>IFERROR(__xludf.DUMMYFUNCTION("""COMPUTED_VALUE"""),7.26)</f>
        <v>7.26</v>
      </c>
      <c r="S596" s="48">
        <f>IFERROR(__xludf.DUMMYFUNCTION("""COMPUTED_VALUE"""),7.77)</f>
        <v>7.77</v>
      </c>
      <c r="T596" s="48">
        <f>IFERROR(__xludf.DUMMYFUNCTION("""COMPUTED_VALUE"""),8.08)</f>
        <v>8.08</v>
      </c>
      <c r="U596" s="48">
        <f>IFERROR(__xludf.DUMMYFUNCTION("""COMPUTED_VALUE"""),8.55)</f>
        <v>8.55</v>
      </c>
      <c r="V596" s="48">
        <f>IFERROR(__xludf.DUMMYFUNCTION("""COMPUTED_VALUE"""),8.74)</f>
        <v>8.74</v>
      </c>
      <c r="W596" s="14">
        <f>IFERROR(__xludf.DUMMYFUNCTION("""COMPUTED_VALUE"""),8.08)</f>
        <v>8.08</v>
      </c>
      <c r="X596" s="14">
        <f>IFERROR(__xludf.DUMMYFUNCTION("""COMPUTED_VALUE"""),15.8)</f>
        <v>15.8</v>
      </c>
      <c r="Y596" s="14">
        <f>IFERROR(__xludf.DUMMYFUNCTION("""COMPUTED_VALUE"""),15.8)</f>
        <v>15.8</v>
      </c>
      <c r="Z596" s="14">
        <f>IFERROR(__xludf.DUMMYFUNCTION("""COMPUTED_VALUE"""),15.7)</f>
        <v>15.7</v>
      </c>
      <c r="AA596" s="14">
        <f>IFERROR(__xludf.DUMMYFUNCTION("""COMPUTED_VALUE"""),16.9)</f>
        <v>16.9</v>
      </c>
      <c r="AB596" s="14">
        <f>IFERROR(__xludf.DUMMYFUNCTION("""COMPUTED_VALUE"""),17.4)</f>
        <v>17.4</v>
      </c>
      <c r="AC596" s="14">
        <f>IFERROR(__xludf.DUMMYFUNCTION("""COMPUTED_VALUE"""),16.32)</f>
        <v>16.32</v>
      </c>
      <c r="AD596" s="48">
        <f>IFERROR(__xludf.DUMMYFUNCTION("""COMPUTED_VALUE"""),242.0)</f>
        <v>242</v>
      </c>
      <c r="AE596" s="48">
        <f>IFERROR(__xludf.DUMMYFUNCTION("""COMPUTED_VALUE"""),249.0)</f>
        <v>249</v>
      </c>
      <c r="AF596" s="48">
        <f>IFERROR(__xludf.DUMMYFUNCTION("""COMPUTED_VALUE"""),334.0)</f>
        <v>334</v>
      </c>
      <c r="AG596" s="48">
        <f>IFERROR(__xludf.DUMMYFUNCTION("""COMPUTED_VALUE"""),408.0)</f>
        <v>408</v>
      </c>
      <c r="AH596" s="48">
        <f>IFERROR(__xludf.DUMMYFUNCTION("""COMPUTED_VALUE"""),464.0)</f>
        <v>464</v>
      </c>
      <c r="AI596" s="14">
        <f>IFERROR(__xludf.DUMMYFUNCTION("""COMPUTED_VALUE"""),339.4)</f>
        <v>339.4</v>
      </c>
      <c r="AJ596" s="14">
        <f>IFERROR(__xludf.DUMMYFUNCTION("""COMPUTED_VALUE"""),2.45)</f>
        <v>2.45</v>
      </c>
      <c r="AK596" s="14">
        <f>IFERROR(__xludf.DUMMYFUNCTION("""COMPUTED_VALUE"""),2.32)</f>
        <v>2.32</v>
      </c>
      <c r="AL596" s="14">
        <f>IFERROR(__xludf.DUMMYFUNCTION("""COMPUTED_VALUE"""),2.66)</f>
        <v>2.66</v>
      </c>
      <c r="AM596" s="14">
        <f>IFERROR(__xludf.DUMMYFUNCTION("""COMPUTED_VALUE"""),2.35)</f>
        <v>2.35</v>
      </c>
      <c r="AN596" s="14">
        <f>IFERROR(__xludf.DUMMYFUNCTION("""COMPUTED_VALUE"""),2.41)</f>
        <v>2.41</v>
      </c>
      <c r="AO596" s="14">
        <f>IFERROR(__xludf.DUMMYFUNCTION("""COMPUTED_VALUE"""),2.4379999999999997)</f>
        <v>2.438</v>
      </c>
      <c r="AP596" s="14">
        <f>IFERROR(__xludf.DUMMYFUNCTION("""COMPUTED_VALUE"""),89.0)</f>
        <v>89</v>
      </c>
      <c r="AQ596" s="14">
        <f>IFERROR(__xludf.DUMMYFUNCTION("""COMPUTED_VALUE"""),134.0)</f>
        <v>134</v>
      </c>
      <c r="AR596" s="14">
        <f>IFERROR(__xludf.DUMMYFUNCTION("""COMPUTED_VALUE"""),93.0)</f>
        <v>93</v>
      </c>
      <c r="AS596" s="14">
        <f>IFERROR(__xludf.DUMMYFUNCTION("""COMPUTED_VALUE"""),6.8)</f>
        <v>6.8</v>
      </c>
      <c r="AT596" s="14">
        <f>IFERROR(__xludf.DUMMYFUNCTION("""COMPUTED_VALUE"""),0.72)</f>
        <v>0.72</v>
      </c>
      <c r="AU596" s="14">
        <f>IFERROR(__xludf.DUMMYFUNCTION("""COMPUTED_VALUE"""),1.059E8)</f>
        <v>105900000</v>
      </c>
      <c r="AV596" s="14">
        <f>IFERROR(__xludf.DUMMYFUNCTION("""COMPUTED_VALUE"""),1.37)</f>
        <v>1.37</v>
      </c>
      <c r="AW596" s="14">
        <f>IFERROR(__xludf.DUMMYFUNCTION("""COMPUTED_VALUE"""),14.0)</f>
        <v>14</v>
      </c>
      <c r="AX596" s="14">
        <f>IFERROR(__xludf.DUMMYFUNCTION("""COMPUTED_VALUE"""),1034000.0)</f>
        <v>1034000</v>
      </c>
      <c r="AY596" s="14">
        <f>IFERROR(__xludf.DUMMYFUNCTION("""COMPUTED_VALUE"""),0.2)</f>
        <v>0.2</v>
      </c>
      <c r="AZ596" s="14">
        <f>IFERROR(__xludf.DUMMYFUNCTION("""COMPUTED_VALUE"""),0.007)</f>
        <v>0.007</v>
      </c>
      <c r="BA596" s="14">
        <f t="shared" si="1"/>
        <v>14.207</v>
      </c>
    </row>
    <row r="597" ht="14.25" customHeight="1">
      <c r="A597" s="10" t="str">
        <f>IFERROR(__xludf.DUMMYFUNCTION("""COMPUTED_VALUE"""),"140222DU02")</f>
        <v>140222DU02</v>
      </c>
      <c r="B597" s="12" t="str">
        <f>IFERROR(__xludf.DUMMYFUNCTION("""COMPUTED_VALUE"""),"CRN-Entre Ríos")</f>
        <v>CRN-Entre Ríos</v>
      </c>
      <c r="C597" s="12"/>
      <c r="D597" s="12"/>
      <c r="E597" s="44">
        <f>IFERROR(__xludf.DUMMYFUNCTION("""COMPUTED_VALUE"""),44606.0)</f>
        <v>44606</v>
      </c>
      <c r="F597" s="12" t="str">
        <f>IFERROR(__xludf.DUMMYFUNCTION("""COMPUTED_VALUE"""),"TIPO I")</f>
        <v>TIPO I</v>
      </c>
      <c r="G597" s="12" t="str">
        <f>IFERROR(__xludf.DUMMYFUNCTION("""COMPUTED_VALUE"""),"Se presenta coloración, se percibe olor, se observa material flotante y residuos solidos en los extremos del canal ")</f>
        <v>Se presenta coloración, se percibe olor, se observa material flotante y residuos solidos en los extremos del canal </v>
      </c>
      <c r="H597" s="45">
        <f>IFERROR(__xludf.DUMMYFUNCTION("""COMPUTED_VALUE"""),0.4166666666678793)</f>
        <v>0.4166666667</v>
      </c>
      <c r="I597" s="45">
        <f>IFERROR(__xludf.DUMMYFUNCTION("""COMPUTED_VALUE"""),0.5)</f>
        <v>0.5</v>
      </c>
      <c r="J597" s="12">
        <f>IFERROR(__xludf.DUMMYFUNCTION("""COMPUTED_VALUE"""),8.04)</f>
        <v>8.04</v>
      </c>
      <c r="K597" s="12">
        <f>IFERROR(__xludf.DUMMYFUNCTION("""COMPUTED_VALUE"""),0.2)</f>
        <v>0.2</v>
      </c>
      <c r="L597" s="14">
        <f>IFERROR(__xludf.DUMMYFUNCTION("""COMPUTED_VALUE"""),296.471)</f>
        <v>296.471</v>
      </c>
      <c r="M597" s="14">
        <f>IFERROR(__xludf.DUMMYFUNCTION("""COMPUTED_VALUE"""),299.372)</f>
        <v>299.372</v>
      </c>
      <c r="N597" s="14">
        <f>IFERROR(__xludf.DUMMYFUNCTION("""COMPUTED_VALUE"""),305.776)</f>
        <v>305.776</v>
      </c>
      <c r="O597" s="14">
        <f>IFERROR(__xludf.DUMMYFUNCTION("""COMPUTED_VALUE"""),311.939)</f>
        <v>311.939</v>
      </c>
      <c r="P597" s="14">
        <f>IFERROR(__xludf.DUMMYFUNCTION("""COMPUTED_VALUE"""),307.547)</f>
        <v>307.547</v>
      </c>
      <c r="Q597" s="14">
        <f>IFERROR(__xludf.DUMMYFUNCTION("""COMPUTED_VALUE"""),304.221)</f>
        <v>304.221</v>
      </c>
      <c r="R597" s="48">
        <f>IFERROR(__xludf.DUMMYFUNCTION("""COMPUTED_VALUE"""),8.81)</f>
        <v>8.81</v>
      </c>
      <c r="S597" s="48">
        <f>IFERROR(__xludf.DUMMYFUNCTION("""COMPUTED_VALUE"""),7.41)</f>
        <v>7.41</v>
      </c>
      <c r="T597" s="48">
        <f>IFERROR(__xludf.DUMMYFUNCTION("""COMPUTED_VALUE"""),6.79)</f>
        <v>6.79</v>
      </c>
      <c r="U597" s="48">
        <f>IFERROR(__xludf.DUMMYFUNCTION("""COMPUTED_VALUE"""),6.4)</f>
        <v>6.4</v>
      </c>
      <c r="V597" s="48">
        <f>IFERROR(__xludf.DUMMYFUNCTION("""COMPUTED_VALUE"""),7.84)</f>
        <v>7.84</v>
      </c>
      <c r="W597" s="14">
        <f>IFERROR(__xludf.DUMMYFUNCTION("""COMPUTED_VALUE"""),7.45)</f>
        <v>7.45</v>
      </c>
      <c r="X597" s="14">
        <f>IFERROR(__xludf.DUMMYFUNCTION("""COMPUTED_VALUE"""),18.5)</f>
        <v>18.5</v>
      </c>
      <c r="Y597" s="14">
        <f>IFERROR(__xludf.DUMMYFUNCTION("""COMPUTED_VALUE"""),19.8)</f>
        <v>19.8</v>
      </c>
      <c r="Z597" s="14">
        <f>IFERROR(__xludf.DUMMYFUNCTION("""COMPUTED_VALUE"""),20.0)</f>
        <v>20</v>
      </c>
      <c r="AA597" s="14">
        <f>IFERROR(__xludf.DUMMYFUNCTION("""COMPUTED_VALUE"""),20.3)</f>
        <v>20.3</v>
      </c>
      <c r="AB597" s="14">
        <f>IFERROR(__xludf.DUMMYFUNCTION("""COMPUTED_VALUE"""),20.8)</f>
        <v>20.8</v>
      </c>
      <c r="AC597" s="14">
        <f>IFERROR(__xludf.DUMMYFUNCTION("""COMPUTED_VALUE"""),19.88)</f>
        <v>19.88</v>
      </c>
      <c r="AD597" s="48">
        <f>IFERROR(__xludf.DUMMYFUNCTION("""COMPUTED_VALUE"""),490.0)</f>
        <v>490</v>
      </c>
      <c r="AE597" s="48">
        <f>IFERROR(__xludf.DUMMYFUNCTION("""COMPUTED_VALUE"""),491.0)</f>
        <v>491</v>
      </c>
      <c r="AF597" s="48">
        <f>IFERROR(__xludf.DUMMYFUNCTION("""COMPUTED_VALUE"""),484.0)</f>
        <v>484</v>
      </c>
      <c r="AG597" s="48">
        <f>IFERROR(__xludf.DUMMYFUNCTION("""COMPUTED_VALUE"""),501.0)</f>
        <v>501</v>
      </c>
      <c r="AH597" s="48">
        <f>IFERROR(__xludf.DUMMYFUNCTION("""COMPUTED_VALUE"""),519.0)</f>
        <v>519</v>
      </c>
      <c r="AI597" s="14">
        <f>IFERROR(__xludf.DUMMYFUNCTION("""COMPUTED_VALUE"""),497.0)</f>
        <v>497</v>
      </c>
      <c r="AJ597" s="14">
        <f>IFERROR(__xludf.DUMMYFUNCTION("""COMPUTED_VALUE"""),1.39)</f>
        <v>1.39</v>
      </c>
      <c r="AK597" s="14">
        <f>IFERROR(__xludf.DUMMYFUNCTION("""COMPUTED_VALUE"""),1.42)</f>
        <v>1.42</v>
      </c>
      <c r="AL597" s="14">
        <f>IFERROR(__xludf.DUMMYFUNCTION("""COMPUTED_VALUE"""),1.62)</f>
        <v>1.62</v>
      </c>
      <c r="AM597" s="14">
        <f>IFERROR(__xludf.DUMMYFUNCTION("""COMPUTED_VALUE"""),1.97)</f>
        <v>1.97</v>
      </c>
      <c r="AN597" s="14">
        <f>IFERROR(__xludf.DUMMYFUNCTION("""COMPUTED_VALUE"""),1.57)</f>
        <v>1.57</v>
      </c>
      <c r="AO597" s="14">
        <f>IFERROR(__xludf.DUMMYFUNCTION("""COMPUTED_VALUE"""),1.5939999999999999)</f>
        <v>1.594</v>
      </c>
      <c r="AP597" s="14">
        <f>IFERROR(__xludf.DUMMYFUNCTION("""COMPUTED_VALUE"""),174.0)</f>
        <v>174</v>
      </c>
      <c r="AQ597" s="14">
        <f>IFERROR(__xludf.DUMMYFUNCTION("""COMPUTED_VALUE"""),279.0)</f>
        <v>279</v>
      </c>
      <c r="AR597" s="14">
        <f>IFERROR(__xludf.DUMMYFUNCTION("""COMPUTED_VALUE"""),173.0)</f>
        <v>173</v>
      </c>
      <c r="AS597" s="14">
        <f>IFERROR(__xludf.DUMMYFUNCTION("""COMPUTED_VALUE"""),29.0)</f>
        <v>29</v>
      </c>
      <c r="AT597" s="14">
        <f>IFERROR(__xludf.DUMMYFUNCTION("""COMPUTED_VALUE"""),2.69)</f>
        <v>2.69</v>
      </c>
      <c r="AU597" s="14">
        <f>IFERROR(__xludf.DUMMYFUNCTION("""COMPUTED_VALUE"""),9.34E7)</f>
        <v>93400000</v>
      </c>
      <c r="AV597" s="14">
        <f>IFERROR(__xludf.DUMMYFUNCTION("""COMPUTED_VALUE"""),3.04)</f>
        <v>3.04</v>
      </c>
      <c r="AW597" s="14">
        <f>IFERROR(__xludf.DUMMYFUNCTION("""COMPUTED_VALUE"""),33.9)</f>
        <v>33.9</v>
      </c>
      <c r="AX597" s="14">
        <f>IFERROR(__xludf.DUMMYFUNCTION("""COMPUTED_VALUE"""),984000.0)</f>
        <v>984000</v>
      </c>
      <c r="AY597" s="14">
        <f>IFERROR(__xludf.DUMMYFUNCTION("""COMPUTED_VALUE"""),0.9)</f>
        <v>0.9</v>
      </c>
      <c r="AZ597" s="14">
        <f>IFERROR(__xludf.DUMMYFUNCTION("""COMPUTED_VALUE"""),0.007)</f>
        <v>0.007</v>
      </c>
      <c r="BA597" s="14">
        <f t="shared" si="1"/>
        <v>34.807</v>
      </c>
    </row>
    <row r="598" ht="14.25" customHeight="1">
      <c r="A598" s="10" t="str">
        <f>IFERROR(__xludf.DUMMYFUNCTION("""COMPUTED_VALUE"""),"160222DU01")</f>
        <v>160222DU01</v>
      </c>
      <c r="B598" s="12" t="str">
        <f>IFERROR(__xludf.DUMMYFUNCTION("""COMPUTED_VALUE"""),"QLI-San Francisco")</f>
        <v>QLI-San Francisco</v>
      </c>
      <c r="C598" s="12"/>
      <c r="D598" s="12"/>
      <c r="E598" s="44">
        <f>IFERROR(__xludf.DUMMYFUNCTION("""COMPUTED_VALUE"""),44608.0)</f>
        <v>44608</v>
      </c>
      <c r="F598" s="12" t="str">
        <f>IFERROR(__xludf.DUMMYFUNCTION("""COMPUTED_VALUE"""),"TIPO I")</f>
        <v>TIPO I</v>
      </c>
      <c r="G598" s="12" t="str">
        <f>IFERROR(__xludf.DUMMYFUNCTION("""COMPUTED_VALUE"""),"Se evidencia color y se percibe olor. El lecho esta conformado por material rocoso y arenoso.")</f>
        <v>Se evidencia color y se percibe olor. El lecho esta conformado por material rocoso y arenoso.</v>
      </c>
      <c r="H598" s="45">
        <f>IFERROR(__xludf.DUMMYFUNCTION("""COMPUTED_VALUE"""),0.25)</f>
        <v>0.25</v>
      </c>
      <c r="I598" s="45">
        <f>IFERROR(__xludf.DUMMYFUNCTION("""COMPUTED_VALUE"""),0.3333333333321207)</f>
        <v>0.3333333333</v>
      </c>
      <c r="J598" s="12">
        <f>IFERROR(__xludf.DUMMYFUNCTION("""COMPUTED_VALUE"""),1.4)</f>
        <v>1.4</v>
      </c>
      <c r="K598" s="12">
        <f>IFERROR(__xludf.DUMMYFUNCTION("""COMPUTED_VALUE"""),0.15)</f>
        <v>0.15</v>
      </c>
      <c r="L598" s="14">
        <f>IFERROR(__xludf.DUMMYFUNCTION("""COMPUTED_VALUE"""),36.44)</f>
        <v>36.44</v>
      </c>
      <c r="M598" s="14">
        <f>IFERROR(__xludf.DUMMYFUNCTION("""COMPUTED_VALUE"""),36.772)</f>
        <v>36.772</v>
      </c>
      <c r="N598" s="14">
        <f>IFERROR(__xludf.DUMMYFUNCTION("""COMPUTED_VALUE"""),37.056)</f>
        <v>37.056</v>
      </c>
      <c r="O598" s="14">
        <f>IFERROR(__xludf.DUMMYFUNCTION("""COMPUTED_VALUE"""),37.778)</f>
        <v>37.778</v>
      </c>
      <c r="P598" s="14">
        <f>IFERROR(__xludf.DUMMYFUNCTION("""COMPUTED_VALUE"""),38.196)</f>
        <v>38.196</v>
      </c>
      <c r="Q598" s="14">
        <f>IFERROR(__xludf.DUMMYFUNCTION("""COMPUTED_VALUE"""),37.249)</f>
        <v>37.249</v>
      </c>
      <c r="R598" s="48">
        <f>IFERROR(__xludf.DUMMYFUNCTION("""COMPUTED_VALUE"""),6.5)</f>
        <v>6.5</v>
      </c>
      <c r="S598" s="48">
        <f>IFERROR(__xludf.DUMMYFUNCTION("""COMPUTED_VALUE"""),6.36)</f>
        <v>6.36</v>
      </c>
      <c r="T598" s="48">
        <f>IFERROR(__xludf.DUMMYFUNCTION("""COMPUTED_VALUE"""),6.57)</f>
        <v>6.57</v>
      </c>
      <c r="U598" s="48">
        <f>IFERROR(__xludf.DUMMYFUNCTION("""COMPUTED_VALUE"""),6.51)</f>
        <v>6.51</v>
      </c>
      <c r="V598" s="48">
        <f>IFERROR(__xludf.DUMMYFUNCTION("""COMPUTED_VALUE"""),6.56)</f>
        <v>6.56</v>
      </c>
      <c r="W598" s="14">
        <f>IFERROR(__xludf.DUMMYFUNCTION("""COMPUTED_VALUE"""),6.5)</f>
        <v>6.5</v>
      </c>
      <c r="X598" s="14">
        <f>IFERROR(__xludf.DUMMYFUNCTION("""COMPUTED_VALUE"""),12.6)</f>
        <v>12.6</v>
      </c>
      <c r="Y598" s="14">
        <f>IFERROR(__xludf.DUMMYFUNCTION("""COMPUTED_VALUE"""),11.5)</f>
        <v>11.5</v>
      </c>
      <c r="Z598" s="14">
        <f>IFERROR(__xludf.DUMMYFUNCTION("""COMPUTED_VALUE"""),12.1)</f>
        <v>12.1</v>
      </c>
      <c r="AA598" s="14">
        <f>IFERROR(__xludf.DUMMYFUNCTION("""COMPUTED_VALUE"""),12.1)</f>
        <v>12.1</v>
      </c>
      <c r="AB598" s="14">
        <f>IFERROR(__xludf.DUMMYFUNCTION("""COMPUTED_VALUE"""),12.2)</f>
        <v>12.2</v>
      </c>
      <c r="AC598" s="14">
        <f>IFERROR(__xludf.DUMMYFUNCTION("""COMPUTED_VALUE"""),12.1)</f>
        <v>12.1</v>
      </c>
      <c r="AD598" s="48">
        <f>IFERROR(__xludf.DUMMYFUNCTION("""COMPUTED_VALUE"""),275.0)</f>
        <v>275</v>
      </c>
      <c r="AE598" s="48">
        <f>IFERROR(__xludf.DUMMYFUNCTION("""COMPUTED_VALUE"""),367.0)</f>
        <v>367</v>
      </c>
      <c r="AF598" s="48">
        <f>IFERROR(__xludf.DUMMYFUNCTION("""COMPUTED_VALUE"""),416.0)</f>
        <v>416</v>
      </c>
      <c r="AG598" s="48">
        <f>IFERROR(__xludf.DUMMYFUNCTION("""COMPUTED_VALUE"""),465.0)</f>
        <v>465</v>
      </c>
      <c r="AH598" s="48">
        <f>IFERROR(__xludf.DUMMYFUNCTION("""COMPUTED_VALUE"""),492.0)</f>
        <v>492</v>
      </c>
      <c r="AI598" s="14">
        <f>IFERROR(__xludf.DUMMYFUNCTION("""COMPUTED_VALUE"""),403.0)</f>
        <v>403</v>
      </c>
      <c r="AJ598" s="14">
        <f>IFERROR(__xludf.DUMMYFUNCTION("""COMPUTED_VALUE"""),4.36)</f>
        <v>4.36</v>
      </c>
      <c r="AK598" s="14">
        <f>IFERROR(__xludf.DUMMYFUNCTION("""COMPUTED_VALUE"""),4.05)</f>
        <v>4.05</v>
      </c>
      <c r="AL598" s="14">
        <f>IFERROR(__xludf.DUMMYFUNCTION("""COMPUTED_VALUE"""),4.78)</f>
        <v>4.78</v>
      </c>
      <c r="AM598" s="14">
        <f>IFERROR(__xludf.DUMMYFUNCTION("""COMPUTED_VALUE"""),4.11)</f>
        <v>4.11</v>
      </c>
      <c r="AN598" s="14">
        <f>IFERROR(__xludf.DUMMYFUNCTION("""COMPUTED_VALUE"""),4.48)</f>
        <v>4.48</v>
      </c>
      <c r="AO598" s="14">
        <f>IFERROR(__xludf.DUMMYFUNCTION("""COMPUTED_VALUE"""),4.356)</f>
        <v>4.356</v>
      </c>
      <c r="AP598" s="14">
        <f>IFERROR(__xludf.DUMMYFUNCTION("""COMPUTED_VALUE"""),33.0)</f>
        <v>33</v>
      </c>
      <c r="AQ598" s="14">
        <f>IFERROR(__xludf.DUMMYFUNCTION("""COMPUTED_VALUE"""),65.0)</f>
        <v>65</v>
      </c>
      <c r="AR598" s="14">
        <f>IFERROR(__xludf.DUMMYFUNCTION("""COMPUTED_VALUE"""),36.0)</f>
        <v>36</v>
      </c>
      <c r="AS598" s="14">
        <f>IFERROR(__xludf.DUMMYFUNCTION("""COMPUTED_VALUE"""),7.0)</f>
        <v>7</v>
      </c>
      <c r="AT598" s="14">
        <f>IFERROR(__xludf.DUMMYFUNCTION("""COMPUTED_VALUE"""),0.07)</f>
        <v>0.07</v>
      </c>
      <c r="AU598" s="14">
        <f>IFERROR(__xludf.DUMMYFUNCTION("""COMPUTED_VALUE"""),1.372E7)</f>
        <v>13720000</v>
      </c>
      <c r="AV598" s="14">
        <f>IFERROR(__xludf.DUMMYFUNCTION("""COMPUTED_VALUE"""),2.68)</f>
        <v>2.68</v>
      </c>
      <c r="AW598" s="14">
        <f>IFERROR(__xludf.DUMMYFUNCTION("""COMPUTED_VALUE"""),15.1)</f>
        <v>15.1</v>
      </c>
      <c r="AX598" s="14">
        <f>IFERROR(__xludf.DUMMYFUNCTION("""COMPUTED_VALUE"""),1043000.0)</f>
        <v>1043000</v>
      </c>
      <c r="AY598" s="14">
        <f>IFERROR(__xludf.DUMMYFUNCTION("""COMPUTED_VALUE"""),1.1)</f>
        <v>1.1</v>
      </c>
      <c r="AZ598" s="14">
        <f>IFERROR(__xludf.DUMMYFUNCTION("""COMPUTED_VALUE"""),0.326)</f>
        <v>0.326</v>
      </c>
      <c r="BA598" s="14">
        <f t="shared" si="1"/>
        <v>16.526</v>
      </c>
    </row>
    <row r="599" ht="14.25" customHeight="1">
      <c r="A599" s="10" t="str">
        <f>IFERROR(__xludf.DUMMYFUNCTION("""COMPUTED_VALUE"""),"160222MI02")</f>
        <v>160222MI02</v>
      </c>
      <c r="B599" s="12" t="str">
        <f>IFERROR(__xludf.DUMMYFUNCTION("""COMPUTED_VALUE"""),"QLI-El Satélite")</f>
        <v>QLI-El Satélite</v>
      </c>
      <c r="C599" s="12"/>
      <c r="D599" s="12"/>
      <c r="E599" s="44">
        <f>IFERROR(__xludf.DUMMYFUNCTION("""COMPUTED_VALUE"""),44608.0)</f>
        <v>44608</v>
      </c>
      <c r="F599" s="12" t="str">
        <f>IFERROR(__xludf.DUMMYFUNCTION("""COMPUTED_VALUE"""),"TIPO I")</f>
        <v>TIPO I</v>
      </c>
      <c r="G599" s="12" t="str">
        <f>IFERROR(__xludf.DUMMYFUNCTION("""COMPUTED_VALUE"""),"Se evidencia color y se percibe olor. El lecho está conformado por material rocoso y arenoso.")</f>
        <v>Se evidencia color y se percibe olor. El lecho está conformado por material rocoso y arenoso.</v>
      </c>
      <c r="H599" s="45">
        <f>IFERROR(__xludf.DUMMYFUNCTION("""COMPUTED_VALUE"""),0.4166666666678793)</f>
        <v>0.4166666667</v>
      </c>
      <c r="I599" s="45">
        <f>IFERROR(__xludf.DUMMYFUNCTION("""COMPUTED_VALUE"""),0.5)</f>
        <v>0.5</v>
      </c>
      <c r="J599" s="12">
        <f>IFERROR(__xludf.DUMMYFUNCTION("""COMPUTED_VALUE"""),2.2)</f>
        <v>2.2</v>
      </c>
      <c r="K599" s="12">
        <f>IFERROR(__xludf.DUMMYFUNCTION("""COMPUTED_VALUE"""),0.15)</f>
        <v>0.15</v>
      </c>
      <c r="L599" s="14">
        <f>IFERROR(__xludf.DUMMYFUNCTION("""COMPUTED_VALUE"""),75.358)</f>
        <v>75.358</v>
      </c>
      <c r="M599" s="14">
        <f>IFERROR(__xludf.DUMMYFUNCTION("""COMPUTED_VALUE"""),78.075)</f>
        <v>78.075</v>
      </c>
      <c r="N599" s="14">
        <f>IFERROR(__xludf.DUMMYFUNCTION("""COMPUTED_VALUE"""),79.24)</f>
        <v>79.24</v>
      </c>
      <c r="O599" s="14">
        <f>IFERROR(__xludf.DUMMYFUNCTION("""COMPUTED_VALUE"""),79.927)</f>
        <v>79.927</v>
      </c>
      <c r="P599" s="14">
        <f>IFERROR(__xludf.DUMMYFUNCTION("""COMPUTED_VALUE"""),80.151)</f>
        <v>80.151</v>
      </c>
      <c r="Q599" s="14">
        <f>IFERROR(__xludf.DUMMYFUNCTION("""COMPUTED_VALUE"""),78.55)</f>
        <v>78.55</v>
      </c>
      <c r="R599" s="48">
        <f>IFERROR(__xludf.DUMMYFUNCTION("""COMPUTED_VALUE"""),6.63)</f>
        <v>6.63</v>
      </c>
      <c r="S599" s="48">
        <f>IFERROR(__xludf.DUMMYFUNCTION("""COMPUTED_VALUE"""),6.77)</f>
        <v>6.77</v>
      </c>
      <c r="T599" s="48">
        <f>IFERROR(__xludf.DUMMYFUNCTION("""COMPUTED_VALUE"""),6.59)</f>
        <v>6.59</v>
      </c>
      <c r="U599" s="48">
        <f>IFERROR(__xludf.DUMMYFUNCTION("""COMPUTED_VALUE"""),6.89)</f>
        <v>6.89</v>
      </c>
      <c r="V599" s="48">
        <f>IFERROR(__xludf.DUMMYFUNCTION("""COMPUTED_VALUE"""),6.79)</f>
        <v>6.79</v>
      </c>
      <c r="W599" s="14">
        <f>IFERROR(__xludf.DUMMYFUNCTION("""COMPUTED_VALUE"""),6.734)</f>
        <v>6.734</v>
      </c>
      <c r="X599" s="14">
        <f>IFERROR(__xludf.DUMMYFUNCTION("""COMPUTED_VALUE"""),15.3)</f>
        <v>15.3</v>
      </c>
      <c r="Y599" s="14">
        <f>IFERROR(__xludf.DUMMYFUNCTION("""COMPUTED_VALUE"""),16.2)</f>
        <v>16.2</v>
      </c>
      <c r="Z599" s="14">
        <f>IFERROR(__xludf.DUMMYFUNCTION("""COMPUTED_VALUE"""),19.9)</f>
        <v>19.9</v>
      </c>
      <c r="AA599" s="14">
        <f>IFERROR(__xludf.DUMMYFUNCTION("""COMPUTED_VALUE"""),18.9)</f>
        <v>18.9</v>
      </c>
      <c r="AB599" s="14">
        <f>IFERROR(__xludf.DUMMYFUNCTION("""COMPUTED_VALUE"""),20.5)</f>
        <v>20.5</v>
      </c>
      <c r="AC599" s="14">
        <f>IFERROR(__xludf.DUMMYFUNCTION("""COMPUTED_VALUE"""),18.16)</f>
        <v>18.16</v>
      </c>
      <c r="AD599" s="48">
        <f>IFERROR(__xludf.DUMMYFUNCTION("""COMPUTED_VALUE"""),691.0)</f>
        <v>691</v>
      </c>
      <c r="AE599" s="48">
        <f>IFERROR(__xludf.DUMMYFUNCTION("""COMPUTED_VALUE"""),724.0)</f>
        <v>724</v>
      </c>
      <c r="AF599" s="48">
        <f>IFERROR(__xludf.DUMMYFUNCTION("""COMPUTED_VALUE"""),665.0)</f>
        <v>665</v>
      </c>
      <c r="AG599" s="48">
        <f>IFERROR(__xludf.DUMMYFUNCTION("""COMPUTED_VALUE"""),688.0)</f>
        <v>688</v>
      </c>
      <c r="AH599" s="48">
        <f>IFERROR(__xludf.DUMMYFUNCTION("""COMPUTED_VALUE"""),643.0)</f>
        <v>643</v>
      </c>
      <c r="AI599" s="14">
        <f>IFERROR(__xludf.DUMMYFUNCTION("""COMPUTED_VALUE"""),682.2)</f>
        <v>682.2</v>
      </c>
      <c r="AJ599" s="14">
        <f>IFERROR(__xludf.DUMMYFUNCTION("""COMPUTED_VALUE"""),3.99)</f>
        <v>3.99</v>
      </c>
      <c r="AK599" s="14">
        <f>IFERROR(__xludf.DUMMYFUNCTION("""COMPUTED_VALUE"""),3.95)</f>
        <v>3.95</v>
      </c>
      <c r="AL599" s="14">
        <f>IFERROR(__xludf.DUMMYFUNCTION("""COMPUTED_VALUE"""),4.05)</f>
        <v>4.05</v>
      </c>
      <c r="AM599" s="14">
        <f>IFERROR(__xludf.DUMMYFUNCTION("""COMPUTED_VALUE"""),3.7)</f>
        <v>3.7</v>
      </c>
      <c r="AN599" s="14">
        <f>IFERROR(__xludf.DUMMYFUNCTION("""COMPUTED_VALUE"""),3.71)</f>
        <v>3.71</v>
      </c>
      <c r="AO599" s="14">
        <f>IFERROR(__xludf.DUMMYFUNCTION("""COMPUTED_VALUE"""),3.8800000000000003)</f>
        <v>3.88</v>
      </c>
      <c r="AP599" s="14">
        <f>IFERROR(__xludf.DUMMYFUNCTION("""COMPUTED_VALUE"""),117.0)</f>
        <v>117</v>
      </c>
      <c r="AQ599" s="14">
        <f>IFERROR(__xludf.DUMMYFUNCTION("""COMPUTED_VALUE"""),186.0)</f>
        <v>186</v>
      </c>
      <c r="AR599" s="14">
        <f>IFERROR(__xludf.DUMMYFUNCTION("""COMPUTED_VALUE"""),447.0)</f>
        <v>447</v>
      </c>
      <c r="AS599" s="14">
        <f>IFERROR(__xludf.DUMMYFUNCTION("""COMPUTED_VALUE"""),6.1)</f>
        <v>6.1</v>
      </c>
      <c r="AT599" s="14">
        <f>IFERROR(__xludf.DUMMYFUNCTION("""COMPUTED_VALUE"""),2.08)</f>
        <v>2.08</v>
      </c>
      <c r="AU599" s="14">
        <f>IFERROR(__xludf.DUMMYFUNCTION("""COMPUTED_VALUE"""),1.616E7)</f>
        <v>16160000</v>
      </c>
      <c r="AV599" s="14">
        <f>IFERROR(__xludf.DUMMYFUNCTION("""COMPUTED_VALUE"""),4.07)</f>
        <v>4.07</v>
      </c>
      <c r="AW599" s="14">
        <f>IFERROR(__xludf.DUMMYFUNCTION("""COMPUTED_VALUE"""),45.4)</f>
        <v>45.4</v>
      </c>
      <c r="AX599" s="14">
        <f>IFERROR(__xludf.DUMMYFUNCTION("""COMPUTED_VALUE"""),1025000.0)</f>
        <v>1025000</v>
      </c>
      <c r="AY599" s="14">
        <f>IFERROR(__xludf.DUMMYFUNCTION("""COMPUTED_VALUE"""),1.0)</f>
        <v>1</v>
      </c>
      <c r="AZ599" s="14">
        <f>IFERROR(__xludf.DUMMYFUNCTION("""COMPUTED_VALUE"""),0.007)</f>
        <v>0.007</v>
      </c>
      <c r="BA599" s="14">
        <f t="shared" si="1"/>
        <v>46.407</v>
      </c>
    </row>
    <row r="600" ht="14.25" customHeight="1">
      <c r="A600" s="10" t="str">
        <f>IFERROR(__xludf.DUMMYFUNCTION("""COMPUTED_VALUE"""),"160222WI01")</f>
        <v>160222WI01</v>
      </c>
      <c r="B600" s="12" t="str">
        <f>IFERROR(__xludf.DUMMYFUNCTION("""COMPUTED_VALUE"""),"CON-Bella Suiza")</f>
        <v>CON-Bella Suiza</v>
      </c>
      <c r="C600" s="12"/>
      <c r="D600" s="12"/>
      <c r="E600" s="44">
        <f>IFERROR(__xludf.DUMMYFUNCTION("""COMPUTED_VALUE"""),44608.0)</f>
        <v>44608</v>
      </c>
      <c r="F600" s="12" t="str">
        <f>IFERROR(__xludf.DUMMYFUNCTION("""COMPUTED_VALUE"""),"TIPO I")</f>
        <v>TIPO I</v>
      </c>
      <c r="G600" s="12" t="str">
        <f>IFERROR(__xludf.DUMMYFUNCTION("""COMPUTED_VALUE"""),"El punto de muestreo se encuentra a una altura de 2583 m.n.s.m.")</f>
        <v>El punto de muestreo se encuentra a una altura de 2583 m.n.s.m.</v>
      </c>
      <c r="H600" s="45">
        <f>IFERROR(__xludf.DUMMYFUNCTION("""COMPUTED_VALUE"""),0.25)</f>
        <v>0.25</v>
      </c>
      <c r="I600" s="45">
        <f>IFERROR(__xludf.DUMMYFUNCTION("""COMPUTED_VALUE"""),0.3333333333321207)</f>
        <v>0.3333333333</v>
      </c>
      <c r="J600" s="12">
        <f>IFERROR(__xludf.DUMMYFUNCTION("""COMPUTED_VALUE"""),1.1)</f>
        <v>1.1</v>
      </c>
      <c r="K600" s="12">
        <f>IFERROR(__xludf.DUMMYFUNCTION("""COMPUTED_VALUE"""),0.12)</f>
        <v>0.12</v>
      </c>
      <c r="L600" s="14">
        <f>IFERROR(__xludf.DUMMYFUNCTION("""COMPUTED_VALUE"""),11.364)</f>
        <v>11.364</v>
      </c>
      <c r="M600" s="14">
        <f>IFERROR(__xludf.DUMMYFUNCTION("""COMPUTED_VALUE"""),13.26)</f>
        <v>13.26</v>
      </c>
      <c r="N600" s="14">
        <f>IFERROR(__xludf.DUMMYFUNCTION("""COMPUTED_VALUE"""),14.797)</f>
        <v>14.797</v>
      </c>
      <c r="O600" s="14">
        <f>IFERROR(__xludf.DUMMYFUNCTION("""COMPUTED_VALUE"""),15.047)</f>
        <v>15.047</v>
      </c>
      <c r="P600" s="14">
        <f>IFERROR(__xludf.DUMMYFUNCTION("""COMPUTED_VALUE"""),15.018)</f>
        <v>15.018</v>
      </c>
      <c r="Q600" s="14">
        <f>IFERROR(__xludf.DUMMYFUNCTION("""COMPUTED_VALUE"""),13.897)</f>
        <v>13.897</v>
      </c>
      <c r="R600" s="48">
        <f>IFERROR(__xludf.DUMMYFUNCTION("""COMPUTED_VALUE"""),6.28)</f>
        <v>6.28</v>
      </c>
      <c r="S600" s="48">
        <f>IFERROR(__xludf.DUMMYFUNCTION("""COMPUTED_VALUE"""),6.98)</f>
        <v>6.98</v>
      </c>
      <c r="T600" s="48">
        <f>IFERROR(__xludf.DUMMYFUNCTION("""COMPUTED_VALUE"""),7.04)</f>
        <v>7.04</v>
      </c>
      <c r="U600" s="48">
        <f>IFERROR(__xludf.DUMMYFUNCTION("""COMPUTED_VALUE"""),7.08)</f>
        <v>7.08</v>
      </c>
      <c r="V600" s="48">
        <f>IFERROR(__xludf.DUMMYFUNCTION("""COMPUTED_VALUE"""),7.2)</f>
        <v>7.2</v>
      </c>
      <c r="W600" s="14">
        <f>IFERROR(__xludf.DUMMYFUNCTION("""COMPUTED_VALUE"""),6.916000000000001)</f>
        <v>6.916</v>
      </c>
      <c r="X600" s="14">
        <f>IFERROR(__xludf.DUMMYFUNCTION("""COMPUTED_VALUE"""),14.1)</f>
        <v>14.1</v>
      </c>
      <c r="Y600" s="14">
        <f>IFERROR(__xludf.DUMMYFUNCTION("""COMPUTED_VALUE"""),12.7)</f>
        <v>12.7</v>
      </c>
      <c r="Z600" s="14">
        <f>IFERROR(__xludf.DUMMYFUNCTION("""COMPUTED_VALUE"""),12.1)</f>
        <v>12.1</v>
      </c>
      <c r="AA600" s="14">
        <f>IFERROR(__xludf.DUMMYFUNCTION("""COMPUTED_VALUE"""),13.1)</f>
        <v>13.1</v>
      </c>
      <c r="AB600" s="14">
        <f>IFERROR(__xludf.DUMMYFUNCTION("""COMPUTED_VALUE"""),13.2)</f>
        <v>13.2</v>
      </c>
      <c r="AC600" s="14">
        <f>IFERROR(__xludf.DUMMYFUNCTION("""COMPUTED_VALUE"""),13.040000000000001)</f>
        <v>13.04</v>
      </c>
      <c r="AD600" s="48">
        <f>IFERROR(__xludf.DUMMYFUNCTION("""COMPUTED_VALUE"""),100.9)</f>
        <v>100.9</v>
      </c>
      <c r="AE600" s="48">
        <f>IFERROR(__xludf.DUMMYFUNCTION("""COMPUTED_VALUE"""),118.8)</f>
        <v>118.8</v>
      </c>
      <c r="AF600" s="48">
        <f>IFERROR(__xludf.DUMMYFUNCTION("""COMPUTED_VALUE"""),119.3)</f>
        <v>119.3</v>
      </c>
      <c r="AG600" s="48">
        <f>IFERROR(__xludf.DUMMYFUNCTION("""COMPUTED_VALUE"""),104.4)</f>
        <v>104.4</v>
      </c>
      <c r="AH600" s="48">
        <f>IFERROR(__xludf.DUMMYFUNCTION("""COMPUTED_VALUE"""),128.5)</f>
        <v>128.5</v>
      </c>
      <c r="AI600" s="14">
        <f>IFERROR(__xludf.DUMMYFUNCTION("""COMPUTED_VALUE"""),114.38)</f>
        <v>114.38</v>
      </c>
      <c r="AJ600" s="14">
        <f>IFERROR(__xludf.DUMMYFUNCTION("""COMPUTED_VALUE"""),5.97)</f>
        <v>5.97</v>
      </c>
      <c r="AK600" s="14">
        <f>IFERROR(__xludf.DUMMYFUNCTION("""COMPUTED_VALUE"""),5.34)</f>
        <v>5.34</v>
      </c>
      <c r="AL600" s="14">
        <f>IFERROR(__xludf.DUMMYFUNCTION("""COMPUTED_VALUE"""),5.26)</f>
        <v>5.26</v>
      </c>
      <c r="AM600" s="14">
        <f>IFERROR(__xludf.DUMMYFUNCTION("""COMPUTED_VALUE"""),5.16)</f>
        <v>5.16</v>
      </c>
      <c r="AN600" s="14">
        <f>IFERROR(__xludf.DUMMYFUNCTION("""COMPUTED_VALUE"""),5.38)</f>
        <v>5.38</v>
      </c>
      <c r="AO600" s="14">
        <f>IFERROR(__xludf.DUMMYFUNCTION("""COMPUTED_VALUE"""),5.422)</f>
        <v>5.422</v>
      </c>
      <c r="AP600" s="14">
        <f>IFERROR(__xludf.DUMMYFUNCTION("""COMPUTED_VALUE"""),8.0)</f>
        <v>8</v>
      </c>
      <c r="AQ600" s="14">
        <f>IFERROR(__xludf.DUMMYFUNCTION("""COMPUTED_VALUE"""),24.0)</f>
        <v>24</v>
      </c>
      <c r="AR600" s="14">
        <f>IFERROR(__xludf.DUMMYFUNCTION("""COMPUTED_VALUE"""),14.0)</f>
        <v>14</v>
      </c>
      <c r="AS600" s="14">
        <f>IFERROR(__xludf.DUMMYFUNCTION("""COMPUTED_VALUE"""),1.2)</f>
        <v>1.2</v>
      </c>
      <c r="AT600" s="14">
        <f>IFERROR(__xludf.DUMMYFUNCTION("""COMPUTED_VALUE"""),0.07)</f>
        <v>0.07</v>
      </c>
      <c r="AU600" s="14">
        <f>IFERROR(__xludf.DUMMYFUNCTION("""COMPUTED_VALUE"""),1.211E7)</f>
        <v>12110000</v>
      </c>
      <c r="AV600" s="14">
        <f>IFERROR(__xludf.DUMMYFUNCTION("""COMPUTED_VALUE"""),0.47)</f>
        <v>0.47</v>
      </c>
      <c r="AW600" s="14">
        <f>IFERROR(__xludf.DUMMYFUNCTION("""COMPUTED_VALUE"""),5.3)</f>
        <v>5.3</v>
      </c>
      <c r="AX600" s="14">
        <f>IFERROR(__xludf.DUMMYFUNCTION("""COMPUTED_VALUE"""),1.106E7)</f>
        <v>11060000</v>
      </c>
      <c r="AY600" s="14">
        <f>IFERROR(__xludf.DUMMYFUNCTION("""COMPUTED_VALUE"""),0.9)</f>
        <v>0.9</v>
      </c>
      <c r="AZ600" s="14">
        <f>IFERROR(__xludf.DUMMYFUNCTION("""COMPUTED_VALUE"""),0.074)</f>
        <v>0.074</v>
      </c>
      <c r="BA600" s="14">
        <f t="shared" si="1"/>
        <v>6.274</v>
      </c>
    </row>
    <row r="601" ht="14.25" customHeight="1">
      <c r="A601" s="10" t="str">
        <f>IFERROR(__xludf.DUMMYFUNCTION("""COMPUTED_VALUE"""),"150222MO01")</f>
        <v>150222MO01</v>
      </c>
      <c r="B601" s="12" t="str">
        <f>IFERROR(__xludf.DUMMYFUNCTION("""COMPUTED_VALUE"""),"QZA-Quindío")</f>
        <v>QZA-Quindío</v>
      </c>
      <c r="C601" s="12"/>
      <c r="D601" s="12"/>
      <c r="E601" s="44">
        <f>IFERROR(__xludf.DUMMYFUNCTION("""COMPUTED_VALUE"""),44607.0)</f>
        <v>44607</v>
      </c>
      <c r="F601" s="12" t="str">
        <f>IFERROR(__xludf.DUMMYFUNCTION("""COMPUTED_VALUE"""),"TIPO I")</f>
        <v>TIPO I</v>
      </c>
      <c r="G601" s="12" t="str">
        <f>IFERROR(__xludf.DUMMYFUNCTION("""COMPUTED_VALUE"""),"En el punto de muestreo no se observa coloración y no se percibe olor. 
Altura 2932 msnm")</f>
        <v>En el punto de muestreo no se observa coloración y no se percibe olor. 
Altura 2932 msnm</v>
      </c>
      <c r="H601" s="45">
        <f>IFERROR(__xludf.DUMMYFUNCTION("""COMPUTED_VALUE"""),0.25)</f>
        <v>0.25</v>
      </c>
      <c r="I601" s="45">
        <f>IFERROR(__xludf.DUMMYFUNCTION("""COMPUTED_VALUE"""),0.3333333333321207)</f>
        <v>0.3333333333</v>
      </c>
      <c r="J601" s="12">
        <f>IFERROR(__xludf.DUMMYFUNCTION("""COMPUTED_VALUE"""),0.9)</f>
        <v>0.9</v>
      </c>
      <c r="K601" s="12">
        <f>IFERROR(__xludf.DUMMYFUNCTION("""COMPUTED_VALUE"""),0.2)</f>
        <v>0.2</v>
      </c>
      <c r="L601" s="14">
        <f>IFERROR(__xludf.DUMMYFUNCTION("""COMPUTED_VALUE"""),16.043)</f>
        <v>16.043</v>
      </c>
      <c r="M601" s="14">
        <f>IFERROR(__xludf.DUMMYFUNCTION("""COMPUTED_VALUE"""),17.354)</f>
        <v>17.354</v>
      </c>
      <c r="N601" s="14">
        <f>IFERROR(__xludf.DUMMYFUNCTION("""COMPUTED_VALUE"""),16.612)</f>
        <v>16.612</v>
      </c>
      <c r="O601" s="14">
        <f>IFERROR(__xludf.DUMMYFUNCTION("""COMPUTED_VALUE"""),16.575)</f>
        <v>16.575</v>
      </c>
      <c r="P601" s="14">
        <f>IFERROR(__xludf.DUMMYFUNCTION("""COMPUTED_VALUE"""),15.6)</f>
        <v>15.6</v>
      </c>
      <c r="Q601" s="14">
        <f>IFERROR(__xludf.DUMMYFUNCTION("""COMPUTED_VALUE"""),16.437)</f>
        <v>16.437</v>
      </c>
      <c r="R601" s="48">
        <f>IFERROR(__xludf.DUMMYFUNCTION("""COMPUTED_VALUE"""),7.49)</f>
        <v>7.49</v>
      </c>
      <c r="S601" s="48">
        <f>IFERROR(__xludf.DUMMYFUNCTION("""COMPUTED_VALUE"""),6.97)</f>
        <v>6.97</v>
      </c>
      <c r="T601" s="48">
        <f>IFERROR(__xludf.DUMMYFUNCTION("""COMPUTED_VALUE"""),7.11)</f>
        <v>7.11</v>
      </c>
      <c r="U601" s="48">
        <f>IFERROR(__xludf.DUMMYFUNCTION("""COMPUTED_VALUE"""),7.16)</f>
        <v>7.16</v>
      </c>
      <c r="V601" s="48">
        <f>IFERROR(__xludf.DUMMYFUNCTION("""COMPUTED_VALUE"""),6.98)</f>
        <v>6.98</v>
      </c>
      <c r="W601" s="14">
        <f>IFERROR(__xludf.DUMMYFUNCTION("""COMPUTED_VALUE"""),7.142)</f>
        <v>7.142</v>
      </c>
      <c r="X601" s="14">
        <f>IFERROR(__xludf.DUMMYFUNCTION("""COMPUTED_VALUE"""),11.5)</f>
        <v>11.5</v>
      </c>
      <c r="Y601" s="14">
        <f>IFERROR(__xludf.DUMMYFUNCTION("""COMPUTED_VALUE"""),10.4)</f>
        <v>10.4</v>
      </c>
      <c r="Z601" s="14">
        <f>IFERROR(__xludf.DUMMYFUNCTION("""COMPUTED_VALUE"""),9.5)</f>
        <v>9.5</v>
      </c>
      <c r="AA601" s="14">
        <f>IFERROR(__xludf.DUMMYFUNCTION("""COMPUTED_VALUE"""),10.0)</f>
        <v>10</v>
      </c>
      <c r="AB601" s="14">
        <f>IFERROR(__xludf.DUMMYFUNCTION("""COMPUTED_VALUE"""),10.9)</f>
        <v>10.9</v>
      </c>
      <c r="AC601" s="14">
        <f>IFERROR(__xludf.DUMMYFUNCTION("""COMPUTED_VALUE"""),10.459999999999999)</f>
        <v>10.46</v>
      </c>
      <c r="AD601" s="48">
        <f>IFERROR(__xludf.DUMMYFUNCTION("""COMPUTED_VALUE"""),80.4)</f>
        <v>80.4</v>
      </c>
      <c r="AE601" s="48">
        <f>IFERROR(__xludf.DUMMYFUNCTION("""COMPUTED_VALUE"""),67.7)</f>
        <v>67.7</v>
      </c>
      <c r="AF601" s="48">
        <f>IFERROR(__xludf.DUMMYFUNCTION("""COMPUTED_VALUE"""),55.4)</f>
        <v>55.4</v>
      </c>
      <c r="AG601" s="48">
        <f>IFERROR(__xludf.DUMMYFUNCTION("""COMPUTED_VALUE"""),49.2)</f>
        <v>49.2</v>
      </c>
      <c r="AH601" s="48">
        <f>IFERROR(__xludf.DUMMYFUNCTION("""COMPUTED_VALUE"""),45.7)</f>
        <v>45.7</v>
      </c>
      <c r="AI601" s="14">
        <f>IFERROR(__xludf.DUMMYFUNCTION("""COMPUTED_VALUE"""),59.68000000000001)</f>
        <v>59.68</v>
      </c>
      <c r="AJ601" s="14">
        <f>IFERROR(__xludf.DUMMYFUNCTION("""COMPUTED_VALUE"""),5.53)</f>
        <v>5.53</v>
      </c>
      <c r="AK601" s="14">
        <f>IFERROR(__xludf.DUMMYFUNCTION("""COMPUTED_VALUE"""),5.26)</f>
        <v>5.26</v>
      </c>
      <c r="AL601" s="14">
        <f>IFERROR(__xludf.DUMMYFUNCTION("""COMPUTED_VALUE"""),5.03)</f>
        <v>5.03</v>
      </c>
      <c r="AM601" s="14">
        <f>IFERROR(__xludf.DUMMYFUNCTION("""COMPUTED_VALUE"""),5.88)</f>
        <v>5.88</v>
      </c>
      <c r="AN601" s="14">
        <f>IFERROR(__xludf.DUMMYFUNCTION("""COMPUTED_VALUE"""),5.43)</f>
        <v>5.43</v>
      </c>
      <c r="AO601" s="14">
        <f>IFERROR(__xludf.DUMMYFUNCTION("""COMPUTED_VALUE"""),5.426)</f>
        <v>5.426</v>
      </c>
      <c r="AP601" s="14">
        <f>IFERROR(__xludf.DUMMYFUNCTION("""COMPUTED_VALUE"""),3.0)</f>
        <v>3</v>
      </c>
      <c r="AQ601" s="14">
        <f>IFERROR(__xludf.DUMMYFUNCTION("""COMPUTED_VALUE"""),20.0)</f>
        <v>20</v>
      </c>
      <c r="AR601" s="14">
        <f>IFERROR(__xludf.DUMMYFUNCTION("""COMPUTED_VALUE"""),10.0)</f>
        <v>10</v>
      </c>
      <c r="AS601" s="14">
        <f>IFERROR(__xludf.DUMMYFUNCTION("""COMPUTED_VALUE"""),1.2)</f>
        <v>1.2</v>
      </c>
      <c r="AT601" s="14">
        <f>IFERROR(__xludf.DUMMYFUNCTION("""COMPUTED_VALUE"""),0.07)</f>
        <v>0.07</v>
      </c>
      <c r="AU601" s="14">
        <f>IFERROR(__xludf.DUMMYFUNCTION("""COMPUTED_VALUE"""),9830000.0)</f>
        <v>9830000</v>
      </c>
      <c r="AV601" s="14">
        <f>IFERROR(__xludf.DUMMYFUNCTION("""COMPUTED_VALUE"""),0.1)</f>
        <v>0.1</v>
      </c>
      <c r="AW601" s="14">
        <f>IFERROR(__xludf.DUMMYFUNCTION("""COMPUTED_VALUE"""),1.0)</f>
        <v>1</v>
      </c>
      <c r="AX601" s="14">
        <f>IFERROR(__xludf.DUMMYFUNCTION("""COMPUTED_VALUE"""),867000.0)</f>
        <v>867000</v>
      </c>
      <c r="AY601" s="14">
        <f>IFERROR(__xludf.DUMMYFUNCTION("""COMPUTED_VALUE"""),0.8)</f>
        <v>0.8</v>
      </c>
      <c r="AZ601" s="14">
        <f>IFERROR(__xludf.DUMMYFUNCTION("""COMPUTED_VALUE"""),0.007)</f>
        <v>0.007</v>
      </c>
      <c r="BA601" s="14">
        <f t="shared" si="1"/>
        <v>1.807</v>
      </c>
    </row>
    <row r="602" ht="14.25" customHeight="1">
      <c r="A602" s="10" t="str">
        <f>IFERROR(__xludf.DUMMYFUNCTION("""COMPUTED_VALUE"""),"150222MO02")</f>
        <v>150222MO02</v>
      </c>
      <c r="B602" s="12" t="str">
        <f>IFERROR(__xludf.DUMMYFUNCTION("""COMPUTED_VALUE"""),"QZA-Entre Nubes")</f>
        <v>QZA-Entre Nubes</v>
      </c>
      <c r="C602" s="12"/>
      <c r="D602" s="12"/>
      <c r="E602" s="44">
        <f>IFERROR(__xludf.DUMMYFUNCTION("""COMPUTED_VALUE"""),44607.0)</f>
        <v>44607</v>
      </c>
      <c r="F602" s="12" t="str">
        <f>IFERROR(__xludf.DUMMYFUNCTION("""COMPUTED_VALUE"""),"TIPO I")</f>
        <v>TIPO I</v>
      </c>
      <c r="G602" s="12" t="str">
        <f>IFERROR(__xludf.DUMMYFUNCTION("""COMPUTED_VALUE"""),"El agua presenta coloración, se perciben olores, y se logra observar espumas")</f>
        <v>El agua presenta coloración, se perciben olores, y se logra observar espumas</v>
      </c>
      <c r="H602" s="45">
        <f>IFERROR(__xludf.DUMMYFUNCTION("""COMPUTED_VALUE"""),0.4166666666678793)</f>
        <v>0.4166666667</v>
      </c>
      <c r="I602" s="45">
        <f>IFERROR(__xludf.DUMMYFUNCTION("""COMPUTED_VALUE"""),0.5)</f>
        <v>0.5</v>
      </c>
      <c r="J602" s="12">
        <f>IFERROR(__xludf.DUMMYFUNCTION("""COMPUTED_VALUE"""),3.36)</f>
        <v>3.36</v>
      </c>
      <c r="K602" s="12">
        <f>IFERROR(__xludf.DUMMYFUNCTION("""COMPUTED_VALUE"""),0.41)</f>
        <v>0.41</v>
      </c>
      <c r="L602" s="14">
        <f>IFERROR(__xludf.DUMMYFUNCTION("""COMPUTED_VALUE"""),168.591)</f>
        <v>168.591</v>
      </c>
      <c r="M602" s="14">
        <f>IFERROR(__xludf.DUMMYFUNCTION("""COMPUTED_VALUE"""),175.852)</f>
        <v>175.852</v>
      </c>
      <c r="N602" s="14">
        <f>IFERROR(__xludf.DUMMYFUNCTION("""COMPUTED_VALUE"""),177.692)</f>
        <v>177.692</v>
      </c>
      <c r="O602" s="14">
        <f>IFERROR(__xludf.DUMMYFUNCTION("""COMPUTED_VALUE"""),176.809)</f>
        <v>176.809</v>
      </c>
      <c r="P602" s="14">
        <f>IFERROR(__xludf.DUMMYFUNCTION("""COMPUTED_VALUE"""),173.703)</f>
        <v>173.703</v>
      </c>
      <c r="Q602" s="14">
        <f>IFERROR(__xludf.DUMMYFUNCTION("""COMPUTED_VALUE"""),174.529)</f>
        <v>174.529</v>
      </c>
      <c r="R602" s="48">
        <f>IFERROR(__xludf.DUMMYFUNCTION("""COMPUTED_VALUE"""),8.65)</f>
        <v>8.65</v>
      </c>
      <c r="S602" s="48">
        <f>IFERROR(__xludf.DUMMYFUNCTION("""COMPUTED_VALUE"""),8.71)</f>
        <v>8.71</v>
      </c>
      <c r="T602" s="48">
        <f>IFERROR(__xludf.DUMMYFUNCTION("""COMPUTED_VALUE"""),8.65)</f>
        <v>8.65</v>
      </c>
      <c r="U602" s="48">
        <f>IFERROR(__xludf.DUMMYFUNCTION("""COMPUTED_VALUE"""),8.63)</f>
        <v>8.63</v>
      </c>
      <c r="V602" s="48">
        <f>IFERROR(__xludf.DUMMYFUNCTION("""COMPUTED_VALUE"""),8.59)</f>
        <v>8.59</v>
      </c>
      <c r="W602" s="14">
        <f>IFERROR(__xludf.DUMMYFUNCTION("""COMPUTED_VALUE"""),8.646)</f>
        <v>8.646</v>
      </c>
      <c r="X602" s="14">
        <f>IFERROR(__xludf.DUMMYFUNCTION("""COMPUTED_VALUE"""),14.6)</f>
        <v>14.6</v>
      </c>
      <c r="Y602" s="14">
        <f>IFERROR(__xludf.DUMMYFUNCTION("""COMPUTED_VALUE"""),14.8)</f>
        <v>14.8</v>
      </c>
      <c r="Z602" s="14">
        <f>IFERROR(__xludf.DUMMYFUNCTION("""COMPUTED_VALUE"""),15.0)</f>
        <v>15</v>
      </c>
      <c r="AA602" s="14">
        <f>IFERROR(__xludf.DUMMYFUNCTION("""COMPUTED_VALUE"""),15.3)</f>
        <v>15.3</v>
      </c>
      <c r="AB602" s="14">
        <f>IFERROR(__xludf.DUMMYFUNCTION("""COMPUTED_VALUE"""),15.2)</f>
        <v>15.2</v>
      </c>
      <c r="AC602" s="14">
        <f>IFERROR(__xludf.DUMMYFUNCTION("""COMPUTED_VALUE"""),14.98)</f>
        <v>14.98</v>
      </c>
      <c r="AD602" s="48">
        <f>IFERROR(__xludf.DUMMYFUNCTION("""COMPUTED_VALUE"""),552.0)</f>
        <v>552</v>
      </c>
      <c r="AE602" s="48">
        <f>IFERROR(__xludf.DUMMYFUNCTION("""COMPUTED_VALUE"""),570.0)</f>
        <v>570</v>
      </c>
      <c r="AF602" s="48">
        <f>IFERROR(__xludf.DUMMYFUNCTION("""COMPUTED_VALUE"""),551.0)</f>
        <v>551</v>
      </c>
      <c r="AG602" s="48">
        <f>IFERROR(__xludf.DUMMYFUNCTION("""COMPUTED_VALUE"""),531.0)</f>
        <v>531</v>
      </c>
      <c r="AH602" s="48">
        <f>IFERROR(__xludf.DUMMYFUNCTION("""COMPUTED_VALUE"""),528.0)</f>
        <v>528</v>
      </c>
      <c r="AI602" s="14">
        <f>IFERROR(__xludf.DUMMYFUNCTION("""COMPUTED_VALUE"""),546.4)</f>
        <v>546.4</v>
      </c>
      <c r="AJ602" s="14">
        <f>IFERROR(__xludf.DUMMYFUNCTION("""COMPUTED_VALUE"""),4.33)</f>
        <v>4.33</v>
      </c>
      <c r="AK602" s="14">
        <f>IFERROR(__xludf.DUMMYFUNCTION("""COMPUTED_VALUE"""),4.03)</f>
        <v>4.03</v>
      </c>
      <c r="AL602" s="14">
        <f>IFERROR(__xludf.DUMMYFUNCTION("""COMPUTED_VALUE"""),4.12)</f>
        <v>4.12</v>
      </c>
      <c r="AM602" s="14">
        <f>IFERROR(__xludf.DUMMYFUNCTION("""COMPUTED_VALUE"""),4.05)</f>
        <v>4.05</v>
      </c>
      <c r="AN602" s="14">
        <f>IFERROR(__xludf.DUMMYFUNCTION("""COMPUTED_VALUE"""),4.12)</f>
        <v>4.12</v>
      </c>
      <c r="AO602" s="14">
        <f>IFERROR(__xludf.DUMMYFUNCTION("""COMPUTED_VALUE"""),4.130000000000001)</f>
        <v>4.13</v>
      </c>
      <c r="AP602" s="14">
        <f>IFERROR(__xludf.DUMMYFUNCTION("""COMPUTED_VALUE"""),139.0)</f>
        <v>139</v>
      </c>
      <c r="AQ602" s="14">
        <f>IFERROR(__xludf.DUMMYFUNCTION("""COMPUTED_VALUE"""),190.0)</f>
        <v>190</v>
      </c>
      <c r="AR602" s="14">
        <f>IFERROR(__xludf.DUMMYFUNCTION("""COMPUTED_VALUE"""),68.0)</f>
        <v>68</v>
      </c>
      <c r="AS602" s="14">
        <f>IFERROR(__xludf.DUMMYFUNCTION("""COMPUTED_VALUE"""),18.0)</f>
        <v>18</v>
      </c>
      <c r="AT602" s="14">
        <f>IFERROR(__xludf.DUMMYFUNCTION("""COMPUTED_VALUE"""),3.79)</f>
        <v>3.79</v>
      </c>
      <c r="AU602" s="14">
        <f>IFERROR(__xludf.DUMMYFUNCTION("""COMPUTED_VALUE"""),1.624E7)</f>
        <v>16240000</v>
      </c>
      <c r="AV602" s="14">
        <f>IFERROR(__xludf.DUMMYFUNCTION("""COMPUTED_VALUE"""),2.97)</f>
        <v>2.97</v>
      </c>
      <c r="AW602" s="14">
        <f>IFERROR(__xludf.DUMMYFUNCTION("""COMPUTED_VALUE"""),35.6)</f>
        <v>35.6</v>
      </c>
      <c r="AX602" s="14">
        <f>IFERROR(__xludf.DUMMYFUNCTION("""COMPUTED_VALUE"""),1210000.0)</f>
        <v>1210000</v>
      </c>
      <c r="AY602" s="14">
        <f>IFERROR(__xludf.DUMMYFUNCTION("""COMPUTED_VALUE"""),1.0)</f>
        <v>1</v>
      </c>
      <c r="AZ602" s="14">
        <f>IFERROR(__xludf.DUMMYFUNCTION("""COMPUTED_VALUE"""),0.007)</f>
        <v>0.007</v>
      </c>
      <c r="BA602" s="14">
        <f t="shared" si="1"/>
        <v>36.607</v>
      </c>
    </row>
    <row r="603" ht="14.25" customHeight="1">
      <c r="A603" s="10" t="str">
        <f>IFERROR(__xludf.DUMMYFUNCTION("""COMPUTED_VALUE"""),"240222FE01")</f>
        <v>240222FE01</v>
      </c>
      <c r="B603" s="12" t="str">
        <f>IFERROR(__xludf.DUMMYFUNCTION("""COMPUTED_VALUE"""),"QYO-Monte Blanco")</f>
        <v>QYO-Monte Blanco</v>
      </c>
      <c r="C603" s="12"/>
      <c r="D603" s="12"/>
      <c r="E603" s="44">
        <f>IFERROR(__xludf.DUMMYFUNCTION("""COMPUTED_VALUE"""),44616.0)</f>
        <v>44616</v>
      </c>
      <c r="F603" s="12" t="str">
        <f>IFERROR(__xludf.DUMMYFUNCTION("""COMPUTED_VALUE"""),"TIPO I")</f>
        <v>TIPO I</v>
      </c>
      <c r="G603" s="12" t="str">
        <f>IFERROR(__xludf.DUMMYFUNCTION("""COMPUTED_VALUE"""),"El lecho del cuerpo de agua es natural rocoso. Durante el monitoreo se presentó coloración y olor.")</f>
        <v>El lecho del cuerpo de agua es natural rocoso. Durante el monitoreo se presentó coloración y olor.</v>
      </c>
      <c r="H603" s="45">
        <f>IFERROR(__xludf.DUMMYFUNCTION("""COMPUTED_VALUE"""),0.25)</f>
        <v>0.25</v>
      </c>
      <c r="I603" s="45">
        <f>IFERROR(__xludf.DUMMYFUNCTION("""COMPUTED_VALUE"""),0.3333333333321207)</f>
        <v>0.3333333333</v>
      </c>
      <c r="J603" s="12">
        <f>IFERROR(__xludf.DUMMYFUNCTION("""COMPUTED_VALUE"""),2.3)</f>
        <v>2.3</v>
      </c>
      <c r="K603" s="12">
        <f>IFERROR(__xludf.DUMMYFUNCTION("""COMPUTED_VALUE"""),0.4)</f>
        <v>0.4</v>
      </c>
      <c r="L603" s="14">
        <f>IFERROR(__xludf.DUMMYFUNCTION("""COMPUTED_VALUE"""),210.987)</f>
        <v>210.987</v>
      </c>
      <c r="M603" s="14">
        <f>IFERROR(__xludf.DUMMYFUNCTION("""COMPUTED_VALUE"""),212.362)</f>
        <v>212.362</v>
      </c>
      <c r="N603" s="14">
        <f>IFERROR(__xludf.DUMMYFUNCTION("""COMPUTED_VALUE"""),216.424)</f>
        <v>216.424</v>
      </c>
      <c r="O603" s="14">
        <f>IFERROR(__xludf.DUMMYFUNCTION("""COMPUTED_VALUE"""),222.135)</f>
        <v>222.135</v>
      </c>
      <c r="P603" s="14">
        <f>IFERROR(__xludf.DUMMYFUNCTION("""COMPUTED_VALUE"""),225.938)</f>
        <v>225.938</v>
      </c>
      <c r="Q603" s="14">
        <f>IFERROR(__xludf.DUMMYFUNCTION("""COMPUTED_VALUE"""),217.569)</f>
        <v>217.569</v>
      </c>
      <c r="R603" s="48">
        <f>IFERROR(__xludf.DUMMYFUNCTION("""COMPUTED_VALUE"""),6.87)</f>
        <v>6.87</v>
      </c>
      <c r="S603" s="48">
        <f>IFERROR(__xludf.DUMMYFUNCTION("""COMPUTED_VALUE"""),6.83)</f>
        <v>6.83</v>
      </c>
      <c r="T603" s="48">
        <f>IFERROR(__xludf.DUMMYFUNCTION("""COMPUTED_VALUE"""),6.64)</f>
        <v>6.64</v>
      </c>
      <c r="U603" s="48">
        <f>IFERROR(__xludf.DUMMYFUNCTION("""COMPUTED_VALUE"""),6.88)</f>
        <v>6.88</v>
      </c>
      <c r="V603" s="48">
        <f>IFERROR(__xludf.DUMMYFUNCTION("""COMPUTED_VALUE"""),6.85)</f>
        <v>6.85</v>
      </c>
      <c r="W603" s="14">
        <f>IFERROR(__xludf.DUMMYFUNCTION("""COMPUTED_VALUE"""),6.814)</f>
        <v>6.814</v>
      </c>
      <c r="X603" s="14">
        <f>IFERROR(__xludf.DUMMYFUNCTION("""COMPUTED_VALUE"""),13.8)</f>
        <v>13.8</v>
      </c>
      <c r="Y603" s="14">
        <f>IFERROR(__xludf.DUMMYFUNCTION("""COMPUTED_VALUE"""),12.2)</f>
        <v>12.2</v>
      </c>
      <c r="Z603" s="14">
        <f>IFERROR(__xludf.DUMMYFUNCTION("""COMPUTED_VALUE"""),12.9)</f>
        <v>12.9</v>
      </c>
      <c r="AA603" s="14">
        <f>IFERROR(__xludf.DUMMYFUNCTION("""COMPUTED_VALUE"""),13.3)</f>
        <v>13.3</v>
      </c>
      <c r="AB603" s="14">
        <f>IFERROR(__xludf.DUMMYFUNCTION("""COMPUTED_VALUE"""),13.1)</f>
        <v>13.1</v>
      </c>
      <c r="AC603" s="14">
        <f>IFERROR(__xludf.DUMMYFUNCTION("""COMPUTED_VALUE"""),13.059999999999999)</f>
        <v>13.06</v>
      </c>
      <c r="AD603" s="48">
        <f>IFERROR(__xludf.DUMMYFUNCTION("""COMPUTED_VALUE"""),276.0)</f>
        <v>276</v>
      </c>
      <c r="AE603" s="48">
        <f>IFERROR(__xludf.DUMMYFUNCTION("""COMPUTED_VALUE"""),446.0)</f>
        <v>446</v>
      </c>
      <c r="AF603" s="48">
        <f>IFERROR(__xludf.DUMMYFUNCTION("""COMPUTED_VALUE"""),466.0)</f>
        <v>466</v>
      </c>
      <c r="AG603" s="48">
        <f>IFERROR(__xludf.DUMMYFUNCTION("""COMPUTED_VALUE"""),467.0)</f>
        <v>467</v>
      </c>
      <c r="AH603" s="48">
        <f>IFERROR(__xludf.DUMMYFUNCTION("""COMPUTED_VALUE"""),472.0)</f>
        <v>472</v>
      </c>
      <c r="AI603" s="14">
        <f>IFERROR(__xludf.DUMMYFUNCTION("""COMPUTED_VALUE"""),425.4)</f>
        <v>425.4</v>
      </c>
      <c r="AJ603" s="14">
        <f>IFERROR(__xludf.DUMMYFUNCTION("""COMPUTED_VALUE"""),4.74)</f>
        <v>4.74</v>
      </c>
      <c r="AK603" s="14">
        <f>IFERROR(__xludf.DUMMYFUNCTION("""COMPUTED_VALUE"""),3.3)</f>
        <v>3.3</v>
      </c>
      <c r="AL603" s="14">
        <f>IFERROR(__xludf.DUMMYFUNCTION("""COMPUTED_VALUE"""),3.74)</f>
        <v>3.74</v>
      </c>
      <c r="AM603" s="14">
        <f>IFERROR(__xludf.DUMMYFUNCTION("""COMPUTED_VALUE"""),3.91)</f>
        <v>3.91</v>
      </c>
      <c r="AN603" s="14">
        <f>IFERROR(__xludf.DUMMYFUNCTION("""COMPUTED_VALUE"""),3.96)</f>
        <v>3.96</v>
      </c>
      <c r="AO603" s="14">
        <f>IFERROR(__xludf.DUMMYFUNCTION("""COMPUTED_VALUE"""),3.9299999999999997)</f>
        <v>3.93</v>
      </c>
      <c r="AP603" s="14">
        <f>IFERROR(__xludf.DUMMYFUNCTION("""COMPUTED_VALUE"""),77.0)</f>
        <v>77</v>
      </c>
      <c r="AQ603" s="14">
        <f>IFERROR(__xludf.DUMMYFUNCTION("""COMPUTED_VALUE"""),101.0)</f>
        <v>101</v>
      </c>
      <c r="AR603" s="14">
        <f>IFERROR(__xludf.DUMMYFUNCTION("""COMPUTED_VALUE"""),46.0)</f>
        <v>46</v>
      </c>
      <c r="AS603" s="14">
        <f>IFERROR(__xludf.DUMMYFUNCTION("""COMPUTED_VALUE"""),20.0)</f>
        <v>20</v>
      </c>
      <c r="AT603" s="14">
        <f>IFERROR(__xludf.DUMMYFUNCTION("""COMPUTED_VALUE"""),1.22)</f>
        <v>1.22</v>
      </c>
      <c r="AU603" s="14">
        <f>IFERROR(__xludf.DUMMYFUNCTION("""COMPUTED_VALUE"""),9.32E7)</f>
        <v>93200000</v>
      </c>
      <c r="AV603" s="14">
        <f>IFERROR(__xludf.DUMMYFUNCTION("""COMPUTED_VALUE"""),2.54)</f>
        <v>2.54</v>
      </c>
      <c r="AW603" s="14">
        <f>IFERROR(__xludf.DUMMYFUNCTION("""COMPUTED_VALUE"""),21.3)</f>
        <v>21.3</v>
      </c>
      <c r="AX603" s="14">
        <f>IFERROR(__xludf.DUMMYFUNCTION("""COMPUTED_VALUE"""),1210000.0)</f>
        <v>1210000</v>
      </c>
      <c r="AY603" s="14">
        <f>IFERROR(__xludf.DUMMYFUNCTION("""COMPUTED_VALUE"""),0.7)</f>
        <v>0.7</v>
      </c>
      <c r="AZ603" s="14">
        <f>IFERROR(__xludf.DUMMYFUNCTION("""COMPUTED_VALUE"""),0.007)</f>
        <v>0.007</v>
      </c>
      <c r="BA603" s="14">
        <f t="shared" si="1"/>
        <v>22.007</v>
      </c>
    </row>
    <row r="604" ht="14.25" customHeight="1">
      <c r="A604" s="10" t="str">
        <f>IFERROR(__xludf.DUMMYFUNCTION("""COMPUTED_VALUE"""),"180222MO01")</f>
        <v>180222MO01</v>
      </c>
      <c r="B604" s="12" t="str">
        <f>IFERROR(__xludf.DUMMYFUNCTION("""COMPUTED_VALUE"""),"CMO-Pepe Sierra")</f>
        <v>CMO-Pepe Sierra</v>
      </c>
      <c r="C604" s="12"/>
      <c r="D604" s="12"/>
      <c r="E604" s="44">
        <f>IFERROR(__xludf.DUMMYFUNCTION("""COMPUTED_VALUE"""),44610.0)</f>
        <v>44610</v>
      </c>
      <c r="F604" s="12" t="str">
        <f>IFERROR(__xludf.DUMMYFUNCTION("""COMPUTED_VALUE"""),"TIPO I")</f>
        <v>TIPO I</v>
      </c>
      <c r="G604" s="12" t="str">
        <f>IFERROR(__xludf.DUMMYFUNCTION("""COMPUTED_VALUE"""),"Se observa coloración y se percibe olor.
Altura: 2565 msnm")</f>
        <v>Se observa coloración y se percibe olor.
Altura: 2565 msnm</v>
      </c>
      <c r="H604" s="45">
        <f>IFERROR(__xludf.DUMMYFUNCTION("""COMPUTED_VALUE"""),0.25)</f>
        <v>0.25</v>
      </c>
      <c r="I604" s="45">
        <f>IFERROR(__xludf.DUMMYFUNCTION("""COMPUTED_VALUE"""),0.3333333333321207)</f>
        <v>0.3333333333</v>
      </c>
      <c r="J604" s="12">
        <f>IFERROR(__xludf.DUMMYFUNCTION("""COMPUTED_VALUE"""),4.0)</f>
        <v>4</v>
      </c>
      <c r="K604" s="12">
        <f>IFERROR(__xludf.DUMMYFUNCTION("""COMPUTED_VALUE"""),0.17)</f>
        <v>0.17</v>
      </c>
      <c r="L604" s="14">
        <f>IFERROR(__xludf.DUMMYFUNCTION("""COMPUTED_VALUE"""),145.816)</f>
        <v>145.816</v>
      </c>
      <c r="M604" s="14">
        <f>IFERROR(__xludf.DUMMYFUNCTION("""COMPUTED_VALUE"""),157.451)</f>
        <v>157.451</v>
      </c>
      <c r="N604" s="14">
        <f>IFERROR(__xludf.DUMMYFUNCTION("""COMPUTED_VALUE"""),165.49)</f>
        <v>165.49</v>
      </c>
      <c r="O604" s="14">
        <f>IFERROR(__xludf.DUMMYFUNCTION("""COMPUTED_VALUE"""),166.476)</f>
        <v>166.476</v>
      </c>
      <c r="P604" s="14">
        <f>IFERROR(__xludf.DUMMYFUNCTION("""COMPUTED_VALUE"""),170.614)</f>
        <v>170.614</v>
      </c>
      <c r="Q604" s="14">
        <f>IFERROR(__xludf.DUMMYFUNCTION("""COMPUTED_VALUE"""),161.17)</f>
        <v>161.17</v>
      </c>
      <c r="R604" s="48">
        <f>IFERROR(__xludf.DUMMYFUNCTION("""COMPUTED_VALUE"""),7.32)</f>
        <v>7.32</v>
      </c>
      <c r="S604" s="48">
        <f>IFERROR(__xludf.DUMMYFUNCTION("""COMPUTED_VALUE"""),6.83)</f>
        <v>6.83</v>
      </c>
      <c r="T604" s="48">
        <f>IFERROR(__xludf.DUMMYFUNCTION("""COMPUTED_VALUE"""),7.11)</f>
        <v>7.11</v>
      </c>
      <c r="U604" s="48">
        <f>IFERROR(__xludf.DUMMYFUNCTION("""COMPUTED_VALUE"""),7.08)</f>
        <v>7.08</v>
      </c>
      <c r="V604" s="48">
        <f>IFERROR(__xludf.DUMMYFUNCTION("""COMPUTED_VALUE"""),7.28)</f>
        <v>7.28</v>
      </c>
      <c r="W604" s="14">
        <f>IFERROR(__xludf.DUMMYFUNCTION("""COMPUTED_VALUE"""),7.1240000000000006)</f>
        <v>7.124</v>
      </c>
      <c r="X604" s="14">
        <f>IFERROR(__xludf.DUMMYFUNCTION("""COMPUTED_VALUE"""),14.0)</f>
        <v>14</v>
      </c>
      <c r="Y604" s="14">
        <f>IFERROR(__xludf.DUMMYFUNCTION("""COMPUTED_VALUE"""),14.0)</f>
        <v>14</v>
      </c>
      <c r="Z604" s="14">
        <f>IFERROR(__xludf.DUMMYFUNCTION("""COMPUTED_VALUE"""),14.0)</f>
        <v>14</v>
      </c>
      <c r="AA604" s="14">
        <f>IFERROR(__xludf.DUMMYFUNCTION("""COMPUTED_VALUE"""),14.4)</f>
        <v>14.4</v>
      </c>
      <c r="AB604" s="14">
        <f>IFERROR(__xludf.DUMMYFUNCTION("""COMPUTED_VALUE"""),15.0)</f>
        <v>15</v>
      </c>
      <c r="AC604" s="14">
        <f>IFERROR(__xludf.DUMMYFUNCTION("""COMPUTED_VALUE"""),14.280000000000001)</f>
        <v>14.28</v>
      </c>
      <c r="AD604" s="48">
        <f>IFERROR(__xludf.DUMMYFUNCTION("""COMPUTED_VALUE"""),319.0)</f>
        <v>319</v>
      </c>
      <c r="AE604" s="48">
        <f>IFERROR(__xludf.DUMMYFUNCTION("""COMPUTED_VALUE"""),341.0)</f>
        <v>341</v>
      </c>
      <c r="AF604" s="48">
        <f>IFERROR(__xludf.DUMMYFUNCTION("""COMPUTED_VALUE"""),363.0)</f>
        <v>363</v>
      </c>
      <c r="AG604" s="48">
        <f>IFERROR(__xludf.DUMMYFUNCTION("""COMPUTED_VALUE"""),383.0)</f>
        <v>383</v>
      </c>
      <c r="AH604" s="48">
        <f>IFERROR(__xludf.DUMMYFUNCTION("""COMPUTED_VALUE"""),391.0)</f>
        <v>391</v>
      </c>
      <c r="AI604" s="14">
        <f>IFERROR(__xludf.DUMMYFUNCTION("""COMPUTED_VALUE"""),359.4)</f>
        <v>359.4</v>
      </c>
      <c r="AJ604" s="14">
        <f>IFERROR(__xludf.DUMMYFUNCTION("""COMPUTED_VALUE"""),3.02)</f>
        <v>3.02</v>
      </c>
      <c r="AK604" s="14">
        <f>IFERROR(__xludf.DUMMYFUNCTION("""COMPUTED_VALUE"""),2.65)</f>
        <v>2.65</v>
      </c>
      <c r="AL604" s="14">
        <f>IFERROR(__xludf.DUMMYFUNCTION("""COMPUTED_VALUE"""),2.98)</f>
        <v>2.98</v>
      </c>
      <c r="AM604" s="14">
        <f>IFERROR(__xludf.DUMMYFUNCTION("""COMPUTED_VALUE"""),3.16)</f>
        <v>3.16</v>
      </c>
      <c r="AN604" s="14">
        <f>IFERROR(__xludf.DUMMYFUNCTION("""COMPUTED_VALUE"""),2.89)</f>
        <v>2.89</v>
      </c>
      <c r="AO604" s="14">
        <f>IFERROR(__xludf.DUMMYFUNCTION("""COMPUTED_VALUE"""),2.9400000000000004)</f>
        <v>2.94</v>
      </c>
      <c r="AP604" s="14">
        <f>IFERROR(__xludf.DUMMYFUNCTION("""COMPUTED_VALUE"""),47.0)</f>
        <v>47</v>
      </c>
      <c r="AQ604" s="14">
        <f>IFERROR(__xludf.DUMMYFUNCTION("""COMPUTED_VALUE"""),86.0)</f>
        <v>86</v>
      </c>
      <c r="AR604" s="14">
        <f>IFERROR(__xludf.DUMMYFUNCTION("""COMPUTED_VALUE"""),29.0)</f>
        <v>29</v>
      </c>
      <c r="AS604" s="14">
        <f>IFERROR(__xludf.DUMMYFUNCTION("""COMPUTED_VALUE"""),2.0)</f>
        <v>2</v>
      </c>
      <c r="AT604" s="14">
        <f>IFERROR(__xludf.DUMMYFUNCTION("""COMPUTED_VALUE"""),1.59)</f>
        <v>1.59</v>
      </c>
      <c r="AU604" s="14">
        <f>IFERROR(__xludf.DUMMYFUNCTION("""COMPUTED_VALUE"""),1.095E7)</f>
        <v>10950000</v>
      </c>
      <c r="AV604" s="14">
        <f>IFERROR(__xludf.DUMMYFUNCTION("""COMPUTED_VALUE"""),2.42)</f>
        <v>2.42</v>
      </c>
      <c r="AW604" s="14">
        <f>IFERROR(__xludf.DUMMYFUNCTION("""COMPUTED_VALUE"""),17.9)</f>
        <v>17.9</v>
      </c>
      <c r="AX604" s="14">
        <f>IFERROR(__xludf.DUMMYFUNCTION("""COMPUTED_VALUE"""),906000.0)</f>
        <v>906000</v>
      </c>
      <c r="AY604" s="14">
        <f>IFERROR(__xludf.DUMMYFUNCTION("""COMPUTED_VALUE"""),0.8)</f>
        <v>0.8</v>
      </c>
      <c r="AZ604" s="14">
        <f>IFERROR(__xludf.DUMMYFUNCTION("""COMPUTED_VALUE"""),0.007)</f>
        <v>0.007</v>
      </c>
      <c r="BA604" s="14">
        <f t="shared" si="1"/>
        <v>18.707</v>
      </c>
    </row>
    <row r="605" ht="14.25" customHeight="1">
      <c r="A605" s="10" t="str">
        <f>IFERROR(__xludf.DUMMYFUNCTION("""COMPUTED_VALUE"""),"180222MI01")</f>
        <v>180222MI01</v>
      </c>
      <c r="B605" s="12" t="str">
        <f>IFERROR(__xludf.DUMMYFUNCTION("""COMPUTED_VALUE"""),"CMO-Cantón Norte")</f>
        <v>CMO-Cantón Norte</v>
      </c>
      <c r="C605" s="12"/>
      <c r="D605" s="12"/>
      <c r="E605" s="44">
        <f>IFERROR(__xludf.DUMMYFUNCTION("""COMPUTED_VALUE"""),44610.0)</f>
        <v>44610</v>
      </c>
      <c r="F605" s="12" t="str">
        <f>IFERROR(__xludf.DUMMYFUNCTION("""COMPUTED_VALUE"""),"TIPO I")</f>
        <v>TIPO I</v>
      </c>
      <c r="G605" s="12" t="str">
        <f>IFERROR(__xludf.DUMMYFUNCTION("""COMPUTED_VALUE"""),"No se observa color y no se percibe olor. No se observan vertimientos cerca al punto de muestreo.
Altura: 2594 msnm")</f>
        <v>No se observa color y no se percibe olor. No se observan vertimientos cerca al punto de muestreo.
Altura: 2594 msnm</v>
      </c>
      <c r="H605" s="45">
        <f>IFERROR(__xludf.DUMMYFUNCTION("""COMPUTED_VALUE"""),0.25)</f>
        <v>0.25</v>
      </c>
      <c r="I605" s="45">
        <f>IFERROR(__xludf.DUMMYFUNCTION("""COMPUTED_VALUE"""),0.3333333333321207)</f>
        <v>0.3333333333</v>
      </c>
      <c r="J605" s="12">
        <f>IFERROR(__xludf.DUMMYFUNCTION("""COMPUTED_VALUE"""),1.44)</f>
        <v>1.44</v>
      </c>
      <c r="K605" s="12">
        <f>IFERROR(__xludf.DUMMYFUNCTION("""COMPUTED_VALUE"""),0.1)</f>
        <v>0.1</v>
      </c>
      <c r="L605" s="14">
        <f>IFERROR(__xludf.DUMMYFUNCTION("""COMPUTED_VALUE"""),8.324)</f>
        <v>8.324</v>
      </c>
      <c r="M605" s="14">
        <f>IFERROR(__xludf.DUMMYFUNCTION("""COMPUTED_VALUE"""),9.672)</f>
        <v>9.672</v>
      </c>
      <c r="N605" s="14">
        <f>IFERROR(__xludf.DUMMYFUNCTION("""COMPUTED_VALUE"""),9.806)</f>
        <v>9.806</v>
      </c>
      <c r="O605" s="14">
        <f>IFERROR(__xludf.DUMMYFUNCTION("""COMPUTED_VALUE"""),10.974)</f>
        <v>10.974</v>
      </c>
      <c r="P605" s="14">
        <f>IFERROR(__xludf.DUMMYFUNCTION("""COMPUTED_VALUE"""),11.592)</f>
        <v>11.592</v>
      </c>
      <c r="Q605" s="14">
        <f>IFERROR(__xludf.DUMMYFUNCTION("""COMPUTED_VALUE"""),10.074)</f>
        <v>10.074</v>
      </c>
      <c r="R605" s="48">
        <f>IFERROR(__xludf.DUMMYFUNCTION("""COMPUTED_VALUE"""),7.98)</f>
        <v>7.98</v>
      </c>
      <c r="S605" s="48">
        <f>IFERROR(__xludf.DUMMYFUNCTION("""COMPUTED_VALUE"""),6.95)</f>
        <v>6.95</v>
      </c>
      <c r="T605" s="48">
        <f>IFERROR(__xludf.DUMMYFUNCTION("""COMPUTED_VALUE"""),7.24)</f>
        <v>7.24</v>
      </c>
      <c r="U605" s="48">
        <f>IFERROR(__xludf.DUMMYFUNCTION("""COMPUTED_VALUE"""),7.32)</f>
        <v>7.32</v>
      </c>
      <c r="V605" s="48">
        <f>IFERROR(__xludf.DUMMYFUNCTION("""COMPUTED_VALUE"""),7.27)</f>
        <v>7.27</v>
      </c>
      <c r="W605" s="14">
        <f>IFERROR(__xludf.DUMMYFUNCTION("""COMPUTED_VALUE"""),7.352000000000001)</f>
        <v>7.352</v>
      </c>
      <c r="X605" s="14">
        <f>IFERROR(__xludf.DUMMYFUNCTION("""COMPUTED_VALUE"""),12.3)</f>
        <v>12.3</v>
      </c>
      <c r="Y605" s="14">
        <f>IFERROR(__xludf.DUMMYFUNCTION("""COMPUTED_VALUE"""),12.2)</f>
        <v>12.2</v>
      </c>
      <c r="Z605" s="14">
        <f>IFERROR(__xludf.DUMMYFUNCTION("""COMPUTED_VALUE"""),12.6)</f>
        <v>12.6</v>
      </c>
      <c r="AA605" s="14">
        <f>IFERROR(__xludf.DUMMYFUNCTION("""COMPUTED_VALUE"""),14.0)</f>
        <v>14</v>
      </c>
      <c r="AB605" s="14">
        <f>IFERROR(__xludf.DUMMYFUNCTION("""COMPUTED_VALUE"""),14.3)</f>
        <v>14.3</v>
      </c>
      <c r="AC605" s="14">
        <f>IFERROR(__xludf.DUMMYFUNCTION("""COMPUTED_VALUE"""),13.080000000000002)</f>
        <v>13.08</v>
      </c>
      <c r="AD605" s="48">
        <f>IFERROR(__xludf.DUMMYFUNCTION("""COMPUTED_VALUE"""),344.0)</f>
        <v>344</v>
      </c>
      <c r="AE605" s="48">
        <f>IFERROR(__xludf.DUMMYFUNCTION("""COMPUTED_VALUE"""),352.0)</f>
        <v>352</v>
      </c>
      <c r="AF605" s="48">
        <f>IFERROR(__xludf.DUMMYFUNCTION("""COMPUTED_VALUE"""),353.0)</f>
        <v>353</v>
      </c>
      <c r="AG605" s="48">
        <f>IFERROR(__xludf.DUMMYFUNCTION("""COMPUTED_VALUE"""),350.0)</f>
        <v>350</v>
      </c>
      <c r="AH605" s="48">
        <f>IFERROR(__xludf.DUMMYFUNCTION("""COMPUTED_VALUE"""),349.0)</f>
        <v>349</v>
      </c>
      <c r="AI605" s="14">
        <f>IFERROR(__xludf.DUMMYFUNCTION("""COMPUTED_VALUE"""),349.6)</f>
        <v>349.6</v>
      </c>
      <c r="AJ605" s="14">
        <f>IFERROR(__xludf.DUMMYFUNCTION("""COMPUTED_VALUE"""),4.03)</f>
        <v>4.03</v>
      </c>
      <c r="AK605" s="14">
        <f>IFERROR(__xludf.DUMMYFUNCTION("""COMPUTED_VALUE"""),3.41)</f>
        <v>3.41</v>
      </c>
      <c r="AL605" s="14">
        <f>IFERROR(__xludf.DUMMYFUNCTION("""COMPUTED_VALUE"""),3.63)</f>
        <v>3.63</v>
      </c>
      <c r="AM605" s="14">
        <f>IFERROR(__xludf.DUMMYFUNCTION("""COMPUTED_VALUE"""),3.14)</f>
        <v>3.14</v>
      </c>
      <c r="AN605" s="14">
        <f>IFERROR(__xludf.DUMMYFUNCTION("""COMPUTED_VALUE"""),4.01)</f>
        <v>4.01</v>
      </c>
      <c r="AO605" s="14">
        <f>IFERROR(__xludf.DUMMYFUNCTION("""COMPUTED_VALUE"""),3.6439999999999997)</f>
        <v>3.644</v>
      </c>
      <c r="AP605" s="14">
        <f>IFERROR(__xludf.DUMMYFUNCTION("""COMPUTED_VALUE"""),12.0)</f>
        <v>12</v>
      </c>
      <c r="AQ605" s="14">
        <f>IFERROR(__xludf.DUMMYFUNCTION("""COMPUTED_VALUE"""),45.0)</f>
        <v>45</v>
      </c>
      <c r="AR605" s="14">
        <f>IFERROR(__xludf.DUMMYFUNCTION("""COMPUTED_VALUE"""),14.0)</f>
        <v>14</v>
      </c>
      <c r="AS605" s="14">
        <f>IFERROR(__xludf.DUMMYFUNCTION("""COMPUTED_VALUE"""),1.2)</f>
        <v>1.2</v>
      </c>
      <c r="AT605" s="14">
        <f>IFERROR(__xludf.DUMMYFUNCTION("""COMPUTED_VALUE"""),0.27)</f>
        <v>0.27</v>
      </c>
      <c r="AU605" s="14">
        <f>IFERROR(__xludf.DUMMYFUNCTION("""COMPUTED_VALUE"""),884000.0)</f>
        <v>884000</v>
      </c>
      <c r="AV605" s="14">
        <f>IFERROR(__xludf.DUMMYFUNCTION("""COMPUTED_VALUE"""),0.93)</f>
        <v>0.93</v>
      </c>
      <c r="AW605" s="14">
        <f>IFERROR(__xludf.DUMMYFUNCTION("""COMPUTED_VALUE"""),11.8)</f>
        <v>11.8</v>
      </c>
      <c r="AX605" s="14">
        <f>IFERROR(__xludf.DUMMYFUNCTION("""COMPUTED_VALUE"""),10540.0)</f>
        <v>10540</v>
      </c>
      <c r="AY605" s="14">
        <f>IFERROR(__xludf.DUMMYFUNCTION("""COMPUTED_VALUE"""),0.8)</f>
        <v>0.8</v>
      </c>
      <c r="AZ605" s="14">
        <f>IFERROR(__xludf.DUMMYFUNCTION("""COMPUTED_VALUE"""),0.124)</f>
        <v>0.124</v>
      </c>
      <c r="BA605" s="14">
        <f t="shared" si="1"/>
        <v>12.724</v>
      </c>
    </row>
    <row r="606" ht="14.25" customHeight="1">
      <c r="A606" s="10" t="str">
        <f>IFERROR(__xludf.DUMMYFUNCTION("""COMPUTED_VALUE"""),"180222MI02")</f>
        <v>180222MI02</v>
      </c>
      <c r="B606" s="12" t="str">
        <f>IFERROR(__xludf.DUMMYFUNCTION("""COMPUTED_VALUE"""),"CMO-Santa Ana")</f>
        <v>CMO-Santa Ana</v>
      </c>
      <c r="C606" s="12"/>
      <c r="D606" s="12"/>
      <c r="E606" s="44">
        <f>IFERROR(__xludf.DUMMYFUNCTION("""COMPUTED_VALUE"""),44610.0)</f>
        <v>44610</v>
      </c>
      <c r="F606" s="12" t="str">
        <f>IFERROR(__xludf.DUMMYFUNCTION("""COMPUTED_VALUE"""),"TIPO I")</f>
        <v>TIPO I</v>
      </c>
      <c r="G606" s="12" t="str">
        <f>IFERROR(__xludf.DUMMYFUNCTION("""COMPUTED_VALUE"""),"Se observa coloración y se percibe olor. Se observa un vertimiento aguas arriba del punto de muestreo.
Altura: 2575 msnm")</f>
        <v>Se observa coloración y se percibe olor. Se observa un vertimiento aguas arriba del punto de muestreo.
Altura: 2575 msnm</v>
      </c>
      <c r="H606" s="45">
        <f>IFERROR(__xludf.DUMMYFUNCTION("""COMPUTED_VALUE"""),0.4166666666678793)</f>
        <v>0.4166666667</v>
      </c>
      <c r="I606" s="45">
        <f>IFERROR(__xludf.DUMMYFUNCTION("""COMPUTED_VALUE"""),0.5)</f>
        <v>0.5</v>
      </c>
      <c r="J606" s="12">
        <f>IFERROR(__xludf.DUMMYFUNCTION("""COMPUTED_VALUE"""),3.36)</f>
        <v>3.36</v>
      </c>
      <c r="K606" s="12">
        <f>IFERROR(__xludf.DUMMYFUNCTION("""COMPUTED_VALUE"""),0.19)</f>
        <v>0.19</v>
      </c>
      <c r="L606" s="14">
        <f>IFERROR(__xludf.DUMMYFUNCTION("""COMPUTED_VALUE"""),141.37)</f>
        <v>141.37</v>
      </c>
      <c r="M606" s="14">
        <f>IFERROR(__xludf.DUMMYFUNCTION("""COMPUTED_VALUE"""),150.496)</f>
        <v>150.496</v>
      </c>
      <c r="N606" s="14">
        <f>IFERROR(__xludf.DUMMYFUNCTION("""COMPUTED_VALUE"""),154.093)</f>
        <v>154.093</v>
      </c>
      <c r="O606" s="14">
        <f>IFERROR(__xludf.DUMMYFUNCTION("""COMPUTED_VALUE"""),155.542)</f>
        <v>155.542</v>
      </c>
      <c r="P606" s="14">
        <f>IFERROR(__xludf.DUMMYFUNCTION("""COMPUTED_VALUE"""),160.415)</f>
        <v>160.415</v>
      </c>
      <c r="Q606" s="14">
        <f>IFERROR(__xludf.DUMMYFUNCTION("""COMPUTED_VALUE"""),152.383)</f>
        <v>152.383</v>
      </c>
      <c r="R606" s="48">
        <f>IFERROR(__xludf.DUMMYFUNCTION("""COMPUTED_VALUE"""),6.99)</f>
        <v>6.99</v>
      </c>
      <c r="S606" s="48">
        <f>IFERROR(__xludf.DUMMYFUNCTION("""COMPUTED_VALUE"""),7.09)</f>
        <v>7.09</v>
      </c>
      <c r="T606" s="48">
        <f>IFERROR(__xludf.DUMMYFUNCTION("""COMPUTED_VALUE"""),7.15)</f>
        <v>7.15</v>
      </c>
      <c r="U606" s="48">
        <f>IFERROR(__xludf.DUMMYFUNCTION("""COMPUTED_VALUE"""),7.11)</f>
        <v>7.11</v>
      </c>
      <c r="V606" s="48">
        <f>IFERROR(__xludf.DUMMYFUNCTION("""COMPUTED_VALUE"""),7.01)</f>
        <v>7.01</v>
      </c>
      <c r="W606" s="14">
        <f>IFERROR(__xludf.DUMMYFUNCTION("""COMPUTED_VALUE"""),7.07)</f>
        <v>7.07</v>
      </c>
      <c r="X606" s="14">
        <f>IFERROR(__xludf.DUMMYFUNCTION("""COMPUTED_VALUE"""),16.3)</f>
        <v>16.3</v>
      </c>
      <c r="Y606" s="14">
        <f>IFERROR(__xludf.DUMMYFUNCTION("""COMPUTED_VALUE"""),16.4)</f>
        <v>16.4</v>
      </c>
      <c r="Z606" s="14">
        <f>IFERROR(__xludf.DUMMYFUNCTION("""COMPUTED_VALUE"""),16.4)</f>
        <v>16.4</v>
      </c>
      <c r="AA606" s="14">
        <f>IFERROR(__xludf.DUMMYFUNCTION("""COMPUTED_VALUE"""),16.4)</f>
        <v>16.4</v>
      </c>
      <c r="AB606" s="14">
        <f>IFERROR(__xludf.DUMMYFUNCTION("""COMPUTED_VALUE"""),16.7)</f>
        <v>16.7</v>
      </c>
      <c r="AC606" s="14">
        <f>IFERROR(__xludf.DUMMYFUNCTION("""COMPUTED_VALUE"""),16.44)</f>
        <v>16.44</v>
      </c>
      <c r="AD606" s="48">
        <f>IFERROR(__xludf.DUMMYFUNCTION("""COMPUTED_VALUE"""),358.0)</f>
        <v>358</v>
      </c>
      <c r="AE606" s="48">
        <f>IFERROR(__xludf.DUMMYFUNCTION("""COMPUTED_VALUE"""),379.0)</f>
        <v>379</v>
      </c>
      <c r="AF606" s="48">
        <f>IFERROR(__xludf.DUMMYFUNCTION("""COMPUTED_VALUE"""),342.0)</f>
        <v>342</v>
      </c>
      <c r="AG606" s="48">
        <f>IFERROR(__xludf.DUMMYFUNCTION("""COMPUTED_VALUE"""),385.0)</f>
        <v>385</v>
      </c>
      <c r="AH606" s="48">
        <f>IFERROR(__xludf.DUMMYFUNCTION("""COMPUTED_VALUE"""),359.0)</f>
        <v>359</v>
      </c>
      <c r="AI606" s="14">
        <f>IFERROR(__xludf.DUMMYFUNCTION("""COMPUTED_VALUE"""),364.6)</f>
        <v>364.6</v>
      </c>
      <c r="AJ606" s="14">
        <f>IFERROR(__xludf.DUMMYFUNCTION("""COMPUTED_VALUE"""),2.87)</f>
        <v>2.87</v>
      </c>
      <c r="AK606" s="14">
        <f>IFERROR(__xludf.DUMMYFUNCTION("""COMPUTED_VALUE"""),2.78)</f>
        <v>2.78</v>
      </c>
      <c r="AL606" s="14">
        <f>IFERROR(__xludf.DUMMYFUNCTION("""COMPUTED_VALUE"""),2.7)</f>
        <v>2.7</v>
      </c>
      <c r="AM606" s="14">
        <f>IFERROR(__xludf.DUMMYFUNCTION("""COMPUTED_VALUE"""),2.65)</f>
        <v>2.65</v>
      </c>
      <c r="AN606" s="14">
        <f>IFERROR(__xludf.DUMMYFUNCTION("""COMPUTED_VALUE"""),2.71)</f>
        <v>2.71</v>
      </c>
      <c r="AO606" s="14">
        <f>IFERROR(__xludf.DUMMYFUNCTION("""COMPUTED_VALUE"""),2.742)</f>
        <v>2.742</v>
      </c>
      <c r="AP606" s="14">
        <f>IFERROR(__xludf.DUMMYFUNCTION("""COMPUTED_VALUE"""),20.0)</f>
        <v>20</v>
      </c>
      <c r="AQ606" s="14">
        <f>IFERROR(__xludf.DUMMYFUNCTION("""COMPUTED_VALUE"""),65.0)</f>
        <v>65</v>
      </c>
      <c r="AR606" s="14">
        <f>IFERROR(__xludf.DUMMYFUNCTION("""COMPUTED_VALUE"""),44.0)</f>
        <v>44</v>
      </c>
      <c r="AS606" s="14">
        <f>IFERROR(__xludf.DUMMYFUNCTION("""COMPUTED_VALUE"""),4.0)</f>
        <v>4</v>
      </c>
      <c r="AT606" s="14">
        <f>IFERROR(__xludf.DUMMYFUNCTION("""COMPUTED_VALUE"""),0.88)</f>
        <v>0.88</v>
      </c>
      <c r="AU606" s="14">
        <f>IFERROR(__xludf.DUMMYFUNCTION("""COMPUTED_VALUE"""),9.81E7)</f>
        <v>98100000</v>
      </c>
      <c r="AV606" s="14">
        <f>IFERROR(__xludf.DUMMYFUNCTION("""COMPUTED_VALUE"""),1.46)</f>
        <v>1.46</v>
      </c>
      <c r="AW606" s="14">
        <f>IFERROR(__xludf.DUMMYFUNCTION("""COMPUTED_VALUE"""),12.6)</f>
        <v>12.6</v>
      </c>
      <c r="AX606" s="14">
        <f>IFERROR(__xludf.DUMMYFUNCTION("""COMPUTED_VALUE"""),1314000.0)</f>
        <v>1314000</v>
      </c>
      <c r="AY606" s="14">
        <f>IFERROR(__xludf.DUMMYFUNCTION("""COMPUTED_VALUE"""),0.7)</f>
        <v>0.7</v>
      </c>
      <c r="AZ606" s="14">
        <f>IFERROR(__xludf.DUMMYFUNCTION("""COMPUTED_VALUE"""),0.007)</f>
        <v>0.007</v>
      </c>
      <c r="BA606" s="14">
        <f t="shared" si="1"/>
        <v>13.307</v>
      </c>
    </row>
    <row r="607" ht="14.25" customHeight="1">
      <c r="A607" s="10" t="str">
        <f>IFERROR(__xludf.DUMMYFUNCTION("""COMPUTED_VALUE"""),"140222WI03")</f>
        <v>140222WI03</v>
      </c>
      <c r="B607" s="12" t="str">
        <f>IFERROR(__xludf.DUMMYFUNCTION("""COMPUTED_VALUE"""),"CRN-El Virrey")</f>
        <v>CRN-El Virrey</v>
      </c>
      <c r="C607" s="12"/>
      <c r="D607" s="12"/>
      <c r="E607" s="44">
        <f>IFERROR(__xludf.DUMMYFUNCTION("""COMPUTED_VALUE"""),44606.0)</f>
        <v>44606</v>
      </c>
      <c r="F607" s="12" t="str">
        <f>IFERROR(__xludf.DUMMYFUNCTION("""COMPUTED_VALUE"""),"TIPO I")</f>
        <v>TIPO I</v>
      </c>
      <c r="G607" s="12" t="str">
        <f>IFERROR(__xludf.DUMMYFUNCTION("""COMPUTED_VALUE"""),"Se observa coloración y material flotante. Se percibe olor.
Altura: 2577 msnm")</f>
        <v>Se observa coloración y material flotante. Se percibe olor.
Altura: 2577 msnm</v>
      </c>
      <c r="H607" s="45">
        <f>IFERROR(__xludf.DUMMYFUNCTION("""COMPUTED_VALUE"""),0.4166666666678793)</f>
        <v>0.4166666667</v>
      </c>
      <c r="I607" s="45">
        <f>IFERROR(__xludf.DUMMYFUNCTION("""COMPUTED_VALUE"""),0.5)</f>
        <v>0.5</v>
      </c>
      <c r="J607" s="12">
        <f>IFERROR(__xludf.DUMMYFUNCTION("""COMPUTED_VALUE"""),2.4)</f>
        <v>2.4</v>
      </c>
      <c r="K607" s="12">
        <f>IFERROR(__xludf.DUMMYFUNCTION("""COMPUTED_VALUE"""),0.16)</f>
        <v>0.16</v>
      </c>
      <c r="L607" s="14">
        <f>IFERROR(__xludf.DUMMYFUNCTION("""COMPUTED_VALUE"""),167.223)</f>
        <v>167.223</v>
      </c>
      <c r="M607" s="14">
        <f>IFERROR(__xludf.DUMMYFUNCTION("""COMPUTED_VALUE"""),172.157)</f>
        <v>172.157</v>
      </c>
      <c r="N607" s="14">
        <f>IFERROR(__xludf.DUMMYFUNCTION("""COMPUTED_VALUE"""),173.192)</f>
        <v>173.192</v>
      </c>
      <c r="O607" s="14">
        <f>IFERROR(__xludf.DUMMYFUNCTION("""COMPUTED_VALUE"""),172.497)</f>
        <v>172.497</v>
      </c>
      <c r="P607" s="14">
        <f>IFERROR(__xludf.DUMMYFUNCTION("""COMPUTED_VALUE"""),171.323)</f>
        <v>171.323</v>
      </c>
      <c r="Q607" s="14">
        <f>IFERROR(__xludf.DUMMYFUNCTION("""COMPUTED_VALUE"""),171.278)</f>
        <v>171.278</v>
      </c>
      <c r="R607" s="48">
        <f>IFERROR(__xludf.DUMMYFUNCTION("""COMPUTED_VALUE"""),6.77)</f>
        <v>6.77</v>
      </c>
      <c r="S607" s="48">
        <f>IFERROR(__xludf.DUMMYFUNCTION("""COMPUTED_VALUE"""),6.46)</f>
        <v>6.46</v>
      </c>
      <c r="T607" s="48">
        <f>IFERROR(__xludf.DUMMYFUNCTION("""COMPUTED_VALUE"""),6.8)</f>
        <v>6.8</v>
      </c>
      <c r="U607" s="48">
        <f>IFERROR(__xludf.DUMMYFUNCTION("""COMPUTED_VALUE"""),6.68)</f>
        <v>6.68</v>
      </c>
      <c r="V607" s="48">
        <f>IFERROR(__xludf.DUMMYFUNCTION("""COMPUTED_VALUE"""),6.81)</f>
        <v>6.81</v>
      </c>
      <c r="W607" s="14">
        <f>IFERROR(__xludf.DUMMYFUNCTION("""COMPUTED_VALUE"""),6.704000000000001)</f>
        <v>6.704</v>
      </c>
      <c r="X607" s="14">
        <f>IFERROR(__xludf.DUMMYFUNCTION("""COMPUTED_VALUE"""),17.9)</f>
        <v>17.9</v>
      </c>
      <c r="Y607" s="14">
        <f>IFERROR(__xludf.DUMMYFUNCTION("""COMPUTED_VALUE"""),17.7)</f>
        <v>17.7</v>
      </c>
      <c r="Z607" s="14">
        <f>IFERROR(__xludf.DUMMYFUNCTION("""COMPUTED_VALUE"""),17.7)</f>
        <v>17.7</v>
      </c>
      <c r="AA607" s="14">
        <f>IFERROR(__xludf.DUMMYFUNCTION("""COMPUTED_VALUE"""),18.4)</f>
        <v>18.4</v>
      </c>
      <c r="AB607" s="14">
        <f>IFERROR(__xludf.DUMMYFUNCTION("""COMPUTED_VALUE"""),18.4)</f>
        <v>18.4</v>
      </c>
      <c r="AC607" s="14">
        <f>IFERROR(__xludf.DUMMYFUNCTION("""COMPUTED_VALUE"""),18.02)</f>
        <v>18.02</v>
      </c>
      <c r="AD607" s="48">
        <f>IFERROR(__xludf.DUMMYFUNCTION("""COMPUTED_VALUE"""),445.0)</f>
        <v>445</v>
      </c>
      <c r="AE607" s="48">
        <f>IFERROR(__xludf.DUMMYFUNCTION("""COMPUTED_VALUE"""),453.0)</f>
        <v>453</v>
      </c>
      <c r="AF607" s="48">
        <f>IFERROR(__xludf.DUMMYFUNCTION("""COMPUTED_VALUE"""),456.0)</f>
        <v>456</v>
      </c>
      <c r="AG607" s="48">
        <f>IFERROR(__xludf.DUMMYFUNCTION("""COMPUTED_VALUE"""),435.0)</f>
        <v>435</v>
      </c>
      <c r="AH607" s="48">
        <f>IFERROR(__xludf.DUMMYFUNCTION("""COMPUTED_VALUE"""),454.0)</f>
        <v>454</v>
      </c>
      <c r="AI607" s="14">
        <f>IFERROR(__xludf.DUMMYFUNCTION("""COMPUTED_VALUE"""),448.6)</f>
        <v>448.6</v>
      </c>
      <c r="AJ607" s="14">
        <f>IFERROR(__xludf.DUMMYFUNCTION("""COMPUTED_VALUE"""),3.49)</f>
        <v>3.49</v>
      </c>
      <c r="AK607" s="14">
        <f>IFERROR(__xludf.DUMMYFUNCTION("""COMPUTED_VALUE"""),3.43)</f>
        <v>3.43</v>
      </c>
      <c r="AL607" s="14">
        <f>IFERROR(__xludf.DUMMYFUNCTION("""COMPUTED_VALUE"""),2.94)</f>
        <v>2.94</v>
      </c>
      <c r="AM607" s="14">
        <f>IFERROR(__xludf.DUMMYFUNCTION("""COMPUTED_VALUE"""),3.15)</f>
        <v>3.15</v>
      </c>
      <c r="AN607" s="14">
        <f>IFERROR(__xludf.DUMMYFUNCTION("""COMPUTED_VALUE"""),3.24)</f>
        <v>3.24</v>
      </c>
      <c r="AO607" s="14">
        <f>IFERROR(__xludf.DUMMYFUNCTION("""COMPUTED_VALUE"""),3.25)</f>
        <v>3.25</v>
      </c>
      <c r="AP607" s="14">
        <f>IFERROR(__xludf.DUMMYFUNCTION("""COMPUTED_VALUE"""),231.0)</f>
        <v>231</v>
      </c>
      <c r="AQ607" s="14">
        <f>IFERROR(__xludf.DUMMYFUNCTION("""COMPUTED_VALUE"""),296.0)</f>
        <v>296</v>
      </c>
      <c r="AR607" s="14">
        <f>IFERROR(__xludf.DUMMYFUNCTION("""COMPUTED_VALUE"""),107.0)</f>
        <v>107</v>
      </c>
      <c r="AS607" s="14">
        <f>IFERROR(__xludf.DUMMYFUNCTION("""COMPUTED_VALUE"""),31.0)</f>
        <v>31</v>
      </c>
      <c r="AT607" s="14">
        <f>IFERROR(__xludf.DUMMYFUNCTION("""COMPUTED_VALUE"""),12.27)</f>
        <v>12.27</v>
      </c>
      <c r="AU607" s="14">
        <f>IFERROR(__xludf.DUMMYFUNCTION("""COMPUTED_VALUE"""),7.28E7)</f>
        <v>72800000</v>
      </c>
      <c r="AV607" s="14">
        <f>IFERROR(__xludf.DUMMYFUNCTION("""COMPUTED_VALUE"""),3.77)</f>
        <v>3.77</v>
      </c>
      <c r="AW607" s="14">
        <f>IFERROR(__xludf.DUMMYFUNCTION("""COMPUTED_VALUE"""),26.6)</f>
        <v>26.6</v>
      </c>
      <c r="AX607" s="14">
        <f>IFERROR(__xludf.DUMMYFUNCTION("""COMPUTED_VALUE"""),689000.0)</f>
        <v>689000</v>
      </c>
      <c r="AY607" s="14">
        <f>IFERROR(__xludf.DUMMYFUNCTION("""COMPUTED_VALUE"""),0.9)</f>
        <v>0.9</v>
      </c>
      <c r="AZ607" s="14">
        <f>IFERROR(__xludf.DUMMYFUNCTION("""COMPUTED_VALUE"""),0.007)</f>
        <v>0.007</v>
      </c>
      <c r="BA607" s="14">
        <f t="shared" si="1"/>
        <v>27.507</v>
      </c>
    </row>
    <row r="608" ht="14.25" customHeight="1">
      <c r="A608" s="10" t="str">
        <f>IFERROR(__xludf.DUMMYFUNCTION("""COMPUTED_VALUE"""),"180222DI01")</f>
        <v>180222DI01</v>
      </c>
      <c r="B608" s="12" t="str">
        <f>IFERROR(__xludf.DUMMYFUNCTION("""COMPUTED_VALUE"""),"HCO-Los Lagartos")</f>
        <v>HCO-Los Lagartos</v>
      </c>
      <c r="C608" s="12"/>
      <c r="D608" s="12"/>
      <c r="E608" s="44">
        <f>IFERROR(__xludf.DUMMYFUNCTION("""COMPUTED_VALUE"""),44610.0)</f>
        <v>44610</v>
      </c>
      <c r="F608" s="12" t="str">
        <f>IFERROR(__xludf.DUMMYFUNCTION("""COMPUTED_VALUE"""),"TIPO I")</f>
        <v>TIPO I</v>
      </c>
      <c r="G608" s="12" t="str">
        <f>IFERROR(__xludf.DUMMYFUNCTION("""COMPUTED_VALUE"""),"Se observa color y se percibe olor. 
Aguas abajo en la confluencia con el río Salitre se observa cambio de color, peces y presencia de sobrenadantes.
Altitud: 2564 m.s.n.m.")</f>
        <v>Se observa color y se percibe olor. 
Aguas abajo en la confluencia con el río Salitre se observa cambio de color, peces y presencia de sobrenadantes.
Altitud: 2564 m.s.n.m.</v>
      </c>
      <c r="H608" s="45">
        <f>IFERROR(__xludf.DUMMYFUNCTION("""COMPUTED_VALUE"""),0.25)</f>
        <v>0.25</v>
      </c>
      <c r="I608" s="45">
        <f>IFERROR(__xludf.DUMMYFUNCTION("""COMPUTED_VALUE"""),0.3333333333321207)</f>
        <v>0.3333333333</v>
      </c>
      <c r="J608" s="12">
        <f>IFERROR(__xludf.DUMMYFUNCTION("""COMPUTED_VALUE"""),6.3)</f>
        <v>6.3</v>
      </c>
      <c r="K608" s="12">
        <f>IFERROR(__xludf.DUMMYFUNCTION("""COMPUTED_VALUE"""),0.47)</f>
        <v>0.47</v>
      </c>
      <c r="L608" s="14">
        <f>IFERROR(__xludf.DUMMYFUNCTION("""COMPUTED_VALUE"""),592.066)</f>
        <v>592.066</v>
      </c>
      <c r="M608" s="14">
        <f>IFERROR(__xludf.DUMMYFUNCTION("""COMPUTED_VALUE"""),602.087)</f>
        <v>602.087</v>
      </c>
      <c r="N608" s="14">
        <f>IFERROR(__xludf.DUMMYFUNCTION("""COMPUTED_VALUE"""),585.824)</f>
        <v>585.824</v>
      </c>
      <c r="O608" s="14">
        <f>IFERROR(__xludf.DUMMYFUNCTION("""COMPUTED_VALUE"""),578.458)</f>
        <v>578.458</v>
      </c>
      <c r="P608" s="14">
        <f>IFERROR(__xludf.DUMMYFUNCTION("""COMPUTED_VALUE"""),578.833)</f>
        <v>578.833</v>
      </c>
      <c r="Q608" s="14">
        <f>IFERROR(__xludf.DUMMYFUNCTION("""COMPUTED_VALUE"""),587.454)</f>
        <v>587.454</v>
      </c>
      <c r="R608" s="48">
        <f>IFERROR(__xludf.DUMMYFUNCTION("""COMPUTED_VALUE"""),7.44)</f>
        <v>7.44</v>
      </c>
      <c r="S608" s="48">
        <f>IFERROR(__xludf.DUMMYFUNCTION("""COMPUTED_VALUE"""),7.39)</f>
        <v>7.39</v>
      </c>
      <c r="T608" s="48">
        <f>IFERROR(__xludf.DUMMYFUNCTION("""COMPUTED_VALUE"""),7.4)</f>
        <v>7.4</v>
      </c>
      <c r="U608" s="48">
        <f>IFERROR(__xludf.DUMMYFUNCTION("""COMPUTED_VALUE"""),7.51)</f>
        <v>7.51</v>
      </c>
      <c r="V608" s="48">
        <f>IFERROR(__xludf.DUMMYFUNCTION("""COMPUTED_VALUE"""),7.56)</f>
        <v>7.56</v>
      </c>
      <c r="W608" s="14">
        <f>IFERROR(__xludf.DUMMYFUNCTION("""COMPUTED_VALUE"""),7.460000000000001)</f>
        <v>7.46</v>
      </c>
      <c r="X608" s="14">
        <f>IFERROR(__xludf.DUMMYFUNCTION("""COMPUTED_VALUE"""),14.8)</f>
        <v>14.8</v>
      </c>
      <c r="Y608" s="14">
        <f>IFERROR(__xludf.DUMMYFUNCTION("""COMPUTED_VALUE"""),14.8)</f>
        <v>14.8</v>
      </c>
      <c r="Z608" s="14">
        <f>IFERROR(__xludf.DUMMYFUNCTION("""COMPUTED_VALUE"""),15.2)</f>
        <v>15.2</v>
      </c>
      <c r="AA608" s="14">
        <f>IFERROR(__xludf.DUMMYFUNCTION("""COMPUTED_VALUE"""),15.2)</f>
        <v>15.2</v>
      </c>
      <c r="AB608" s="14">
        <f>IFERROR(__xludf.DUMMYFUNCTION("""COMPUTED_VALUE"""),15.3)</f>
        <v>15.3</v>
      </c>
      <c r="AC608" s="14">
        <f>IFERROR(__xludf.DUMMYFUNCTION("""COMPUTED_VALUE"""),15.059999999999999)</f>
        <v>15.06</v>
      </c>
      <c r="AD608" s="48">
        <f>IFERROR(__xludf.DUMMYFUNCTION("""COMPUTED_VALUE"""),393.0)</f>
        <v>393</v>
      </c>
      <c r="AE608" s="48">
        <f>IFERROR(__xludf.DUMMYFUNCTION("""COMPUTED_VALUE"""),383.0)</f>
        <v>383</v>
      </c>
      <c r="AF608" s="48">
        <f>IFERROR(__xludf.DUMMYFUNCTION("""COMPUTED_VALUE"""),371.0)</f>
        <v>371</v>
      </c>
      <c r="AG608" s="48">
        <f>IFERROR(__xludf.DUMMYFUNCTION("""COMPUTED_VALUE"""),369.0)</f>
        <v>369</v>
      </c>
      <c r="AH608" s="48">
        <f>IFERROR(__xludf.DUMMYFUNCTION("""COMPUTED_VALUE"""),370.0)</f>
        <v>370</v>
      </c>
      <c r="AI608" s="14">
        <f>IFERROR(__xludf.DUMMYFUNCTION("""COMPUTED_VALUE"""),377.2)</f>
        <v>377.2</v>
      </c>
      <c r="AJ608" s="14">
        <f>IFERROR(__xludf.DUMMYFUNCTION("""COMPUTED_VALUE"""),2.97)</f>
        <v>2.97</v>
      </c>
      <c r="AK608" s="14">
        <f>IFERROR(__xludf.DUMMYFUNCTION("""COMPUTED_VALUE"""),2.87)</f>
        <v>2.87</v>
      </c>
      <c r="AL608" s="14">
        <f>IFERROR(__xludf.DUMMYFUNCTION("""COMPUTED_VALUE"""),2.95)</f>
        <v>2.95</v>
      </c>
      <c r="AM608" s="14">
        <f>IFERROR(__xludf.DUMMYFUNCTION("""COMPUTED_VALUE"""),2.98)</f>
        <v>2.98</v>
      </c>
      <c r="AN608" s="14">
        <f>IFERROR(__xludf.DUMMYFUNCTION("""COMPUTED_VALUE"""),2.95)</f>
        <v>2.95</v>
      </c>
      <c r="AO608" s="14">
        <f>IFERROR(__xludf.DUMMYFUNCTION("""COMPUTED_VALUE"""),2.944)</f>
        <v>2.944</v>
      </c>
      <c r="AP608" s="14">
        <f>IFERROR(__xludf.DUMMYFUNCTION("""COMPUTED_VALUE"""),15.0)</f>
        <v>15</v>
      </c>
      <c r="AQ608" s="14">
        <f>IFERROR(__xludf.DUMMYFUNCTION("""COMPUTED_VALUE"""),42.0)</f>
        <v>42</v>
      </c>
      <c r="AR608" s="14">
        <f>IFERROR(__xludf.DUMMYFUNCTION("""COMPUTED_VALUE"""),27.0)</f>
        <v>27</v>
      </c>
      <c r="AS608" s="14">
        <f>IFERROR(__xludf.DUMMYFUNCTION("""COMPUTED_VALUE"""),1.2)</f>
        <v>1.2</v>
      </c>
      <c r="AT608" s="14">
        <f>IFERROR(__xludf.DUMMYFUNCTION("""COMPUTED_VALUE"""),0.07)</f>
        <v>0.07</v>
      </c>
      <c r="AU608" s="14">
        <f>IFERROR(__xludf.DUMMYFUNCTION("""COMPUTED_VALUE"""),1.006E8)</f>
        <v>100600000</v>
      </c>
      <c r="AV608" s="14">
        <f>IFERROR(__xludf.DUMMYFUNCTION("""COMPUTED_VALUE"""),0.6)</f>
        <v>0.6</v>
      </c>
      <c r="AW608" s="14">
        <f>IFERROR(__xludf.DUMMYFUNCTION("""COMPUTED_VALUE"""),9.0)</f>
        <v>9</v>
      </c>
      <c r="AX608" s="14">
        <f>IFERROR(__xludf.DUMMYFUNCTION("""COMPUTED_VALUE"""),9.82E7)</f>
        <v>98200000</v>
      </c>
      <c r="AY608" s="14">
        <f>IFERROR(__xludf.DUMMYFUNCTION("""COMPUTED_VALUE"""),0.4)</f>
        <v>0.4</v>
      </c>
      <c r="AZ608" s="14">
        <f>IFERROR(__xludf.DUMMYFUNCTION("""COMPUTED_VALUE"""),0.007)</f>
        <v>0.007</v>
      </c>
      <c r="BA608" s="14">
        <f t="shared" si="1"/>
        <v>9.407</v>
      </c>
    </row>
    <row r="609" ht="14.25" customHeight="1">
      <c r="A609" s="10" t="str">
        <f>IFERROR(__xludf.DUMMYFUNCTION("""COMPUTED_VALUE"""),"170222MO02")</f>
        <v>170222MO02</v>
      </c>
      <c r="B609" s="12" t="str">
        <f>IFERROR(__xludf.DUMMYFUNCTION("""COMPUTED_VALUE"""),"COR-Victoria Norte")</f>
        <v>COR-Victoria Norte</v>
      </c>
      <c r="C609" s="12"/>
      <c r="D609" s="12"/>
      <c r="E609" s="44">
        <f>IFERROR(__xludf.DUMMYFUNCTION("""COMPUTED_VALUE"""),44609.0)</f>
        <v>44609</v>
      </c>
      <c r="F609" s="12" t="str">
        <f>IFERROR(__xludf.DUMMYFUNCTION("""COMPUTED_VALUE"""),"TIPO I")</f>
        <v>TIPO I</v>
      </c>
      <c r="G609" s="12" t="str">
        <f>IFERROR(__xludf.DUMMYFUNCTION("""COMPUTED_VALUE"""),"Se observa color y se perciben olores ")</f>
        <v>Se observa color y se perciben olores </v>
      </c>
      <c r="H609" s="45">
        <f>IFERROR(__xludf.DUMMYFUNCTION("""COMPUTED_VALUE"""),0.4166666666678793)</f>
        <v>0.4166666667</v>
      </c>
      <c r="I609" s="45">
        <f>IFERROR(__xludf.DUMMYFUNCTION("""COMPUTED_VALUE"""),0.5)</f>
        <v>0.5</v>
      </c>
      <c r="J609" s="12">
        <f>IFERROR(__xludf.DUMMYFUNCTION("""COMPUTED_VALUE"""),4.7)</f>
        <v>4.7</v>
      </c>
      <c r="K609" s="12">
        <f>IFERROR(__xludf.DUMMYFUNCTION("""COMPUTED_VALUE"""),0.15)</f>
        <v>0.15</v>
      </c>
      <c r="L609" s="14">
        <f>IFERROR(__xludf.DUMMYFUNCTION("""COMPUTED_VALUE"""),174.177)</f>
        <v>174.177</v>
      </c>
      <c r="M609" s="14">
        <f>IFERROR(__xludf.DUMMYFUNCTION("""COMPUTED_VALUE"""),174.922)</f>
        <v>174.922</v>
      </c>
      <c r="N609" s="14">
        <f>IFERROR(__xludf.DUMMYFUNCTION("""COMPUTED_VALUE"""),175.336)</f>
        <v>175.336</v>
      </c>
      <c r="O609" s="14">
        <f>IFERROR(__xludf.DUMMYFUNCTION("""COMPUTED_VALUE"""),175.969)</f>
        <v>175.969</v>
      </c>
      <c r="P609" s="14">
        <f>IFERROR(__xludf.DUMMYFUNCTION("""COMPUTED_VALUE"""),178.193)</f>
        <v>178.193</v>
      </c>
      <c r="Q609" s="14">
        <f>IFERROR(__xludf.DUMMYFUNCTION("""COMPUTED_VALUE"""),175.719)</f>
        <v>175.719</v>
      </c>
      <c r="R609" s="48">
        <f>IFERROR(__xludf.DUMMYFUNCTION("""COMPUTED_VALUE"""),6.47)</f>
        <v>6.47</v>
      </c>
      <c r="S609" s="48">
        <f>IFERROR(__xludf.DUMMYFUNCTION("""COMPUTED_VALUE"""),6.56)</f>
        <v>6.56</v>
      </c>
      <c r="T609" s="48">
        <f>IFERROR(__xludf.DUMMYFUNCTION("""COMPUTED_VALUE"""),6.52)</f>
        <v>6.52</v>
      </c>
      <c r="U609" s="48">
        <f>IFERROR(__xludf.DUMMYFUNCTION("""COMPUTED_VALUE"""),6.67)</f>
        <v>6.67</v>
      </c>
      <c r="V609" s="48">
        <f>IFERROR(__xludf.DUMMYFUNCTION("""COMPUTED_VALUE"""),6.51)</f>
        <v>6.51</v>
      </c>
      <c r="W609" s="14">
        <f>IFERROR(__xludf.DUMMYFUNCTION("""COMPUTED_VALUE"""),6.545999999999999)</f>
        <v>6.546</v>
      </c>
      <c r="X609" s="14">
        <f>IFERROR(__xludf.DUMMYFUNCTION("""COMPUTED_VALUE"""),18.2)</f>
        <v>18.2</v>
      </c>
      <c r="Y609" s="14">
        <f>IFERROR(__xludf.DUMMYFUNCTION("""COMPUTED_VALUE"""),18.4)</f>
        <v>18.4</v>
      </c>
      <c r="Z609" s="14">
        <f>IFERROR(__xludf.DUMMYFUNCTION("""COMPUTED_VALUE"""),18.7)</f>
        <v>18.7</v>
      </c>
      <c r="AA609" s="14">
        <f>IFERROR(__xludf.DUMMYFUNCTION("""COMPUTED_VALUE"""),19.6)</f>
        <v>19.6</v>
      </c>
      <c r="AB609" s="14">
        <f>IFERROR(__xludf.DUMMYFUNCTION("""COMPUTED_VALUE"""),19.3)</f>
        <v>19.3</v>
      </c>
      <c r="AC609" s="14">
        <f>IFERROR(__xludf.DUMMYFUNCTION("""COMPUTED_VALUE"""),18.84)</f>
        <v>18.84</v>
      </c>
      <c r="AD609" s="48">
        <f>IFERROR(__xludf.DUMMYFUNCTION("""COMPUTED_VALUE"""),355.0)</f>
        <v>355</v>
      </c>
      <c r="AE609" s="48">
        <f>IFERROR(__xludf.DUMMYFUNCTION("""COMPUTED_VALUE"""),365.0)</f>
        <v>365</v>
      </c>
      <c r="AF609" s="48">
        <f>IFERROR(__xludf.DUMMYFUNCTION("""COMPUTED_VALUE"""),369.0)</f>
        <v>369</v>
      </c>
      <c r="AG609" s="48">
        <f>IFERROR(__xludf.DUMMYFUNCTION("""COMPUTED_VALUE"""),355.0)</f>
        <v>355</v>
      </c>
      <c r="AH609" s="48">
        <f>IFERROR(__xludf.DUMMYFUNCTION("""COMPUTED_VALUE"""),358.0)</f>
        <v>358</v>
      </c>
      <c r="AI609" s="14">
        <f>IFERROR(__xludf.DUMMYFUNCTION("""COMPUTED_VALUE"""),360.4)</f>
        <v>360.4</v>
      </c>
      <c r="AJ609" s="14">
        <f>IFERROR(__xludf.DUMMYFUNCTION("""COMPUTED_VALUE"""),4.02)</f>
        <v>4.02</v>
      </c>
      <c r="AK609" s="14">
        <f>IFERROR(__xludf.DUMMYFUNCTION("""COMPUTED_VALUE"""),4.33)</f>
        <v>4.33</v>
      </c>
      <c r="AL609" s="14">
        <f>IFERROR(__xludf.DUMMYFUNCTION("""COMPUTED_VALUE"""),4.29)</f>
        <v>4.29</v>
      </c>
      <c r="AM609" s="14">
        <f>IFERROR(__xludf.DUMMYFUNCTION("""COMPUTED_VALUE"""),4.66)</f>
        <v>4.66</v>
      </c>
      <c r="AN609" s="14">
        <f>IFERROR(__xludf.DUMMYFUNCTION("""COMPUTED_VALUE"""),4.2)</f>
        <v>4.2</v>
      </c>
      <c r="AO609" s="14">
        <f>IFERROR(__xludf.DUMMYFUNCTION("""COMPUTED_VALUE"""),4.3)</f>
        <v>4.3</v>
      </c>
      <c r="AP609" s="14">
        <f>IFERROR(__xludf.DUMMYFUNCTION("""COMPUTED_VALUE"""),10.0)</f>
        <v>10</v>
      </c>
      <c r="AQ609" s="14">
        <f>IFERROR(__xludf.DUMMYFUNCTION("""COMPUTED_VALUE"""),20.0)</f>
        <v>20</v>
      </c>
      <c r="AR609" s="14">
        <f>IFERROR(__xludf.DUMMYFUNCTION("""COMPUTED_VALUE"""),48.0)</f>
        <v>48</v>
      </c>
      <c r="AS609" s="14">
        <f>IFERROR(__xludf.DUMMYFUNCTION("""COMPUTED_VALUE"""),1.2)</f>
        <v>1.2</v>
      </c>
      <c r="AT609" s="14">
        <f>IFERROR(__xludf.DUMMYFUNCTION("""COMPUTED_VALUE"""),0.07)</f>
        <v>0.07</v>
      </c>
      <c r="AU609" s="14">
        <f>IFERROR(__xludf.DUMMYFUNCTION("""COMPUTED_VALUE"""),1333000.0)</f>
        <v>1333000</v>
      </c>
      <c r="AV609" s="14">
        <f>IFERROR(__xludf.DUMMYFUNCTION("""COMPUTED_VALUE"""),0.22)</f>
        <v>0.22</v>
      </c>
      <c r="AW609" s="14">
        <f>IFERROR(__xludf.DUMMYFUNCTION("""COMPUTED_VALUE"""),7.6)</f>
        <v>7.6</v>
      </c>
      <c r="AX609" s="14">
        <f>IFERROR(__xludf.DUMMYFUNCTION("""COMPUTED_VALUE"""),105800.0)</f>
        <v>105800</v>
      </c>
      <c r="AY609" s="14">
        <f>IFERROR(__xludf.DUMMYFUNCTION("""COMPUTED_VALUE"""),3.8)</f>
        <v>3.8</v>
      </c>
      <c r="AZ609" s="14">
        <f>IFERROR(__xludf.DUMMYFUNCTION("""COMPUTED_VALUE"""),0.344)</f>
        <v>0.344</v>
      </c>
      <c r="BA609" s="14">
        <f t="shared" si="1"/>
        <v>11.744</v>
      </c>
    </row>
    <row r="610" ht="14.25" customHeight="1">
      <c r="A610" s="10" t="str">
        <f>IFERROR(__xludf.DUMMYFUNCTION("""COMPUTED_VALUE"""),"090322DI01")</f>
        <v>090322DI01</v>
      </c>
      <c r="B610" s="12" t="str">
        <f>IFERROR(__xludf.DUMMYFUNCTION("""COMPUTED_VALUE"""),"QSL-Alfonso López")</f>
        <v>QSL-Alfonso López</v>
      </c>
      <c r="C610" s="12"/>
      <c r="D610" s="12"/>
      <c r="E610" s="44">
        <f>IFERROR(__xludf.DUMMYFUNCTION("""COMPUTED_VALUE"""),44629.0)</f>
        <v>44629</v>
      </c>
      <c r="F610" s="12" t="str">
        <f>IFERROR(__xludf.DUMMYFUNCTION("""COMPUTED_VALUE"""),"TIPO I")</f>
        <v>TIPO I</v>
      </c>
      <c r="G610" s="12" t="str">
        <f>IFERROR(__xludf.DUMMYFUNCTION("""COMPUTED_VALUE"""),"Lecho del cauce rocoso - arenoso. En el momento del monitoreo se presenta color y residuos sólidos.  ")</f>
        <v>Lecho del cauce rocoso - arenoso. En el momento del monitoreo se presenta color y residuos sólidos.  </v>
      </c>
      <c r="H610" s="45">
        <f>IFERROR(__xludf.DUMMYFUNCTION("""COMPUTED_VALUE"""),0.3333333333321207)</f>
        <v>0.3333333333</v>
      </c>
      <c r="I610" s="45">
        <f>IFERROR(__xludf.DUMMYFUNCTION("""COMPUTED_VALUE"""),0.4166666666678793)</f>
        <v>0.4166666667</v>
      </c>
      <c r="J610" s="12">
        <f>IFERROR(__xludf.DUMMYFUNCTION("""COMPUTED_VALUE"""),1.3)</f>
        <v>1.3</v>
      </c>
      <c r="K610" s="12">
        <f>IFERROR(__xludf.DUMMYFUNCTION("""COMPUTED_VALUE"""),0.07)</f>
        <v>0.07</v>
      </c>
      <c r="L610" s="14">
        <f>IFERROR(__xludf.DUMMYFUNCTION("""COMPUTED_VALUE"""),20.02)</f>
        <v>20.02</v>
      </c>
      <c r="M610" s="14">
        <f>IFERROR(__xludf.DUMMYFUNCTION("""COMPUTED_VALUE"""),20.31)</f>
        <v>20.31</v>
      </c>
      <c r="N610" s="14">
        <f>IFERROR(__xludf.DUMMYFUNCTION("""COMPUTED_VALUE"""),21.055)</f>
        <v>21.055</v>
      </c>
      <c r="O610" s="14">
        <f>IFERROR(__xludf.DUMMYFUNCTION("""COMPUTED_VALUE"""),21.206)</f>
        <v>21.206</v>
      </c>
      <c r="P610" s="14">
        <f>IFERROR(__xludf.DUMMYFUNCTION("""COMPUTED_VALUE"""),21.47)</f>
        <v>21.47</v>
      </c>
      <c r="Q610" s="14">
        <f>IFERROR(__xludf.DUMMYFUNCTION("""COMPUTED_VALUE"""),20.812)</f>
        <v>20.812</v>
      </c>
      <c r="R610" s="48">
        <f>IFERROR(__xludf.DUMMYFUNCTION("""COMPUTED_VALUE"""),6.49)</f>
        <v>6.49</v>
      </c>
      <c r="S610" s="48">
        <f>IFERROR(__xludf.DUMMYFUNCTION("""COMPUTED_VALUE"""),6.56)</f>
        <v>6.56</v>
      </c>
      <c r="T610" s="48">
        <f>IFERROR(__xludf.DUMMYFUNCTION("""COMPUTED_VALUE"""),6.69)</f>
        <v>6.69</v>
      </c>
      <c r="U610" s="48">
        <f>IFERROR(__xludf.DUMMYFUNCTION("""COMPUTED_VALUE"""),6.77)</f>
        <v>6.77</v>
      </c>
      <c r="V610" s="48">
        <f>IFERROR(__xludf.DUMMYFUNCTION("""COMPUTED_VALUE"""),6.52)</f>
        <v>6.52</v>
      </c>
      <c r="W610" s="14">
        <f>IFERROR(__xludf.DUMMYFUNCTION("""COMPUTED_VALUE"""),6.606)</f>
        <v>6.606</v>
      </c>
      <c r="X610" s="14">
        <f>IFERROR(__xludf.DUMMYFUNCTION("""COMPUTED_VALUE"""),9.5)</f>
        <v>9.5</v>
      </c>
      <c r="Y610" s="14">
        <f>IFERROR(__xludf.DUMMYFUNCTION("""COMPUTED_VALUE"""),10.1)</f>
        <v>10.1</v>
      </c>
      <c r="Z610" s="14">
        <f>IFERROR(__xludf.DUMMYFUNCTION("""COMPUTED_VALUE"""),9.6)</f>
        <v>9.6</v>
      </c>
      <c r="AA610" s="14">
        <f>IFERROR(__xludf.DUMMYFUNCTION("""COMPUTED_VALUE"""),9.9)</f>
        <v>9.9</v>
      </c>
      <c r="AB610" s="14">
        <f>IFERROR(__xludf.DUMMYFUNCTION("""COMPUTED_VALUE"""),10.1)</f>
        <v>10.1</v>
      </c>
      <c r="AC610" s="14">
        <f>IFERROR(__xludf.DUMMYFUNCTION("""COMPUTED_VALUE"""),9.84)</f>
        <v>9.84</v>
      </c>
      <c r="AD610" s="48">
        <f>IFERROR(__xludf.DUMMYFUNCTION("""COMPUTED_VALUE"""),320.0)</f>
        <v>320</v>
      </c>
      <c r="AE610" s="48">
        <f>IFERROR(__xludf.DUMMYFUNCTION("""COMPUTED_VALUE"""),291.0)</f>
        <v>291</v>
      </c>
      <c r="AF610" s="48">
        <f>IFERROR(__xludf.DUMMYFUNCTION("""COMPUTED_VALUE"""),290.0)</f>
        <v>290</v>
      </c>
      <c r="AG610" s="48">
        <f>IFERROR(__xludf.DUMMYFUNCTION("""COMPUTED_VALUE"""),293.0)</f>
        <v>293</v>
      </c>
      <c r="AH610" s="48">
        <f>IFERROR(__xludf.DUMMYFUNCTION("""COMPUTED_VALUE"""),288.0)</f>
        <v>288</v>
      </c>
      <c r="AI610" s="14">
        <f>IFERROR(__xludf.DUMMYFUNCTION("""COMPUTED_VALUE"""),296.4)</f>
        <v>296.4</v>
      </c>
      <c r="AJ610" s="14">
        <f>IFERROR(__xludf.DUMMYFUNCTION("""COMPUTED_VALUE"""),5.99)</f>
        <v>5.99</v>
      </c>
      <c r="AK610" s="14">
        <f>IFERROR(__xludf.DUMMYFUNCTION("""COMPUTED_VALUE"""),6.44)</f>
        <v>6.44</v>
      </c>
      <c r="AL610" s="14">
        <f>IFERROR(__xludf.DUMMYFUNCTION("""COMPUTED_VALUE"""),6.48)</f>
        <v>6.48</v>
      </c>
      <c r="AM610" s="14">
        <f>IFERROR(__xludf.DUMMYFUNCTION("""COMPUTED_VALUE"""),6.1)</f>
        <v>6.1</v>
      </c>
      <c r="AN610" s="14">
        <f>IFERROR(__xludf.DUMMYFUNCTION("""COMPUTED_VALUE"""),6.23)</f>
        <v>6.23</v>
      </c>
      <c r="AO610" s="14">
        <f>IFERROR(__xludf.DUMMYFUNCTION("""COMPUTED_VALUE"""),6.247999999999999)</f>
        <v>6.248</v>
      </c>
      <c r="AP610" s="14">
        <f>IFERROR(__xludf.DUMMYFUNCTION("""COMPUTED_VALUE"""),3.0)</f>
        <v>3</v>
      </c>
      <c r="AQ610" s="14">
        <f>IFERROR(__xludf.DUMMYFUNCTION("""COMPUTED_VALUE"""),17.0)</f>
        <v>17</v>
      </c>
      <c r="AR610" s="14">
        <f>IFERROR(__xludf.DUMMYFUNCTION("""COMPUTED_VALUE"""),18.0)</f>
        <v>18</v>
      </c>
      <c r="AS610" s="14">
        <f>IFERROR(__xludf.DUMMYFUNCTION("""COMPUTED_VALUE"""),1.2)</f>
        <v>1.2</v>
      </c>
      <c r="AT610" s="14">
        <f>IFERROR(__xludf.DUMMYFUNCTION("""COMPUTED_VALUE"""),0.07)</f>
        <v>0.07</v>
      </c>
      <c r="AU610" s="14">
        <f>IFERROR(__xludf.DUMMYFUNCTION("""COMPUTED_VALUE"""),8470.0)</f>
        <v>8470</v>
      </c>
      <c r="AV610" s="14">
        <f>IFERROR(__xludf.DUMMYFUNCTION("""COMPUTED_VALUE"""),0.48)</f>
        <v>0.48</v>
      </c>
      <c r="AW610" s="14">
        <f>IFERROR(__xludf.DUMMYFUNCTION("""COMPUTED_VALUE"""),5.9)</f>
        <v>5.9</v>
      </c>
      <c r="AX610" s="14">
        <f>IFERROR(__xludf.DUMMYFUNCTION("""COMPUTED_VALUE"""),6290.0)</f>
        <v>6290</v>
      </c>
      <c r="AY610" s="14">
        <f>IFERROR(__xludf.DUMMYFUNCTION("""COMPUTED_VALUE"""),3.9)</f>
        <v>3.9</v>
      </c>
      <c r="AZ610" s="14">
        <f>IFERROR(__xludf.DUMMYFUNCTION("""COMPUTED_VALUE"""),0.12)</f>
        <v>0.12</v>
      </c>
      <c r="BA610" s="14">
        <f t="shared" si="1"/>
        <v>9.92</v>
      </c>
    </row>
    <row r="611" ht="14.25" customHeight="1">
      <c r="A611" s="10" t="str">
        <f>IFERROR(__xludf.DUMMYFUNCTION("""COMPUTED_VALUE"""),"090322DI03")</f>
        <v>090322DI03</v>
      </c>
      <c r="B611" s="12" t="str">
        <f>IFERROR(__xludf.DUMMYFUNCTION("""COMPUTED_VALUE"""),"QSL-Portal Usme")</f>
        <v>QSL-Portal Usme</v>
      </c>
      <c r="C611" s="12"/>
      <c r="D611" s="12"/>
      <c r="E611" s="44">
        <f>IFERROR(__xludf.DUMMYFUNCTION("""COMPUTED_VALUE"""),44629.0)</f>
        <v>44629</v>
      </c>
      <c r="F611" s="12" t="str">
        <f>IFERROR(__xludf.DUMMYFUNCTION("""COMPUTED_VALUE"""),"TIPO I")</f>
        <v>TIPO I</v>
      </c>
      <c r="G611" s="12" t="str">
        <f>IFERROR(__xludf.DUMMYFUNCTION("""COMPUTED_VALUE"""),"Lecho en concreto, presencia de olor y color, aguas abajo se observa acumulación de escombros los cuales obstruyen el flujo del cauce. ")</f>
        <v>Lecho en concreto, presencia de olor y color, aguas abajo se observa acumulación de escombros los cuales obstruyen el flujo del cauce. </v>
      </c>
      <c r="H611" s="45">
        <f>IFERROR(__xludf.DUMMYFUNCTION("""COMPUTED_VALUE"""),0.6666666666678793)</f>
        <v>0.6666666667</v>
      </c>
      <c r="I611" s="45">
        <f>IFERROR(__xludf.DUMMYFUNCTION("""COMPUTED_VALUE"""),0.75)</f>
        <v>0.75</v>
      </c>
      <c r="J611" s="12">
        <f>IFERROR(__xludf.DUMMYFUNCTION("""COMPUTED_VALUE"""),1.8)</f>
        <v>1.8</v>
      </c>
      <c r="K611" s="12">
        <f>IFERROR(__xludf.DUMMYFUNCTION("""COMPUTED_VALUE"""),0.17)</f>
        <v>0.17</v>
      </c>
      <c r="L611" s="14">
        <f>IFERROR(__xludf.DUMMYFUNCTION("""COMPUTED_VALUE"""),69.792)</f>
        <v>69.792</v>
      </c>
      <c r="M611" s="14">
        <f>IFERROR(__xludf.DUMMYFUNCTION("""COMPUTED_VALUE"""),71.115)</f>
        <v>71.115</v>
      </c>
      <c r="N611" s="14">
        <f>IFERROR(__xludf.DUMMYFUNCTION("""COMPUTED_VALUE"""),71.146)</f>
        <v>71.146</v>
      </c>
      <c r="O611" s="14">
        <f>IFERROR(__xludf.DUMMYFUNCTION("""COMPUTED_VALUE"""),71.267)</f>
        <v>71.267</v>
      </c>
      <c r="P611" s="14">
        <f>IFERROR(__xludf.DUMMYFUNCTION("""COMPUTED_VALUE"""),72.246)</f>
        <v>72.246</v>
      </c>
      <c r="Q611" s="14">
        <f>IFERROR(__xludf.DUMMYFUNCTION("""COMPUTED_VALUE"""),71.113)</f>
        <v>71.113</v>
      </c>
      <c r="R611" s="48">
        <f>IFERROR(__xludf.DUMMYFUNCTION("""COMPUTED_VALUE"""),7.18)</f>
        <v>7.18</v>
      </c>
      <c r="S611" s="48">
        <f>IFERROR(__xludf.DUMMYFUNCTION("""COMPUTED_VALUE"""),6.49)</f>
        <v>6.49</v>
      </c>
      <c r="T611" s="48">
        <f>IFERROR(__xludf.DUMMYFUNCTION("""COMPUTED_VALUE"""),6.41)</f>
        <v>6.41</v>
      </c>
      <c r="U611" s="48">
        <f>IFERROR(__xludf.DUMMYFUNCTION("""COMPUTED_VALUE"""),6.36)</f>
        <v>6.36</v>
      </c>
      <c r="V611" s="48">
        <f>IFERROR(__xludf.DUMMYFUNCTION("""COMPUTED_VALUE"""),6.66)</f>
        <v>6.66</v>
      </c>
      <c r="W611" s="14">
        <f>IFERROR(__xludf.DUMMYFUNCTION("""COMPUTED_VALUE"""),6.619999999999999)</f>
        <v>6.62</v>
      </c>
      <c r="X611" s="14">
        <f>IFERROR(__xludf.DUMMYFUNCTION("""COMPUTED_VALUE"""),15.4)</f>
        <v>15.4</v>
      </c>
      <c r="Y611" s="14">
        <f>IFERROR(__xludf.DUMMYFUNCTION("""COMPUTED_VALUE"""),15.4)</f>
        <v>15.4</v>
      </c>
      <c r="Z611" s="14">
        <f>IFERROR(__xludf.DUMMYFUNCTION("""COMPUTED_VALUE"""),15.0)</f>
        <v>15</v>
      </c>
      <c r="AA611" s="14">
        <f>IFERROR(__xludf.DUMMYFUNCTION("""COMPUTED_VALUE"""),14.9)</f>
        <v>14.9</v>
      </c>
      <c r="AB611" s="14">
        <f>IFERROR(__xludf.DUMMYFUNCTION("""COMPUTED_VALUE"""),14.8)</f>
        <v>14.8</v>
      </c>
      <c r="AC611" s="14">
        <f>IFERROR(__xludf.DUMMYFUNCTION("""COMPUTED_VALUE"""),15.1)</f>
        <v>15.1</v>
      </c>
      <c r="AD611" s="48">
        <f>IFERROR(__xludf.DUMMYFUNCTION("""COMPUTED_VALUE"""),278.0)</f>
        <v>278</v>
      </c>
      <c r="AE611" s="48">
        <f>IFERROR(__xludf.DUMMYFUNCTION("""COMPUTED_VALUE"""),415.0)</f>
        <v>415</v>
      </c>
      <c r="AF611" s="48">
        <f>IFERROR(__xludf.DUMMYFUNCTION("""COMPUTED_VALUE"""),426.0)</f>
        <v>426</v>
      </c>
      <c r="AG611" s="48">
        <f>IFERROR(__xludf.DUMMYFUNCTION("""COMPUTED_VALUE"""),430.0)</f>
        <v>430</v>
      </c>
      <c r="AH611" s="48">
        <f>IFERROR(__xludf.DUMMYFUNCTION("""COMPUTED_VALUE"""),372.0)</f>
        <v>372</v>
      </c>
      <c r="AI611" s="14">
        <f>IFERROR(__xludf.DUMMYFUNCTION("""COMPUTED_VALUE"""),384.2)</f>
        <v>384.2</v>
      </c>
      <c r="AJ611" s="14">
        <f>IFERROR(__xludf.DUMMYFUNCTION("""COMPUTED_VALUE"""),3.55)</f>
        <v>3.55</v>
      </c>
      <c r="AK611" s="14">
        <f>IFERROR(__xludf.DUMMYFUNCTION("""COMPUTED_VALUE"""),3.26)</f>
        <v>3.26</v>
      </c>
      <c r="AL611" s="14">
        <f>IFERROR(__xludf.DUMMYFUNCTION("""COMPUTED_VALUE"""),3.68)</f>
        <v>3.68</v>
      </c>
      <c r="AM611" s="14">
        <f>IFERROR(__xludf.DUMMYFUNCTION("""COMPUTED_VALUE"""),3.48)</f>
        <v>3.48</v>
      </c>
      <c r="AN611" s="14">
        <f>IFERROR(__xludf.DUMMYFUNCTION("""COMPUTED_VALUE"""),3.5)</f>
        <v>3.5</v>
      </c>
      <c r="AO611" s="14">
        <f>IFERROR(__xludf.DUMMYFUNCTION("""COMPUTED_VALUE"""),3.4939999999999998)</f>
        <v>3.494</v>
      </c>
      <c r="AP611" s="14">
        <f>IFERROR(__xludf.DUMMYFUNCTION("""COMPUTED_VALUE"""),72.0)</f>
        <v>72</v>
      </c>
      <c r="AQ611" s="14">
        <f>IFERROR(__xludf.DUMMYFUNCTION("""COMPUTED_VALUE"""),120.0)</f>
        <v>120</v>
      </c>
      <c r="AR611" s="14">
        <f>IFERROR(__xludf.DUMMYFUNCTION("""COMPUTED_VALUE"""),30.0)</f>
        <v>30</v>
      </c>
      <c r="AS611" s="14">
        <f>IFERROR(__xludf.DUMMYFUNCTION("""COMPUTED_VALUE"""),1.2)</f>
        <v>1.2</v>
      </c>
      <c r="AT611" s="14">
        <f>IFERROR(__xludf.DUMMYFUNCTION("""COMPUTED_VALUE"""),0.07)</f>
        <v>0.07</v>
      </c>
      <c r="AU611" s="14">
        <f>IFERROR(__xludf.DUMMYFUNCTION("""COMPUTED_VALUE"""),8090000.0)</f>
        <v>8090000</v>
      </c>
      <c r="AV611" s="14">
        <f>IFERROR(__xludf.DUMMYFUNCTION("""COMPUTED_VALUE"""),0.99)</f>
        <v>0.99</v>
      </c>
      <c r="AW611" s="14">
        <f>IFERROR(__xludf.DUMMYFUNCTION("""COMPUTED_VALUE"""),8.7)</f>
        <v>8.7</v>
      </c>
      <c r="AX611" s="14">
        <f>IFERROR(__xludf.DUMMYFUNCTION("""COMPUTED_VALUE"""),1143000.0)</f>
        <v>1143000</v>
      </c>
      <c r="AY611" s="14">
        <f>IFERROR(__xludf.DUMMYFUNCTION("""COMPUTED_VALUE"""),0.4)</f>
        <v>0.4</v>
      </c>
      <c r="AZ611" s="14">
        <f>IFERROR(__xludf.DUMMYFUNCTION("""COMPUTED_VALUE"""),0.007)</f>
        <v>0.007</v>
      </c>
      <c r="BA611" s="14">
        <f t="shared" si="1"/>
        <v>9.107</v>
      </c>
    </row>
    <row r="612" ht="14.25" customHeight="1">
      <c r="A612" s="10" t="str">
        <f>IFERROR(__xludf.DUMMYFUNCTION("""COMPUTED_VALUE"""),"100322CA02")</f>
        <v>100322CA02</v>
      </c>
      <c r="B612" s="12" t="str">
        <f>IFERROR(__xludf.DUMMYFUNCTION("""COMPUTED_VALUE"""),"QTR-Quiba")</f>
        <v>QTR-Quiba</v>
      </c>
      <c r="C612" s="12"/>
      <c r="D612" s="12"/>
      <c r="E612" s="44">
        <f>IFERROR(__xludf.DUMMYFUNCTION("""COMPUTED_VALUE"""),44630.0)</f>
        <v>44630</v>
      </c>
      <c r="F612" s="12" t="str">
        <f>IFERROR(__xludf.DUMMYFUNCTION("""COMPUTED_VALUE"""),"TIPO I")</f>
        <v>TIPO I</v>
      </c>
      <c r="G612" s="12" t="str">
        <f>IFERROR(__xludf.DUMMYFUNCTION("""COMPUTED_VALUE"""),"Se presenta un lecho rocoso-arenoso, no se percibe olor. Se observa color y presencia de sedimento.  ")</f>
        <v>Se presenta un lecho rocoso-arenoso, no se percibe olor. Se observa color y presencia de sedimento.  </v>
      </c>
      <c r="H612" s="45">
        <f>IFERROR(__xludf.DUMMYFUNCTION("""COMPUTED_VALUE"""),0.4166666666678793)</f>
        <v>0.4166666667</v>
      </c>
      <c r="I612" s="45">
        <f>IFERROR(__xludf.DUMMYFUNCTION("""COMPUTED_VALUE"""),0.5)</f>
        <v>0.5</v>
      </c>
      <c r="J612" s="12">
        <f>IFERROR(__xludf.DUMMYFUNCTION("""COMPUTED_VALUE"""),1.2)</f>
        <v>1.2</v>
      </c>
      <c r="K612" s="12">
        <f>IFERROR(__xludf.DUMMYFUNCTION("""COMPUTED_VALUE"""),0.12)</f>
        <v>0.12</v>
      </c>
      <c r="L612" s="14">
        <f>IFERROR(__xludf.DUMMYFUNCTION("""COMPUTED_VALUE"""),38.978)</f>
        <v>38.978</v>
      </c>
      <c r="M612" s="14">
        <f>IFERROR(__xludf.DUMMYFUNCTION("""COMPUTED_VALUE"""),39.226)</f>
        <v>39.226</v>
      </c>
      <c r="N612" s="14">
        <f>IFERROR(__xludf.DUMMYFUNCTION("""COMPUTED_VALUE"""),39.338)</f>
        <v>39.338</v>
      </c>
      <c r="O612" s="14">
        <f>IFERROR(__xludf.DUMMYFUNCTION("""COMPUTED_VALUE"""),39.465)</f>
        <v>39.465</v>
      </c>
      <c r="P612" s="14">
        <f>IFERROR(__xludf.DUMMYFUNCTION("""COMPUTED_VALUE"""),39.791)</f>
        <v>39.791</v>
      </c>
      <c r="Q612" s="14">
        <f>IFERROR(__xludf.DUMMYFUNCTION("""COMPUTED_VALUE"""),39.359)</f>
        <v>39.359</v>
      </c>
      <c r="R612" s="48">
        <f>IFERROR(__xludf.DUMMYFUNCTION("""COMPUTED_VALUE"""),7.83)</f>
        <v>7.83</v>
      </c>
      <c r="S612" s="48">
        <f>IFERROR(__xludf.DUMMYFUNCTION("""COMPUTED_VALUE"""),7.96)</f>
        <v>7.96</v>
      </c>
      <c r="T612" s="48">
        <f>IFERROR(__xludf.DUMMYFUNCTION("""COMPUTED_VALUE"""),7.55)</f>
        <v>7.55</v>
      </c>
      <c r="U612" s="48">
        <f>IFERROR(__xludf.DUMMYFUNCTION("""COMPUTED_VALUE"""),7.69)</f>
        <v>7.69</v>
      </c>
      <c r="V612" s="48">
        <f>IFERROR(__xludf.DUMMYFUNCTION("""COMPUTED_VALUE"""),7.59)</f>
        <v>7.59</v>
      </c>
      <c r="W612" s="14">
        <f>IFERROR(__xludf.DUMMYFUNCTION("""COMPUTED_VALUE"""),7.724000000000001)</f>
        <v>7.724</v>
      </c>
      <c r="X612" s="14">
        <f>IFERROR(__xludf.DUMMYFUNCTION("""COMPUTED_VALUE"""),13.0)</f>
        <v>13</v>
      </c>
      <c r="Y612" s="14">
        <f>IFERROR(__xludf.DUMMYFUNCTION("""COMPUTED_VALUE"""),13.1)</f>
        <v>13.1</v>
      </c>
      <c r="Z612" s="14">
        <f>IFERROR(__xludf.DUMMYFUNCTION("""COMPUTED_VALUE"""),14.4)</f>
        <v>14.4</v>
      </c>
      <c r="AA612" s="14">
        <f>IFERROR(__xludf.DUMMYFUNCTION("""COMPUTED_VALUE"""),14.6)</f>
        <v>14.6</v>
      </c>
      <c r="AB612" s="14">
        <f>IFERROR(__xludf.DUMMYFUNCTION("""COMPUTED_VALUE"""),14.7)</f>
        <v>14.7</v>
      </c>
      <c r="AC612" s="14">
        <f>IFERROR(__xludf.DUMMYFUNCTION("""COMPUTED_VALUE"""),13.959999999999999)</f>
        <v>13.96</v>
      </c>
      <c r="AD612" s="48">
        <f>IFERROR(__xludf.DUMMYFUNCTION("""COMPUTED_VALUE"""),505.0)</f>
        <v>505</v>
      </c>
      <c r="AE612" s="48">
        <f>IFERROR(__xludf.DUMMYFUNCTION("""COMPUTED_VALUE"""),537.0)</f>
        <v>537</v>
      </c>
      <c r="AF612" s="48">
        <f>IFERROR(__xludf.DUMMYFUNCTION("""COMPUTED_VALUE"""),544.0)</f>
        <v>544</v>
      </c>
      <c r="AG612" s="48">
        <f>IFERROR(__xludf.DUMMYFUNCTION("""COMPUTED_VALUE"""),549.0)</f>
        <v>549</v>
      </c>
      <c r="AH612" s="48">
        <f>IFERROR(__xludf.DUMMYFUNCTION("""COMPUTED_VALUE"""),546.0)</f>
        <v>546</v>
      </c>
      <c r="AI612" s="14">
        <f>IFERROR(__xludf.DUMMYFUNCTION("""COMPUTED_VALUE"""),536.2)</f>
        <v>536.2</v>
      </c>
      <c r="AJ612" s="14">
        <f>IFERROR(__xludf.DUMMYFUNCTION("""COMPUTED_VALUE"""),4.91)</f>
        <v>4.91</v>
      </c>
      <c r="AK612" s="14">
        <f>IFERROR(__xludf.DUMMYFUNCTION("""COMPUTED_VALUE"""),4.2)</f>
        <v>4.2</v>
      </c>
      <c r="AL612" s="14">
        <f>IFERROR(__xludf.DUMMYFUNCTION("""COMPUTED_VALUE"""),5.04)</f>
        <v>5.04</v>
      </c>
      <c r="AM612" s="14">
        <f>IFERROR(__xludf.DUMMYFUNCTION("""COMPUTED_VALUE"""),5.46)</f>
        <v>5.46</v>
      </c>
      <c r="AN612" s="14">
        <f>IFERROR(__xludf.DUMMYFUNCTION("""COMPUTED_VALUE"""),4.97)</f>
        <v>4.97</v>
      </c>
      <c r="AO612" s="14">
        <f>IFERROR(__xludf.DUMMYFUNCTION("""COMPUTED_VALUE"""),4.9159999999999995)</f>
        <v>4.916</v>
      </c>
      <c r="AP612" s="14">
        <f>IFERROR(__xludf.DUMMYFUNCTION("""COMPUTED_VALUE"""),120.0)</f>
        <v>120</v>
      </c>
      <c r="AQ612" s="14">
        <f>IFERROR(__xludf.DUMMYFUNCTION("""COMPUTED_VALUE"""),165.0)</f>
        <v>165</v>
      </c>
      <c r="AR612" s="14">
        <f>IFERROR(__xludf.DUMMYFUNCTION("""COMPUTED_VALUE"""),210.0)</f>
        <v>210</v>
      </c>
      <c r="AS612" s="14">
        <f>IFERROR(__xludf.DUMMYFUNCTION("""COMPUTED_VALUE"""),1.2)</f>
        <v>1.2</v>
      </c>
      <c r="AT612" s="14">
        <f>IFERROR(__xludf.DUMMYFUNCTION("""COMPUTED_VALUE"""),1.52)</f>
        <v>1.52</v>
      </c>
      <c r="AU612" s="14">
        <f>IFERROR(__xludf.DUMMYFUNCTION("""COMPUTED_VALUE"""),1.169E7)</f>
        <v>11690000</v>
      </c>
      <c r="AV612" s="14">
        <f>IFERROR(__xludf.DUMMYFUNCTION("""COMPUTED_VALUE"""),3.19)</f>
        <v>3.19</v>
      </c>
      <c r="AW612" s="14">
        <f>IFERROR(__xludf.DUMMYFUNCTION("""COMPUTED_VALUE"""),37.2)</f>
        <v>37.2</v>
      </c>
      <c r="AX612" s="14">
        <f>IFERROR(__xludf.DUMMYFUNCTION("""COMPUTED_VALUE"""),1236000.0)</f>
        <v>1236000</v>
      </c>
      <c r="AY612" s="14">
        <f>IFERROR(__xludf.DUMMYFUNCTION("""COMPUTED_VALUE"""),2.5)</f>
        <v>2.5</v>
      </c>
      <c r="AZ612" s="14">
        <f>IFERROR(__xludf.DUMMYFUNCTION("""COMPUTED_VALUE"""),0.007)</f>
        <v>0.007</v>
      </c>
      <c r="BA612" s="14">
        <f t="shared" si="1"/>
        <v>39.707</v>
      </c>
    </row>
    <row r="613" ht="14.25" customHeight="1">
      <c r="A613" s="10" t="str">
        <f>IFERROR(__xludf.DUMMYFUNCTION("""COMPUTED_VALUE"""),"100322CA01")</f>
        <v>100322CA01</v>
      </c>
      <c r="B613" s="12" t="str">
        <f>IFERROR(__xludf.DUMMYFUNCTION("""COMPUTED_VALUE"""),"QTR-Mochuelo Bajo")</f>
        <v>QTR-Mochuelo Bajo</v>
      </c>
      <c r="C613" s="12"/>
      <c r="D613" s="12"/>
      <c r="E613" s="44">
        <f>IFERROR(__xludf.DUMMYFUNCTION("""COMPUTED_VALUE"""),44630.0)</f>
        <v>44630</v>
      </c>
      <c r="F613" s="12" t="str">
        <f>IFERROR(__xludf.DUMMYFUNCTION("""COMPUTED_VALUE"""),"TIPO I")</f>
        <v>TIPO I</v>
      </c>
      <c r="G613" s="12" t="str">
        <f>IFERROR(__xludf.DUMMYFUNCTION("""COMPUTED_VALUE"""),"Lecho rocoso - arenoso, presenta color y olor, se evidencia espuma desde las 07:30 am, cambio de color aparente.")</f>
        <v>Lecho rocoso - arenoso, presenta color y olor, se evidencia espuma desde las 07:30 am, cambio de color aparente.</v>
      </c>
      <c r="H613" s="45">
        <f>IFERROR(__xludf.DUMMYFUNCTION("""COMPUTED_VALUE"""),0.25)</f>
        <v>0.25</v>
      </c>
      <c r="I613" s="45">
        <f>IFERROR(__xludf.DUMMYFUNCTION("""COMPUTED_VALUE"""),0.3333333333321207)</f>
        <v>0.3333333333</v>
      </c>
      <c r="J613" s="12">
        <f>IFERROR(__xludf.DUMMYFUNCTION("""COMPUTED_VALUE"""),1.1)</f>
        <v>1.1</v>
      </c>
      <c r="K613" s="12">
        <f>IFERROR(__xludf.DUMMYFUNCTION("""COMPUTED_VALUE"""),0.14)</f>
        <v>0.14</v>
      </c>
      <c r="L613" s="14">
        <f>IFERROR(__xludf.DUMMYFUNCTION("""COMPUTED_VALUE"""),20.462)</f>
        <v>20.462</v>
      </c>
      <c r="M613" s="14">
        <f>IFERROR(__xludf.DUMMYFUNCTION("""COMPUTED_VALUE"""),20.877)</f>
        <v>20.877</v>
      </c>
      <c r="N613" s="14">
        <f>IFERROR(__xludf.DUMMYFUNCTION("""COMPUTED_VALUE"""),21.345)</f>
        <v>21.345</v>
      </c>
      <c r="O613" s="14">
        <f>IFERROR(__xludf.DUMMYFUNCTION("""COMPUTED_VALUE"""),21.706)</f>
        <v>21.706</v>
      </c>
      <c r="P613" s="14">
        <f>IFERROR(__xludf.DUMMYFUNCTION("""COMPUTED_VALUE"""),22.023)</f>
        <v>22.023</v>
      </c>
      <c r="Q613" s="14">
        <f>IFERROR(__xludf.DUMMYFUNCTION("""COMPUTED_VALUE"""),21.283)</f>
        <v>21.283</v>
      </c>
      <c r="R613" s="48">
        <f>IFERROR(__xludf.DUMMYFUNCTION("""COMPUTED_VALUE"""),7.14)</f>
        <v>7.14</v>
      </c>
      <c r="S613" s="48">
        <f>IFERROR(__xludf.DUMMYFUNCTION("""COMPUTED_VALUE"""),7.05)</f>
        <v>7.05</v>
      </c>
      <c r="T613" s="48">
        <f>IFERROR(__xludf.DUMMYFUNCTION("""COMPUTED_VALUE"""),7.59)</f>
        <v>7.59</v>
      </c>
      <c r="U613" s="48">
        <f>IFERROR(__xludf.DUMMYFUNCTION("""COMPUTED_VALUE"""),7.52)</f>
        <v>7.52</v>
      </c>
      <c r="V613" s="48">
        <f>IFERROR(__xludf.DUMMYFUNCTION("""COMPUTED_VALUE"""),7.69)</f>
        <v>7.69</v>
      </c>
      <c r="W613" s="14">
        <f>IFERROR(__xludf.DUMMYFUNCTION("""COMPUTED_VALUE"""),7.398000000000001)</f>
        <v>7.398</v>
      </c>
      <c r="X613" s="14">
        <f>IFERROR(__xludf.DUMMYFUNCTION("""COMPUTED_VALUE"""),11.0)</f>
        <v>11</v>
      </c>
      <c r="Y613" s="14">
        <f>IFERROR(__xludf.DUMMYFUNCTION("""COMPUTED_VALUE"""),11.4)</f>
        <v>11.4</v>
      </c>
      <c r="Z613" s="14">
        <f>IFERROR(__xludf.DUMMYFUNCTION("""COMPUTED_VALUE"""),11.1)</f>
        <v>11.1</v>
      </c>
      <c r="AA613" s="14">
        <f>IFERROR(__xludf.DUMMYFUNCTION("""COMPUTED_VALUE"""),11.1)</f>
        <v>11.1</v>
      </c>
      <c r="AB613" s="14">
        <f>IFERROR(__xludf.DUMMYFUNCTION("""COMPUTED_VALUE"""),11.2)</f>
        <v>11.2</v>
      </c>
      <c r="AC613" s="14">
        <f>IFERROR(__xludf.DUMMYFUNCTION("""COMPUTED_VALUE"""),11.16)</f>
        <v>11.16</v>
      </c>
      <c r="AD613" s="48">
        <f>IFERROR(__xludf.DUMMYFUNCTION("""COMPUTED_VALUE"""),256.0)</f>
        <v>256</v>
      </c>
      <c r="AE613" s="48">
        <f>IFERROR(__xludf.DUMMYFUNCTION("""COMPUTED_VALUE"""),300.0)</f>
        <v>300</v>
      </c>
      <c r="AF613" s="48">
        <f>IFERROR(__xludf.DUMMYFUNCTION("""COMPUTED_VALUE"""),305.0)</f>
        <v>305</v>
      </c>
      <c r="AG613" s="48">
        <f>IFERROR(__xludf.DUMMYFUNCTION("""COMPUTED_VALUE"""),424.0)</f>
        <v>424</v>
      </c>
      <c r="AH613" s="48">
        <f>IFERROR(__xludf.DUMMYFUNCTION("""COMPUTED_VALUE"""),427.0)</f>
        <v>427</v>
      </c>
      <c r="AI613" s="14">
        <f>IFERROR(__xludf.DUMMYFUNCTION("""COMPUTED_VALUE"""),342.4)</f>
        <v>342.4</v>
      </c>
      <c r="AJ613" s="14">
        <f>IFERROR(__xludf.DUMMYFUNCTION("""COMPUTED_VALUE"""),5.3)</f>
        <v>5.3</v>
      </c>
      <c r="AK613" s="14">
        <f>IFERROR(__xludf.DUMMYFUNCTION("""COMPUTED_VALUE"""),5.96)</f>
        <v>5.96</v>
      </c>
      <c r="AL613" s="14">
        <f>IFERROR(__xludf.DUMMYFUNCTION("""COMPUTED_VALUE"""),6.36)</f>
        <v>6.36</v>
      </c>
      <c r="AM613" s="14">
        <f>IFERROR(__xludf.DUMMYFUNCTION("""COMPUTED_VALUE"""),5.84)</f>
        <v>5.84</v>
      </c>
      <c r="AN613" s="14">
        <f>IFERROR(__xludf.DUMMYFUNCTION("""COMPUTED_VALUE"""),5.97)</f>
        <v>5.97</v>
      </c>
      <c r="AO613" s="14">
        <f>IFERROR(__xludf.DUMMYFUNCTION("""COMPUTED_VALUE"""),5.886)</f>
        <v>5.886</v>
      </c>
      <c r="AP613" s="14">
        <f>IFERROR(__xludf.DUMMYFUNCTION("""COMPUTED_VALUE"""),11.0)</f>
        <v>11</v>
      </c>
      <c r="AQ613" s="14">
        <f>IFERROR(__xludf.DUMMYFUNCTION("""COMPUTED_VALUE"""),50.0)</f>
        <v>50</v>
      </c>
      <c r="AR613" s="14">
        <f>IFERROR(__xludf.DUMMYFUNCTION("""COMPUTED_VALUE"""),182.0)</f>
        <v>182</v>
      </c>
      <c r="AS613" s="14">
        <f>IFERROR(__xludf.DUMMYFUNCTION("""COMPUTED_VALUE"""),1.2)</f>
        <v>1.2</v>
      </c>
      <c r="AT613" s="14">
        <f>IFERROR(__xludf.DUMMYFUNCTION("""COMPUTED_VALUE"""),0.07)</f>
        <v>0.07</v>
      </c>
      <c r="AU613" s="14">
        <f>IFERROR(__xludf.DUMMYFUNCTION("""COMPUTED_VALUE"""),958000.0)</f>
        <v>958000</v>
      </c>
      <c r="AV613" s="14">
        <f>IFERROR(__xludf.DUMMYFUNCTION("""COMPUTED_VALUE"""),1.64)</f>
        <v>1.64</v>
      </c>
      <c r="AW613" s="14">
        <f>IFERROR(__xludf.DUMMYFUNCTION("""COMPUTED_VALUE"""),30.2)</f>
        <v>30.2</v>
      </c>
      <c r="AX613" s="14">
        <f>IFERROR(__xludf.DUMMYFUNCTION("""COMPUTED_VALUE"""),53900.0)</f>
        <v>53900</v>
      </c>
      <c r="AY613" s="14">
        <f>IFERROR(__xludf.DUMMYFUNCTION("""COMPUTED_VALUE"""),0.1)</f>
        <v>0.1</v>
      </c>
      <c r="AZ613" s="14">
        <f>IFERROR(__xludf.DUMMYFUNCTION("""COMPUTED_VALUE"""),0.039)</f>
        <v>0.039</v>
      </c>
      <c r="BA613" s="14">
        <f t="shared" si="1"/>
        <v>30.339</v>
      </c>
    </row>
    <row r="614" ht="14.25" customHeight="1">
      <c r="A614" s="10" t="str">
        <f>IFERROR(__xludf.DUMMYFUNCTION("""COMPUTED_VALUE"""),"100322CA03")</f>
        <v>100322CA03</v>
      </c>
      <c r="B614" s="12" t="str">
        <f>IFERROR(__xludf.DUMMYFUNCTION("""COMPUTED_VALUE"""),"QTR-Acapulco")</f>
        <v>QTR-Acapulco</v>
      </c>
      <c r="C614" s="12"/>
      <c r="D614" s="12"/>
      <c r="E614" s="44">
        <f>IFERROR(__xludf.DUMMYFUNCTION("""COMPUTED_VALUE"""),44630.0)</f>
        <v>44630</v>
      </c>
      <c r="F614" s="12" t="str">
        <f>IFERROR(__xludf.DUMMYFUNCTION("""COMPUTED_VALUE"""),"TIPO I")</f>
        <v>TIPO I</v>
      </c>
      <c r="G614" s="12" t="str">
        <f>IFERROR(__xludf.DUMMYFUNCTION("""COMPUTED_VALUE"""),"Se presenta un lecho rocoso-arenoso. Se observa color y se percibe olor. ")</f>
        <v>Se presenta un lecho rocoso-arenoso. Se observa color y se percibe olor. </v>
      </c>
      <c r="H614" s="45">
        <f>IFERROR(__xludf.DUMMYFUNCTION("""COMPUTED_VALUE"""),0.5833333333321207)</f>
        <v>0.5833333333</v>
      </c>
      <c r="I614" s="45">
        <f>IFERROR(__xludf.DUMMYFUNCTION("""COMPUTED_VALUE"""),0.6666666666678793)</f>
        <v>0.6666666667</v>
      </c>
      <c r="J614" s="12">
        <f>IFERROR(__xludf.DUMMYFUNCTION("""COMPUTED_VALUE"""),1.8)</f>
        <v>1.8</v>
      </c>
      <c r="K614" s="12">
        <f>IFERROR(__xludf.DUMMYFUNCTION("""COMPUTED_VALUE"""),0.16)</f>
        <v>0.16</v>
      </c>
      <c r="L614" s="14">
        <f>IFERROR(__xludf.DUMMYFUNCTION("""COMPUTED_VALUE"""),63.8)</f>
        <v>63.8</v>
      </c>
      <c r="M614" s="14">
        <f>IFERROR(__xludf.DUMMYFUNCTION("""COMPUTED_VALUE"""),64.252)</f>
        <v>64.252</v>
      </c>
      <c r="N614" s="14">
        <f>IFERROR(__xludf.DUMMYFUNCTION("""COMPUTED_VALUE"""),65.79)</f>
        <v>65.79</v>
      </c>
      <c r="O614" s="14">
        <f>IFERROR(__xludf.DUMMYFUNCTION("""COMPUTED_VALUE"""),65.846)</f>
        <v>65.846</v>
      </c>
      <c r="P614" s="14">
        <f>IFERROR(__xludf.DUMMYFUNCTION("""COMPUTED_VALUE"""),65.994)</f>
        <v>65.994</v>
      </c>
      <c r="Q614" s="14">
        <f>IFERROR(__xludf.DUMMYFUNCTION("""COMPUTED_VALUE"""),65.137)</f>
        <v>65.137</v>
      </c>
      <c r="R614" s="48">
        <f>IFERROR(__xludf.DUMMYFUNCTION("""COMPUTED_VALUE"""),7.01)</f>
        <v>7.01</v>
      </c>
      <c r="S614" s="48">
        <f>IFERROR(__xludf.DUMMYFUNCTION("""COMPUTED_VALUE"""),7.53)</f>
        <v>7.53</v>
      </c>
      <c r="T614" s="48">
        <f>IFERROR(__xludf.DUMMYFUNCTION("""COMPUTED_VALUE"""),7.92)</f>
        <v>7.92</v>
      </c>
      <c r="U614" s="48">
        <f>IFERROR(__xludf.DUMMYFUNCTION("""COMPUTED_VALUE"""),7.88)</f>
        <v>7.88</v>
      </c>
      <c r="V614" s="48">
        <f>IFERROR(__xludf.DUMMYFUNCTION("""COMPUTED_VALUE"""),8.56)</f>
        <v>8.56</v>
      </c>
      <c r="W614" s="14">
        <f>IFERROR(__xludf.DUMMYFUNCTION("""COMPUTED_VALUE"""),7.779999999999999)</f>
        <v>7.78</v>
      </c>
      <c r="X614" s="14">
        <f>IFERROR(__xludf.DUMMYFUNCTION("""COMPUTED_VALUE"""),17.2)</f>
        <v>17.2</v>
      </c>
      <c r="Y614" s="14">
        <f>IFERROR(__xludf.DUMMYFUNCTION("""COMPUTED_VALUE"""),18.6)</f>
        <v>18.6</v>
      </c>
      <c r="Z614" s="14">
        <f>IFERROR(__xludf.DUMMYFUNCTION("""COMPUTED_VALUE"""),18.0)</f>
        <v>18</v>
      </c>
      <c r="AA614" s="14">
        <f>IFERROR(__xludf.DUMMYFUNCTION("""COMPUTED_VALUE"""),18.3)</f>
        <v>18.3</v>
      </c>
      <c r="AB614" s="14">
        <f>IFERROR(__xludf.DUMMYFUNCTION("""COMPUTED_VALUE"""),17.4)</f>
        <v>17.4</v>
      </c>
      <c r="AC614" s="14">
        <f>IFERROR(__xludf.DUMMYFUNCTION("""COMPUTED_VALUE"""),17.9)</f>
        <v>17.9</v>
      </c>
      <c r="AD614" s="48">
        <f>IFERROR(__xludf.DUMMYFUNCTION("""COMPUTED_VALUE"""),553.0)</f>
        <v>553</v>
      </c>
      <c r="AE614" s="48">
        <f>IFERROR(__xludf.DUMMYFUNCTION("""COMPUTED_VALUE"""),593.0)</f>
        <v>593</v>
      </c>
      <c r="AF614" s="48">
        <f>IFERROR(__xludf.DUMMYFUNCTION("""COMPUTED_VALUE"""),607.0)</f>
        <v>607</v>
      </c>
      <c r="AG614" s="48">
        <f>IFERROR(__xludf.DUMMYFUNCTION("""COMPUTED_VALUE"""),609.0)</f>
        <v>609</v>
      </c>
      <c r="AH614" s="48">
        <f>IFERROR(__xludf.DUMMYFUNCTION("""COMPUTED_VALUE"""),484.0)</f>
        <v>484</v>
      </c>
      <c r="AI614" s="14">
        <f>IFERROR(__xludf.DUMMYFUNCTION("""COMPUTED_VALUE"""),569.2)</f>
        <v>569.2</v>
      </c>
      <c r="AJ614" s="14">
        <f>IFERROR(__xludf.DUMMYFUNCTION("""COMPUTED_VALUE"""),3.78)</f>
        <v>3.78</v>
      </c>
      <c r="AK614" s="14">
        <f>IFERROR(__xludf.DUMMYFUNCTION("""COMPUTED_VALUE"""),2.82)</f>
        <v>2.82</v>
      </c>
      <c r="AL614" s="14">
        <f>IFERROR(__xludf.DUMMYFUNCTION("""COMPUTED_VALUE"""),2.25)</f>
        <v>2.25</v>
      </c>
      <c r="AM614" s="14">
        <f>IFERROR(__xludf.DUMMYFUNCTION("""COMPUTED_VALUE"""),2.69)</f>
        <v>2.69</v>
      </c>
      <c r="AN614" s="14">
        <f>IFERROR(__xludf.DUMMYFUNCTION("""COMPUTED_VALUE"""),3.26)</f>
        <v>3.26</v>
      </c>
      <c r="AO614" s="14">
        <f>IFERROR(__xludf.DUMMYFUNCTION("""COMPUTED_VALUE"""),2.96)</f>
        <v>2.96</v>
      </c>
      <c r="AP614" s="14">
        <f>IFERROR(__xludf.DUMMYFUNCTION("""COMPUTED_VALUE"""),156.0)</f>
        <v>156</v>
      </c>
      <c r="AQ614" s="14">
        <f>IFERROR(__xludf.DUMMYFUNCTION("""COMPUTED_VALUE"""),262.0)</f>
        <v>262</v>
      </c>
      <c r="AR614" s="14">
        <f>IFERROR(__xludf.DUMMYFUNCTION("""COMPUTED_VALUE"""),1470.0)</f>
        <v>1470</v>
      </c>
      <c r="AS614" s="14">
        <f>IFERROR(__xludf.DUMMYFUNCTION("""COMPUTED_VALUE"""),1.2)</f>
        <v>1.2</v>
      </c>
      <c r="AT614" s="14">
        <f>IFERROR(__xludf.DUMMYFUNCTION("""COMPUTED_VALUE"""),1.47)</f>
        <v>1.47</v>
      </c>
      <c r="AU614" s="14">
        <f>IFERROR(__xludf.DUMMYFUNCTION("""COMPUTED_VALUE"""),6910000.0)</f>
        <v>6910000</v>
      </c>
      <c r="AV614" s="14">
        <f>IFERROR(__xludf.DUMMYFUNCTION("""COMPUTED_VALUE"""),2.5)</f>
        <v>2.5</v>
      </c>
      <c r="AW614" s="14">
        <f>IFERROR(__xludf.DUMMYFUNCTION("""COMPUTED_VALUE"""),24.1)</f>
        <v>24.1</v>
      </c>
      <c r="AX614" s="14">
        <f>IFERROR(__xludf.DUMMYFUNCTION("""COMPUTED_VALUE"""),1169000.0)</f>
        <v>1169000</v>
      </c>
      <c r="AY614" s="14">
        <f>IFERROR(__xludf.DUMMYFUNCTION("""COMPUTED_VALUE"""),1.4)</f>
        <v>1.4</v>
      </c>
      <c r="AZ614" s="14">
        <f>IFERROR(__xludf.DUMMYFUNCTION("""COMPUTED_VALUE"""),0.007)</f>
        <v>0.007</v>
      </c>
      <c r="BA614" s="14">
        <f t="shared" si="1"/>
        <v>25.507</v>
      </c>
    </row>
    <row r="615" ht="14.25" customHeight="1">
      <c r="A615" s="10" t="str">
        <f>IFERROR(__xludf.DUMMYFUNCTION("""COMPUTED_VALUE"""),"160322CA01")</f>
        <v>160322CA01</v>
      </c>
      <c r="B615" s="12" t="str">
        <f>IFERROR(__xludf.DUMMYFUNCTION("""COMPUTED_VALUE"""),"QLI-Bella Flor")</f>
        <v>QLI-Bella Flor</v>
      </c>
      <c r="C615" s="12"/>
      <c r="D615" s="12"/>
      <c r="E615" s="44">
        <f>IFERROR(__xludf.DUMMYFUNCTION("""COMPUTED_VALUE"""),44636.0)</f>
        <v>44636</v>
      </c>
      <c r="F615" s="12" t="str">
        <f>IFERROR(__xludf.DUMMYFUNCTION("""COMPUTED_VALUE"""),"TIPO I")</f>
        <v>TIPO I</v>
      </c>
      <c r="G615" s="12" t="str">
        <f>IFERROR(__xludf.DUMMYFUNCTION("""COMPUTED_VALUE"""),"En el momento del monitoreo el agua presentó coloración y espuma.")</f>
        <v>En el momento del monitoreo el agua presentó coloración y espuma.</v>
      </c>
      <c r="H615" s="45">
        <f>IFERROR(__xludf.DUMMYFUNCTION("""COMPUTED_VALUE"""),0.3333333333321207)</f>
        <v>0.3333333333</v>
      </c>
      <c r="I615" s="45">
        <f>IFERROR(__xludf.DUMMYFUNCTION("""COMPUTED_VALUE"""),0.4166666666678793)</f>
        <v>0.4166666667</v>
      </c>
      <c r="J615" s="12">
        <f>IFERROR(__xludf.DUMMYFUNCTION("""COMPUTED_VALUE"""),1.3)</f>
        <v>1.3</v>
      </c>
      <c r="K615" s="12">
        <f>IFERROR(__xludf.DUMMYFUNCTION("""COMPUTED_VALUE"""),0.16)</f>
        <v>0.16</v>
      </c>
      <c r="L615" s="14">
        <f>IFERROR(__xludf.DUMMYFUNCTION("""COMPUTED_VALUE"""),37.853)</f>
        <v>37.853</v>
      </c>
      <c r="M615" s="14">
        <f>IFERROR(__xludf.DUMMYFUNCTION("""COMPUTED_VALUE"""),37.918)</f>
        <v>37.918</v>
      </c>
      <c r="N615" s="14">
        <f>IFERROR(__xludf.DUMMYFUNCTION("""COMPUTED_VALUE"""),38.065)</f>
        <v>38.065</v>
      </c>
      <c r="O615" s="14">
        <f>IFERROR(__xludf.DUMMYFUNCTION("""COMPUTED_VALUE"""),39.588)</f>
        <v>39.588</v>
      </c>
      <c r="P615" s="14">
        <f>IFERROR(__xludf.DUMMYFUNCTION("""COMPUTED_VALUE"""),40.324)</f>
        <v>40.324</v>
      </c>
      <c r="Q615" s="14">
        <f>IFERROR(__xludf.DUMMYFUNCTION("""COMPUTED_VALUE"""),38.749)</f>
        <v>38.749</v>
      </c>
      <c r="R615" s="48">
        <f>IFERROR(__xludf.DUMMYFUNCTION("""COMPUTED_VALUE"""),6.88)</f>
        <v>6.88</v>
      </c>
      <c r="S615" s="48">
        <f>IFERROR(__xludf.DUMMYFUNCTION("""COMPUTED_VALUE"""),6.98)</f>
        <v>6.98</v>
      </c>
      <c r="T615" s="48">
        <f>IFERROR(__xludf.DUMMYFUNCTION("""COMPUTED_VALUE"""),7.05)</f>
        <v>7.05</v>
      </c>
      <c r="U615" s="48">
        <f>IFERROR(__xludf.DUMMYFUNCTION("""COMPUTED_VALUE"""),7.15)</f>
        <v>7.15</v>
      </c>
      <c r="V615" s="48">
        <f>IFERROR(__xludf.DUMMYFUNCTION("""COMPUTED_VALUE"""),7.18)</f>
        <v>7.18</v>
      </c>
      <c r="W615" s="14">
        <f>IFERROR(__xludf.DUMMYFUNCTION("""COMPUTED_VALUE"""),7.048)</f>
        <v>7.048</v>
      </c>
      <c r="X615" s="14">
        <f>IFERROR(__xludf.DUMMYFUNCTION("""COMPUTED_VALUE"""),10.7)</f>
        <v>10.7</v>
      </c>
      <c r="Y615" s="14">
        <f>IFERROR(__xludf.DUMMYFUNCTION("""COMPUTED_VALUE"""),11.1)</f>
        <v>11.1</v>
      </c>
      <c r="Z615" s="14">
        <f>IFERROR(__xludf.DUMMYFUNCTION("""COMPUTED_VALUE"""),12.3)</f>
        <v>12.3</v>
      </c>
      <c r="AA615" s="14">
        <f>IFERROR(__xludf.DUMMYFUNCTION("""COMPUTED_VALUE"""),13.2)</f>
        <v>13.2</v>
      </c>
      <c r="AB615" s="14">
        <f>IFERROR(__xludf.DUMMYFUNCTION("""COMPUTED_VALUE"""),13.8)</f>
        <v>13.8</v>
      </c>
      <c r="AC615" s="14">
        <f>IFERROR(__xludf.DUMMYFUNCTION("""COMPUTED_VALUE"""),12.219999999999999)</f>
        <v>12.22</v>
      </c>
      <c r="AD615" s="48">
        <f>IFERROR(__xludf.DUMMYFUNCTION("""COMPUTED_VALUE"""),224.0)</f>
        <v>224</v>
      </c>
      <c r="AE615" s="48">
        <f>IFERROR(__xludf.DUMMYFUNCTION("""COMPUTED_VALUE"""),242.0)</f>
        <v>242</v>
      </c>
      <c r="AF615" s="48">
        <f>IFERROR(__xludf.DUMMYFUNCTION("""COMPUTED_VALUE"""),265.0)</f>
        <v>265</v>
      </c>
      <c r="AG615" s="48">
        <f>IFERROR(__xludf.DUMMYFUNCTION("""COMPUTED_VALUE"""),273.0)</f>
        <v>273</v>
      </c>
      <c r="AH615" s="48">
        <f>IFERROR(__xludf.DUMMYFUNCTION("""COMPUTED_VALUE"""),280.0)</f>
        <v>280</v>
      </c>
      <c r="AI615" s="14">
        <f>IFERROR(__xludf.DUMMYFUNCTION("""COMPUTED_VALUE"""),256.8)</f>
        <v>256.8</v>
      </c>
      <c r="AJ615" s="14">
        <f>IFERROR(__xludf.DUMMYFUNCTION("""COMPUTED_VALUE"""),5.35)</f>
        <v>5.35</v>
      </c>
      <c r="AK615" s="14">
        <f>IFERROR(__xludf.DUMMYFUNCTION("""COMPUTED_VALUE"""),5.43)</f>
        <v>5.43</v>
      </c>
      <c r="AL615" s="14">
        <f>IFERROR(__xludf.DUMMYFUNCTION("""COMPUTED_VALUE"""),5.38)</f>
        <v>5.38</v>
      </c>
      <c r="AM615" s="14">
        <f>IFERROR(__xludf.DUMMYFUNCTION("""COMPUTED_VALUE"""),5.49)</f>
        <v>5.49</v>
      </c>
      <c r="AN615" s="14">
        <f>IFERROR(__xludf.DUMMYFUNCTION("""COMPUTED_VALUE"""),5.26)</f>
        <v>5.26</v>
      </c>
      <c r="AO615" s="14">
        <f>IFERROR(__xludf.DUMMYFUNCTION("""COMPUTED_VALUE"""),5.382)</f>
        <v>5.382</v>
      </c>
      <c r="AP615" s="14">
        <f>IFERROR(__xludf.DUMMYFUNCTION("""COMPUTED_VALUE"""),16.0)</f>
        <v>16</v>
      </c>
      <c r="AQ615" s="14">
        <f>IFERROR(__xludf.DUMMYFUNCTION("""COMPUTED_VALUE"""),41.0)</f>
        <v>41</v>
      </c>
      <c r="AR615" s="14">
        <f>IFERROR(__xludf.DUMMYFUNCTION("""COMPUTED_VALUE"""),59.0)</f>
        <v>59</v>
      </c>
      <c r="AS615" s="14">
        <f>IFERROR(__xludf.DUMMYFUNCTION("""COMPUTED_VALUE"""),1.2)</f>
        <v>1.2</v>
      </c>
      <c r="AT615" s="14">
        <f>IFERROR(__xludf.DUMMYFUNCTION("""COMPUTED_VALUE"""),0.07)</f>
        <v>0.07</v>
      </c>
      <c r="AU615" s="14">
        <f>IFERROR(__xludf.DUMMYFUNCTION("""COMPUTED_VALUE"""),6400000.0)</f>
        <v>6400000</v>
      </c>
      <c r="AV615" s="14">
        <f>IFERROR(__xludf.DUMMYFUNCTION("""COMPUTED_VALUE"""),1.5)</f>
        <v>1.5</v>
      </c>
      <c r="AW615" s="14">
        <f>IFERROR(__xludf.DUMMYFUNCTION("""COMPUTED_VALUE"""),14.0)</f>
        <v>14</v>
      </c>
      <c r="AX615" s="14">
        <f>IFERROR(__xludf.DUMMYFUNCTION("""COMPUTED_VALUE"""),633000.0)</f>
        <v>633000</v>
      </c>
      <c r="AY615" s="14">
        <f>IFERROR(__xludf.DUMMYFUNCTION("""COMPUTED_VALUE"""),2.1)</f>
        <v>2.1</v>
      </c>
      <c r="AZ615" s="14">
        <f>IFERROR(__xludf.DUMMYFUNCTION("""COMPUTED_VALUE"""),0.114)</f>
        <v>0.114</v>
      </c>
      <c r="BA615" s="14">
        <f t="shared" si="1"/>
        <v>16.214</v>
      </c>
    </row>
    <row r="616" ht="14.25" customHeight="1">
      <c r="A616" s="10" t="str">
        <f>IFERROR(__xludf.DUMMYFUNCTION("""COMPUTED_VALUE"""),"160322DU01")</f>
        <v>160322DU01</v>
      </c>
      <c r="B616" s="12" t="str">
        <f>IFERROR(__xludf.DUMMYFUNCTION("""COMPUTED_VALUE"""),"QLI-San Francisco")</f>
        <v>QLI-San Francisco</v>
      </c>
      <c r="C616" s="12"/>
      <c r="D616" s="12"/>
      <c r="E616" s="44">
        <f>IFERROR(__xludf.DUMMYFUNCTION("""COMPUTED_VALUE"""),44636.0)</f>
        <v>44636</v>
      </c>
      <c r="F616" s="12" t="str">
        <f>IFERROR(__xludf.DUMMYFUNCTION("""COMPUTED_VALUE"""),"TIPO I")</f>
        <v>TIPO I</v>
      </c>
      <c r="G616" s="12" t="str">
        <f>IFERROR(__xludf.DUMMYFUNCTION("""COMPUTED_VALUE"""),"Coloración presente y se perciben olores ")</f>
        <v>Coloración presente y se perciben olores </v>
      </c>
      <c r="H616" s="45">
        <f>IFERROR(__xludf.DUMMYFUNCTION("""COMPUTED_VALUE"""),0.3333333333321207)</f>
        <v>0.3333333333</v>
      </c>
      <c r="I616" s="45">
        <f>IFERROR(__xludf.DUMMYFUNCTION("""COMPUTED_VALUE"""),0.4166666666678793)</f>
        <v>0.4166666667</v>
      </c>
      <c r="J616" s="12">
        <f>IFERROR(__xludf.DUMMYFUNCTION("""COMPUTED_VALUE"""),1.75)</f>
        <v>1.75</v>
      </c>
      <c r="K616" s="12">
        <f>IFERROR(__xludf.DUMMYFUNCTION("""COMPUTED_VALUE"""),0.19)</f>
        <v>0.19</v>
      </c>
      <c r="L616" s="14">
        <f>IFERROR(__xludf.DUMMYFUNCTION("""COMPUTED_VALUE"""),113.24)</f>
        <v>113.24</v>
      </c>
      <c r="M616" s="14">
        <f>IFERROR(__xludf.DUMMYFUNCTION("""COMPUTED_VALUE"""),116.004)</f>
        <v>116.004</v>
      </c>
      <c r="N616" s="14">
        <f>IFERROR(__xludf.DUMMYFUNCTION("""COMPUTED_VALUE"""),111.555)</f>
        <v>111.555</v>
      </c>
      <c r="O616" s="14">
        <f>IFERROR(__xludf.DUMMYFUNCTION("""COMPUTED_VALUE"""),121.947)</f>
        <v>121.947</v>
      </c>
      <c r="P616" s="14">
        <f>IFERROR(__xludf.DUMMYFUNCTION("""COMPUTED_VALUE"""),119.694)</f>
        <v>119.694</v>
      </c>
      <c r="Q616" s="14">
        <f>IFERROR(__xludf.DUMMYFUNCTION("""COMPUTED_VALUE"""),116.488)</f>
        <v>116.488</v>
      </c>
      <c r="R616" s="48">
        <f>IFERROR(__xludf.DUMMYFUNCTION("""COMPUTED_VALUE"""),8.36)</f>
        <v>8.36</v>
      </c>
      <c r="S616" s="48">
        <f>IFERROR(__xludf.DUMMYFUNCTION("""COMPUTED_VALUE"""),8.49)</f>
        <v>8.49</v>
      </c>
      <c r="T616" s="48">
        <f>IFERROR(__xludf.DUMMYFUNCTION("""COMPUTED_VALUE"""),8.08)</f>
        <v>8.08</v>
      </c>
      <c r="U616" s="48">
        <f>IFERROR(__xludf.DUMMYFUNCTION("""COMPUTED_VALUE"""),8.15)</f>
        <v>8.15</v>
      </c>
      <c r="V616" s="48">
        <f>IFERROR(__xludf.DUMMYFUNCTION("""COMPUTED_VALUE"""),8.18)</f>
        <v>8.18</v>
      </c>
      <c r="W616" s="14">
        <f>IFERROR(__xludf.DUMMYFUNCTION("""COMPUTED_VALUE"""),8.251999999999999)</f>
        <v>8.252</v>
      </c>
      <c r="X616" s="14">
        <f>IFERROR(__xludf.DUMMYFUNCTION("""COMPUTED_VALUE"""),13.2)</f>
        <v>13.2</v>
      </c>
      <c r="Y616" s="14">
        <f>IFERROR(__xludf.DUMMYFUNCTION("""COMPUTED_VALUE"""),13.3)</f>
        <v>13.3</v>
      </c>
      <c r="Z616" s="14">
        <f>IFERROR(__xludf.DUMMYFUNCTION("""COMPUTED_VALUE"""),13.4)</f>
        <v>13.4</v>
      </c>
      <c r="AA616" s="14">
        <f>IFERROR(__xludf.DUMMYFUNCTION("""COMPUTED_VALUE"""),13.9)</f>
        <v>13.9</v>
      </c>
      <c r="AB616" s="14">
        <f>IFERROR(__xludf.DUMMYFUNCTION("""COMPUTED_VALUE"""),14.2)</f>
        <v>14.2</v>
      </c>
      <c r="AC616" s="14">
        <f>IFERROR(__xludf.DUMMYFUNCTION("""COMPUTED_VALUE"""),13.6)</f>
        <v>13.6</v>
      </c>
      <c r="AD616" s="48">
        <f>IFERROR(__xludf.DUMMYFUNCTION("""COMPUTED_VALUE"""),419.0)</f>
        <v>419</v>
      </c>
      <c r="AE616" s="48">
        <f>IFERROR(__xludf.DUMMYFUNCTION("""COMPUTED_VALUE"""),418.0)</f>
        <v>418</v>
      </c>
      <c r="AF616" s="48">
        <f>IFERROR(__xludf.DUMMYFUNCTION("""COMPUTED_VALUE"""),435.0)</f>
        <v>435</v>
      </c>
      <c r="AG616" s="48">
        <f>IFERROR(__xludf.DUMMYFUNCTION("""COMPUTED_VALUE"""),398.0)</f>
        <v>398</v>
      </c>
      <c r="AH616" s="48">
        <f>IFERROR(__xludf.DUMMYFUNCTION("""COMPUTED_VALUE"""),397.0)</f>
        <v>397</v>
      </c>
      <c r="AI616" s="14">
        <f>IFERROR(__xludf.DUMMYFUNCTION("""COMPUTED_VALUE"""),413.4)</f>
        <v>413.4</v>
      </c>
      <c r="AJ616" s="14">
        <f>IFERROR(__xludf.DUMMYFUNCTION("""COMPUTED_VALUE"""),4.89)</f>
        <v>4.89</v>
      </c>
      <c r="AK616" s="14">
        <f>IFERROR(__xludf.DUMMYFUNCTION("""COMPUTED_VALUE"""),4.5)</f>
        <v>4.5</v>
      </c>
      <c r="AL616" s="14">
        <f>IFERROR(__xludf.DUMMYFUNCTION("""COMPUTED_VALUE"""),4.7)</f>
        <v>4.7</v>
      </c>
      <c r="AM616" s="14">
        <f>IFERROR(__xludf.DUMMYFUNCTION("""COMPUTED_VALUE"""),4.87)</f>
        <v>4.87</v>
      </c>
      <c r="AN616" s="14">
        <f>IFERROR(__xludf.DUMMYFUNCTION("""COMPUTED_VALUE"""),4.76)</f>
        <v>4.76</v>
      </c>
      <c r="AO616" s="14">
        <f>IFERROR(__xludf.DUMMYFUNCTION("""COMPUTED_VALUE"""),4.744)</f>
        <v>4.744</v>
      </c>
      <c r="AP616" s="14">
        <f>IFERROR(__xludf.DUMMYFUNCTION("""COMPUTED_VALUE"""),30.0)</f>
        <v>30</v>
      </c>
      <c r="AQ616" s="14">
        <f>IFERROR(__xludf.DUMMYFUNCTION("""COMPUTED_VALUE"""),57.0)</f>
        <v>57</v>
      </c>
      <c r="AR616" s="14">
        <f>IFERROR(__xludf.DUMMYFUNCTION("""COMPUTED_VALUE"""),50.0)</f>
        <v>50</v>
      </c>
      <c r="AS616" s="14">
        <f>IFERROR(__xludf.DUMMYFUNCTION("""COMPUTED_VALUE"""),1.2)</f>
        <v>1.2</v>
      </c>
      <c r="AT616" s="14">
        <f>IFERROR(__xludf.DUMMYFUNCTION("""COMPUTED_VALUE"""),0.07)</f>
        <v>0.07</v>
      </c>
      <c r="AU616" s="14">
        <f>IFERROR(__xludf.DUMMYFUNCTION("""COMPUTED_VALUE"""),1.006E7)</f>
        <v>10060000</v>
      </c>
      <c r="AV616" s="14">
        <f>IFERROR(__xludf.DUMMYFUNCTION("""COMPUTED_VALUE"""),3.83)</f>
        <v>3.83</v>
      </c>
      <c r="AW616" s="14">
        <f>IFERROR(__xludf.DUMMYFUNCTION("""COMPUTED_VALUE"""),23.5)</f>
        <v>23.5</v>
      </c>
      <c r="AX616" s="14">
        <f>IFERROR(__xludf.DUMMYFUNCTION("""COMPUTED_VALUE"""),981000.0)</f>
        <v>981000</v>
      </c>
      <c r="AY616" s="14">
        <f>IFERROR(__xludf.DUMMYFUNCTION("""COMPUTED_VALUE"""),1.5)</f>
        <v>1.5</v>
      </c>
      <c r="AZ616" s="14">
        <f>IFERROR(__xludf.DUMMYFUNCTION("""COMPUTED_VALUE"""),0.498)</f>
        <v>0.498</v>
      </c>
      <c r="BA616" s="14">
        <f t="shared" si="1"/>
        <v>25.498</v>
      </c>
    </row>
    <row r="617" ht="14.25" customHeight="1">
      <c r="A617" s="10" t="str">
        <f>IFERROR(__xludf.DUMMYFUNCTION("""COMPUTED_VALUE"""),"150322DA01")</f>
        <v>150322DA01</v>
      </c>
      <c r="B617" s="12" t="str">
        <f>IFERROR(__xludf.DUMMYFUNCTION("""COMPUTED_VALUE"""),"QCH-La Orquídea")</f>
        <v>QCH-La Orquídea</v>
      </c>
      <c r="C617" s="12"/>
      <c r="D617" s="12"/>
      <c r="E617" s="44">
        <f>IFERROR(__xludf.DUMMYFUNCTION("""COMPUTED_VALUE"""),44635.0)</f>
        <v>44635</v>
      </c>
      <c r="F617" s="12" t="str">
        <f>IFERROR(__xludf.DUMMYFUNCTION("""COMPUTED_VALUE"""),"TIPO I")</f>
        <v>TIPO I</v>
      </c>
      <c r="G617" s="12" t="str">
        <f>IFERROR(__xludf.DUMMYFUNCTION("""COMPUTED_VALUE"""),"Se presenta un lecho rocoso- arenoso. Se observan color y residuos sobre el cauce. No se percibe olor, no se observan espumas ni sedimentos. ")</f>
        <v>Se presenta un lecho rocoso- arenoso. Se observan color y residuos sobre el cauce. No se percibe olor, no se observan espumas ni sedimentos. </v>
      </c>
      <c r="H617" s="45">
        <f>IFERROR(__xludf.DUMMYFUNCTION("""COMPUTED_VALUE"""),0.3333333333321207)</f>
        <v>0.3333333333</v>
      </c>
      <c r="I617" s="45">
        <f>IFERROR(__xludf.DUMMYFUNCTION("""COMPUTED_VALUE"""),0.4166666666678793)</f>
        <v>0.4166666667</v>
      </c>
      <c r="J617" s="12">
        <f>IFERROR(__xludf.DUMMYFUNCTION("""COMPUTED_VALUE"""),0.25)</f>
        <v>0.25</v>
      </c>
      <c r="K617" s="12"/>
      <c r="L617" s="14">
        <f>IFERROR(__xludf.DUMMYFUNCTION("""COMPUTED_VALUE"""),1.082)</f>
        <v>1.082</v>
      </c>
      <c r="M617" s="14">
        <f>IFERROR(__xludf.DUMMYFUNCTION("""COMPUTED_VALUE"""),1.309)</f>
        <v>1.309</v>
      </c>
      <c r="N617" s="14">
        <f>IFERROR(__xludf.DUMMYFUNCTION("""COMPUTED_VALUE"""),1.235)</f>
        <v>1.235</v>
      </c>
      <c r="O617" s="14">
        <f>IFERROR(__xludf.DUMMYFUNCTION("""COMPUTED_VALUE"""),1.256)</f>
        <v>1.256</v>
      </c>
      <c r="P617" s="14">
        <f>IFERROR(__xludf.DUMMYFUNCTION("""COMPUTED_VALUE"""),1.291)</f>
        <v>1.291</v>
      </c>
      <c r="Q617" s="14">
        <f>IFERROR(__xludf.DUMMYFUNCTION("""COMPUTED_VALUE"""),1.235)</f>
        <v>1.235</v>
      </c>
      <c r="R617" s="48">
        <f>IFERROR(__xludf.DUMMYFUNCTION("""COMPUTED_VALUE"""),6.92)</f>
        <v>6.92</v>
      </c>
      <c r="S617" s="48">
        <f>IFERROR(__xludf.DUMMYFUNCTION("""COMPUTED_VALUE"""),7.18)</f>
        <v>7.18</v>
      </c>
      <c r="T617" s="48">
        <f>IFERROR(__xludf.DUMMYFUNCTION("""COMPUTED_VALUE"""),6.65)</f>
        <v>6.65</v>
      </c>
      <c r="U617" s="48">
        <f>IFERROR(__xludf.DUMMYFUNCTION("""COMPUTED_VALUE"""),6.81)</f>
        <v>6.81</v>
      </c>
      <c r="V617" s="48">
        <f>IFERROR(__xludf.DUMMYFUNCTION("""COMPUTED_VALUE"""),6.95)</f>
        <v>6.95</v>
      </c>
      <c r="W617" s="14">
        <f>IFERROR(__xludf.DUMMYFUNCTION("""COMPUTED_VALUE"""),6.901999999999999)</f>
        <v>6.902</v>
      </c>
      <c r="X617" s="14">
        <f>IFERROR(__xludf.DUMMYFUNCTION("""COMPUTED_VALUE"""),13.6)</f>
        <v>13.6</v>
      </c>
      <c r="Y617" s="14">
        <f>IFERROR(__xludf.DUMMYFUNCTION("""COMPUTED_VALUE"""),13.8)</f>
        <v>13.8</v>
      </c>
      <c r="Z617" s="14">
        <f>IFERROR(__xludf.DUMMYFUNCTION("""COMPUTED_VALUE"""),14.4)</f>
        <v>14.4</v>
      </c>
      <c r="AA617" s="14">
        <f>IFERROR(__xludf.DUMMYFUNCTION("""COMPUTED_VALUE"""),14.7)</f>
        <v>14.7</v>
      </c>
      <c r="AB617" s="14">
        <f>IFERROR(__xludf.DUMMYFUNCTION("""COMPUTED_VALUE"""),15.0)</f>
        <v>15</v>
      </c>
      <c r="AC617" s="14">
        <f>IFERROR(__xludf.DUMMYFUNCTION("""COMPUTED_VALUE"""),14.3)</f>
        <v>14.3</v>
      </c>
      <c r="AD617" s="48">
        <f>IFERROR(__xludf.DUMMYFUNCTION("""COMPUTED_VALUE"""),461.0)</f>
        <v>461</v>
      </c>
      <c r="AE617" s="48">
        <f>IFERROR(__xludf.DUMMYFUNCTION("""COMPUTED_VALUE"""),569.0)</f>
        <v>569</v>
      </c>
      <c r="AF617" s="48">
        <f>IFERROR(__xludf.DUMMYFUNCTION("""COMPUTED_VALUE"""),505.0)</f>
        <v>505</v>
      </c>
      <c r="AG617" s="48">
        <f>IFERROR(__xludf.DUMMYFUNCTION("""COMPUTED_VALUE"""),446.0)</f>
        <v>446</v>
      </c>
      <c r="AH617" s="48">
        <f>IFERROR(__xludf.DUMMYFUNCTION("""COMPUTED_VALUE"""),441.0)</f>
        <v>441</v>
      </c>
      <c r="AI617" s="14">
        <f>IFERROR(__xludf.DUMMYFUNCTION("""COMPUTED_VALUE"""),484.4)</f>
        <v>484.4</v>
      </c>
      <c r="AJ617" s="14">
        <f>IFERROR(__xludf.DUMMYFUNCTION("""COMPUTED_VALUE"""),5.83)</f>
        <v>5.83</v>
      </c>
      <c r="AK617" s="14">
        <f>IFERROR(__xludf.DUMMYFUNCTION("""COMPUTED_VALUE"""),5.99)</f>
        <v>5.99</v>
      </c>
      <c r="AL617" s="14">
        <f>IFERROR(__xludf.DUMMYFUNCTION("""COMPUTED_VALUE"""),5.74)</f>
        <v>5.74</v>
      </c>
      <c r="AM617" s="14">
        <f>IFERROR(__xludf.DUMMYFUNCTION("""COMPUTED_VALUE"""),5.94)</f>
        <v>5.94</v>
      </c>
      <c r="AN617" s="14">
        <f>IFERROR(__xludf.DUMMYFUNCTION("""COMPUTED_VALUE"""),5.69)</f>
        <v>5.69</v>
      </c>
      <c r="AO617" s="14">
        <f>IFERROR(__xludf.DUMMYFUNCTION("""COMPUTED_VALUE"""),5.838000000000001)</f>
        <v>5.838</v>
      </c>
      <c r="AP617" s="14">
        <f>IFERROR(__xludf.DUMMYFUNCTION("""COMPUTED_VALUE"""),11.0)</f>
        <v>11</v>
      </c>
      <c r="AQ617" s="14">
        <f>IFERROR(__xludf.DUMMYFUNCTION("""COMPUTED_VALUE"""),32.0)</f>
        <v>32</v>
      </c>
      <c r="AR617" s="14">
        <f>IFERROR(__xludf.DUMMYFUNCTION("""COMPUTED_VALUE"""),24.0)</f>
        <v>24</v>
      </c>
      <c r="AS617" s="14">
        <f>IFERROR(__xludf.DUMMYFUNCTION("""COMPUTED_VALUE"""),1.2)</f>
        <v>1.2</v>
      </c>
      <c r="AT617" s="14">
        <f>IFERROR(__xludf.DUMMYFUNCTION("""COMPUTED_VALUE"""),0.07)</f>
        <v>0.07</v>
      </c>
      <c r="AU617" s="14">
        <f>IFERROR(__xludf.DUMMYFUNCTION("""COMPUTED_VALUE"""),8500000.0)</f>
        <v>8500000</v>
      </c>
      <c r="AV617" s="14">
        <f>IFERROR(__xludf.DUMMYFUNCTION("""COMPUTED_VALUE"""),0.11)</f>
        <v>0.11</v>
      </c>
      <c r="AW617" s="14">
        <f>IFERROR(__xludf.DUMMYFUNCTION("""COMPUTED_VALUE"""),3.6)</f>
        <v>3.6</v>
      </c>
      <c r="AX617" s="14">
        <f>IFERROR(__xludf.DUMMYFUNCTION("""COMPUTED_VALUE"""),63300.0)</f>
        <v>63300</v>
      </c>
      <c r="AY617" s="14">
        <f>IFERROR(__xludf.DUMMYFUNCTION("""COMPUTED_VALUE"""),6.6)</f>
        <v>6.6</v>
      </c>
      <c r="AZ617" s="14">
        <f>IFERROR(__xludf.DUMMYFUNCTION("""COMPUTED_VALUE"""),0.01)</f>
        <v>0.01</v>
      </c>
      <c r="BA617" s="14">
        <f t="shared" si="1"/>
        <v>10.21</v>
      </c>
    </row>
    <row r="618" ht="14.25" customHeight="1">
      <c r="A618" s="10" t="str">
        <f>IFERROR(__xludf.DUMMYFUNCTION("""COMPUTED_VALUE"""),"160322CA03")</f>
        <v>160322CA03</v>
      </c>
      <c r="B618" s="12" t="str">
        <f>IFERROR(__xludf.DUMMYFUNCTION("""COMPUTED_VALUE"""),"QLI-Villa del Diamante")</f>
        <v>QLI-Villa del Diamante</v>
      </c>
      <c r="C618" s="12"/>
      <c r="D618" s="12"/>
      <c r="E618" s="44">
        <f>IFERROR(__xludf.DUMMYFUNCTION("""COMPUTED_VALUE"""),44636.0)</f>
        <v>44636</v>
      </c>
      <c r="F618" s="12" t="str">
        <f>IFERROR(__xludf.DUMMYFUNCTION("""COMPUTED_VALUE"""),"TIPO I")</f>
        <v>TIPO I</v>
      </c>
      <c r="G618" s="12" t="str">
        <f>IFERROR(__xludf.DUMMYFUNCTION("""COMPUTED_VALUE"""),"Se presenta lecho rocoso- arenoso. Se observa color y espuma. ")</f>
        <v>Se presenta lecho rocoso- arenoso. Se observa color y espuma. </v>
      </c>
      <c r="H618" s="45">
        <f>IFERROR(__xludf.DUMMYFUNCTION("""COMPUTED_VALUE"""),0.5)</f>
        <v>0.5</v>
      </c>
      <c r="I618" s="45">
        <f>IFERROR(__xludf.DUMMYFUNCTION("""COMPUTED_VALUE"""),0.5833333333321207)</f>
        <v>0.5833333333</v>
      </c>
      <c r="J618" s="12">
        <f>IFERROR(__xludf.DUMMYFUNCTION("""COMPUTED_VALUE"""),1.5)</f>
        <v>1.5</v>
      </c>
      <c r="K618" s="12">
        <f>IFERROR(__xludf.DUMMYFUNCTION("""COMPUTED_VALUE"""),0.08)</f>
        <v>0.08</v>
      </c>
      <c r="L618" s="14">
        <f>IFERROR(__xludf.DUMMYFUNCTION("""COMPUTED_VALUE"""),55.382)</f>
        <v>55.382</v>
      </c>
      <c r="M618" s="14">
        <f>IFERROR(__xludf.DUMMYFUNCTION("""COMPUTED_VALUE"""),55.931)</f>
        <v>55.931</v>
      </c>
      <c r="N618" s="14">
        <f>IFERROR(__xludf.DUMMYFUNCTION("""COMPUTED_VALUE"""),56.762)</f>
        <v>56.762</v>
      </c>
      <c r="O618" s="14">
        <f>IFERROR(__xludf.DUMMYFUNCTION("""COMPUTED_VALUE"""),57.039)</f>
        <v>57.039</v>
      </c>
      <c r="P618" s="14">
        <f>IFERROR(__xludf.DUMMYFUNCTION("""COMPUTED_VALUE"""),58.531)</f>
        <v>58.531</v>
      </c>
      <c r="Q618" s="14">
        <f>IFERROR(__xludf.DUMMYFUNCTION("""COMPUTED_VALUE"""),56.729)</f>
        <v>56.729</v>
      </c>
      <c r="R618" s="48">
        <f>IFERROR(__xludf.DUMMYFUNCTION("""COMPUTED_VALUE"""),7.07)</f>
        <v>7.07</v>
      </c>
      <c r="S618" s="48">
        <f>IFERROR(__xludf.DUMMYFUNCTION("""COMPUTED_VALUE"""),7.17)</f>
        <v>7.17</v>
      </c>
      <c r="T618" s="48">
        <f>IFERROR(__xludf.DUMMYFUNCTION("""COMPUTED_VALUE"""),7.11)</f>
        <v>7.11</v>
      </c>
      <c r="U618" s="48">
        <f>IFERROR(__xludf.DUMMYFUNCTION("""COMPUTED_VALUE"""),7.41)</f>
        <v>7.41</v>
      </c>
      <c r="V618" s="48">
        <f>IFERROR(__xludf.DUMMYFUNCTION("""COMPUTED_VALUE"""),7.32)</f>
        <v>7.32</v>
      </c>
      <c r="W618" s="14">
        <f>IFERROR(__xludf.DUMMYFUNCTION("""COMPUTED_VALUE"""),7.215999999999999)</f>
        <v>7.216</v>
      </c>
      <c r="X618" s="14">
        <f>IFERROR(__xludf.DUMMYFUNCTION("""COMPUTED_VALUE"""),14.7)</f>
        <v>14.7</v>
      </c>
      <c r="Y618" s="14">
        <f>IFERROR(__xludf.DUMMYFUNCTION("""COMPUTED_VALUE"""),15.5)</f>
        <v>15.5</v>
      </c>
      <c r="Z618" s="14">
        <f>IFERROR(__xludf.DUMMYFUNCTION("""COMPUTED_VALUE"""),14.3)</f>
        <v>14.3</v>
      </c>
      <c r="AA618" s="14">
        <f>IFERROR(__xludf.DUMMYFUNCTION("""COMPUTED_VALUE"""),14.9)</f>
        <v>14.9</v>
      </c>
      <c r="AB618" s="14">
        <f>IFERROR(__xludf.DUMMYFUNCTION("""COMPUTED_VALUE"""),14.4)</f>
        <v>14.4</v>
      </c>
      <c r="AC618" s="14">
        <f>IFERROR(__xludf.DUMMYFUNCTION("""COMPUTED_VALUE"""),14.76)</f>
        <v>14.76</v>
      </c>
      <c r="AD618" s="48">
        <f>IFERROR(__xludf.DUMMYFUNCTION("""COMPUTED_VALUE"""),287.0)</f>
        <v>287</v>
      </c>
      <c r="AE618" s="48">
        <f>IFERROR(__xludf.DUMMYFUNCTION("""COMPUTED_VALUE"""),342.0)</f>
        <v>342</v>
      </c>
      <c r="AF618" s="48">
        <f>IFERROR(__xludf.DUMMYFUNCTION("""COMPUTED_VALUE"""),357.0)</f>
        <v>357</v>
      </c>
      <c r="AG618" s="48">
        <f>IFERROR(__xludf.DUMMYFUNCTION("""COMPUTED_VALUE"""),376.0)</f>
        <v>376</v>
      </c>
      <c r="AH618" s="48">
        <f>IFERROR(__xludf.DUMMYFUNCTION("""COMPUTED_VALUE"""),380.0)</f>
        <v>380</v>
      </c>
      <c r="AI618" s="14">
        <f>IFERROR(__xludf.DUMMYFUNCTION("""COMPUTED_VALUE"""),348.4)</f>
        <v>348.4</v>
      </c>
      <c r="AJ618" s="14">
        <f>IFERROR(__xludf.DUMMYFUNCTION("""COMPUTED_VALUE"""),5.13)</f>
        <v>5.13</v>
      </c>
      <c r="AK618" s="14">
        <f>IFERROR(__xludf.DUMMYFUNCTION("""COMPUTED_VALUE"""),5.49)</f>
        <v>5.49</v>
      </c>
      <c r="AL618" s="14">
        <f>IFERROR(__xludf.DUMMYFUNCTION("""COMPUTED_VALUE"""),5.38)</f>
        <v>5.38</v>
      </c>
      <c r="AM618" s="14">
        <f>IFERROR(__xludf.DUMMYFUNCTION("""COMPUTED_VALUE"""),5.63)</f>
        <v>5.63</v>
      </c>
      <c r="AN618" s="14">
        <f>IFERROR(__xludf.DUMMYFUNCTION("""COMPUTED_VALUE"""),5.57)</f>
        <v>5.57</v>
      </c>
      <c r="AO618" s="14">
        <f>IFERROR(__xludf.DUMMYFUNCTION("""COMPUTED_VALUE"""),5.4399999999999995)</f>
        <v>5.44</v>
      </c>
      <c r="AP618" s="14">
        <f>IFERROR(__xludf.DUMMYFUNCTION("""COMPUTED_VALUE"""),15.0)</f>
        <v>15</v>
      </c>
      <c r="AQ618" s="14">
        <f>IFERROR(__xludf.DUMMYFUNCTION("""COMPUTED_VALUE"""),45.0)</f>
        <v>45</v>
      </c>
      <c r="AR618" s="14">
        <f>IFERROR(__xludf.DUMMYFUNCTION("""COMPUTED_VALUE"""),77.0)</f>
        <v>77</v>
      </c>
      <c r="AS618" s="14">
        <f>IFERROR(__xludf.DUMMYFUNCTION("""COMPUTED_VALUE"""),1.2)</f>
        <v>1.2</v>
      </c>
      <c r="AT618" s="14">
        <f>IFERROR(__xludf.DUMMYFUNCTION("""COMPUTED_VALUE"""),0.07)</f>
        <v>0.07</v>
      </c>
      <c r="AU618" s="14">
        <f>IFERROR(__xludf.DUMMYFUNCTION("""COMPUTED_VALUE"""),792000.0)</f>
        <v>792000</v>
      </c>
      <c r="AV618" s="14">
        <f>IFERROR(__xludf.DUMMYFUNCTION("""COMPUTED_VALUE"""),1.83)</f>
        <v>1.83</v>
      </c>
      <c r="AW618" s="14">
        <f>IFERROR(__xludf.DUMMYFUNCTION("""COMPUTED_VALUE"""),15.7)</f>
        <v>15.7</v>
      </c>
      <c r="AX618" s="14">
        <f>IFERROR(__xludf.DUMMYFUNCTION("""COMPUTED_VALUE"""),52700.0)</f>
        <v>52700</v>
      </c>
      <c r="AY618" s="14">
        <f>IFERROR(__xludf.DUMMYFUNCTION("""COMPUTED_VALUE"""),28.9)</f>
        <v>28.9</v>
      </c>
      <c r="AZ618" s="14">
        <f>IFERROR(__xludf.DUMMYFUNCTION("""COMPUTED_VALUE"""),0.191)</f>
        <v>0.191</v>
      </c>
      <c r="BA618" s="14">
        <f t="shared" si="1"/>
        <v>44.791</v>
      </c>
    </row>
    <row r="619" ht="14.25" customHeight="1">
      <c r="A619" s="10" t="str">
        <f>IFERROR(__xludf.DUMMYFUNCTION("""COMPUTED_VALUE"""),"150322DA02")</f>
        <v>150322DA02</v>
      </c>
      <c r="B619" s="12" t="str">
        <f>IFERROR(__xludf.DUMMYFUNCTION("""COMPUTED_VALUE"""),"QCH-Cantarrana")</f>
        <v>QCH-Cantarrana</v>
      </c>
      <c r="C619" s="12"/>
      <c r="D619" s="12"/>
      <c r="E619" s="44">
        <f>IFERROR(__xludf.DUMMYFUNCTION("""COMPUTED_VALUE"""),44635.0)</f>
        <v>44635</v>
      </c>
      <c r="F619" s="12" t="str">
        <f>IFERROR(__xludf.DUMMYFUNCTION("""COMPUTED_VALUE"""),"TIPO I")</f>
        <v>TIPO I</v>
      </c>
      <c r="G619" s="12" t="str">
        <f>IFERROR(__xludf.DUMMYFUNCTION("""COMPUTED_VALUE"""),"Durante el monitoreo se presentó color, espuma y olor característico a ARD, se observó traza de grasas y diferentes residuos sólidos sobre el cauce. El lecho del cauce es rocoso arenoso y el caudal se mantiene relativamente constante durante todo el monit"&amp;"oreo.")</f>
        <v>Durante el monitoreo se presentó color, espuma y olor característico a ARD, se observó traza de grasas y diferentes residuos sólidos sobre el cauce. El lecho del cauce es rocoso arenoso y el caudal se mantiene relativamente constante durante todo el monitoreo.</v>
      </c>
      <c r="H619" s="45">
        <f>IFERROR(__xludf.DUMMYFUNCTION("""COMPUTED_VALUE"""),0.5)</f>
        <v>0.5</v>
      </c>
      <c r="I619" s="45">
        <f>IFERROR(__xludf.DUMMYFUNCTION("""COMPUTED_VALUE"""),0.5833333333321207)</f>
        <v>0.5833333333</v>
      </c>
      <c r="J619" s="12">
        <f>IFERROR(__xludf.DUMMYFUNCTION("""COMPUTED_VALUE"""),0.8)</f>
        <v>0.8</v>
      </c>
      <c r="K619" s="12">
        <f>IFERROR(__xludf.DUMMYFUNCTION("""COMPUTED_VALUE"""),0.34)</f>
        <v>0.34</v>
      </c>
      <c r="L619" s="14">
        <f>IFERROR(__xludf.DUMMYFUNCTION("""COMPUTED_VALUE"""),64.638)</f>
        <v>64.638</v>
      </c>
      <c r="M619" s="14">
        <f>IFERROR(__xludf.DUMMYFUNCTION("""COMPUTED_VALUE"""),64.665)</f>
        <v>64.665</v>
      </c>
      <c r="N619" s="14">
        <f>IFERROR(__xludf.DUMMYFUNCTION("""COMPUTED_VALUE"""),64.903)</f>
        <v>64.903</v>
      </c>
      <c r="O619" s="14">
        <f>IFERROR(__xludf.DUMMYFUNCTION("""COMPUTED_VALUE"""),65.208)</f>
        <v>65.208</v>
      </c>
      <c r="P619" s="14">
        <f>IFERROR(__xludf.DUMMYFUNCTION("""COMPUTED_VALUE"""),65.387)</f>
        <v>65.387</v>
      </c>
      <c r="Q619" s="14">
        <f>IFERROR(__xludf.DUMMYFUNCTION("""COMPUTED_VALUE"""),64.961)</f>
        <v>64.961</v>
      </c>
      <c r="R619" s="48">
        <f>IFERROR(__xludf.DUMMYFUNCTION("""COMPUTED_VALUE"""),7.12)</f>
        <v>7.12</v>
      </c>
      <c r="S619" s="48">
        <f>IFERROR(__xludf.DUMMYFUNCTION("""COMPUTED_VALUE"""),7.15)</f>
        <v>7.15</v>
      </c>
      <c r="T619" s="48">
        <f>IFERROR(__xludf.DUMMYFUNCTION("""COMPUTED_VALUE"""),7.29)</f>
        <v>7.29</v>
      </c>
      <c r="U619" s="48">
        <f>IFERROR(__xludf.DUMMYFUNCTION("""COMPUTED_VALUE"""),7.39)</f>
        <v>7.39</v>
      </c>
      <c r="V619" s="48">
        <f>IFERROR(__xludf.DUMMYFUNCTION("""COMPUTED_VALUE"""),7.23)</f>
        <v>7.23</v>
      </c>
      <c r="W619" s="14">
        <f>IFERROR(__xludf.DUMMYFUNCTION("""COMPUTED_VALUE"""),7.236)</f>
        <v>7.236</v>
      </c>
      <c r="X619" s="14">
        <f>IFERROR(__xludf.DUMMYFUNCTION("""COMPUTED_VALUE"""),15.8)</f>
        <v>15.8</v>
      </c>
      <c r="Y619" s="14">
        <f>IFERROR(__xludf.DUMMYFUNCTION("""COMPUTED_VALUE"""),15.9)</f>
        <v>15.9</v>
      </c>
      <c r="Z619" s="14">
        <f>IFERROR(__xludf.DUMMYFUNCTION("""COMPUTED_VALUE"""),15.6)</f>
        <v>15.6</v>
      </c>
      <c r="AA619" s="14">
        <f>IFERROR(__xludf.DUMMYFUNCTION("""COMPUTED_VALUE"""),15.6)</f>
        <v>15.6</v>
      </c>
      <c r="AB619" s="14">
        <f>IFERROR(__xludf.DUMMYFUNCTION("""COMPUTED_VALUE"""),15.5)</f>
        <v>15.5</v>
      </c>
      <c r="AC619" s="14">
        <f>IFERROR(__xludf.DUMMYFUNCTION("""COMPUTED_VALUE"""),15.680000000000001)</f>
        <v>15.68</v>
      </c>
      <c r="AD619" s="48">
        <f>IFERROR(__xludf.DUMMYFUNCTION("""COMPUTED_VALUE"""),325.0)</f>
        <v>325</v>
      </c>
      <c r="AE619" s="48">
        <f>IFERROR(__xludf.DUMMYFUNCTION("""COMPUTED_VALUE"""),693.0)</f>
        <v>693</v>
      </c>
      <c r="AF619" s="48">
        <f>IFERROR(__xludf.DUMMYFUNCTION("""COMPUTED_VALUE"""),703.0)</f>
        <v>703</v>
      </c>
      <c r="AG619" s="48">
        <f>IFERROR(__xludf.DUMMYFUNCTION("""COMPUTED_VALUE"""),681.0)</f>
        <v>681</v>
      </c>
      <c r="AH619" s="48">
        <f>IFERROR(__xludf.DUMMYFUNCTION("""COMPUTED_VALUE"""),686.0)</f>
        <v>686</v>
      </c>
      <c r="AI619" s="14">
        <f>IFERROR(__xludf.DUMMYFUNCTION("""COMPUTED_VALUE"""),617.6)</f>
        <v>617.6</v>
      </c>
      <c r="AJ619" s="14">
        <f>IFERROR(__xludf.DUMMYFUNCTION("""COMPUTED_VALUE"""),4.53)</f>
        <v>4.53</v>
      </c>
      <c r="AK619" s="14">
        <f>IFERROR(__xludf.DUMMYFUNCTION("""COMPUTED_VALUE"""),4.17)</f>
        <v>4.17</v>
      </c>
      <c r="AL619" s="14">
        <f>IFERROR(__xludf.DUMMYFUNCTION("""COMPUTED_VALUE"""),4.39)</f>
        <v>4.39</v>
      </c>
      <c r="AM619" s="14">
        <f>IFERROR(__xludf.DUMMYFUNCTION("""COMPUTED_VALUE"""),4.77)</f>
        <v>4.77</v>
      </c>
      <c r="AN619" s="14">
        <f>IFERROR(__xludf.DUMMYFUNCTION("""COMPUTED_VALUE"""),4.57)</f>
        <v>4.57</v>
      </c>
      <c r="AO619" s="14">
        <f>IFERROR(__xludf.DUMMYFUNCTION("""COMPUTED_VALUE"""),4.486)</f>
        <v>4.486</v>
      </c>
      <c r="AP619" s="14">
        <f>IFERROR(__xludf.DUMMYFUNCTION("""COMPUTED_VALUE"""),284.0)</f>
        <v>284</v>
      </c>
      <c r="AQ619" s="14">
        <f>IFERROR(__xludf.DUMMYFUNCTION("""COMPUTED_VALUE"""),376.0)</f>
        <v>376</v>
      </c>
      <c r="AR619" s="14">
        <f>IFERROR(__xludf.DUMMYFUNCTION("""COMPUTED_VALUE"""),147.0)</f>
        <v>147</v>
      </c>
      <c r="AS619" s="14">
        <f>IFERROR(__xludf.DUMMYFUNCTION("""COMPUTED_VALUE"""),120.0)</f>
        <v>120</v>
      </c>
      <c r="AT619" s="14">
        <f>IFERROR(__xludf.DUMMYFUNCTION("""COMPUTED_VALUE"""),1.23)</f>
        <v>1.23</v>
      </c>
      <c r="AU619" s="14">
        <f>IFERROR(__xludf.DUMMYFUNCTION("""COMPUTED_VALUE"""),7.68E7)</f>
        <v>76800000</v>
      </c>
      <c r="AV619" s="14">
        <f>IFERROR(__xludf.DUMMYFUNCTION("""COMPUTED_VALUE"""),2.27)</f>
        <v>2.27</v>
      </c>
      <c r="AW619" s="14">
        <f>IFERROR(__xludf.DUMMYFUNCTION("""COMPUTED_VALUE"""),3.4)</f>
        <v>3.4</v>
      </c>
      <c r="AX619" s="14">
        <f>IFERROR(__xludf.DUMMYFUNCTION("""COMPUTED_VALUE"""),9350000.0)</f>
        <v>9350000</v>
      </c>
      <c r="AY619" s="14">
        <f>IFERROR(__xludf.DUMMYFUNCTION("""COMPUTED_VALUE"""),1.84)</f>
        <v>1.84</v>
      </c>
      <c r="AZ619" s="14">
        <f>IFERROR(__xludf.DUMMYFUNCTION("""COMPUTED_VALUE"""),0.007)</f>
        <v>0.007</v>
      </c>
      <c r="BA619" s="14">
        <f t="shared" si="1"/>
        <v>5.247</v>
      </c>
    </row>
    <row r="620" ht="14.25" customHeight="1">
      <c r="A620" s="10" t="str">
        <f>IFERROR(__xludf.DUMMYFUNCTION("""COMPUTED_VALUE"""),"170322AN01")</f>
        <v>170322AN01</v>
      </c>
      <c r="B620" s="12" t="str">
        <f>IFERROR(__xludf.DUMMYFUNCTION("""COMPUTED_VALUE"""),"QZA-Quindío")</f>
        <v>QZA-Quindío</v>
      </c>
      <c r="C620" s="12"/>
      <c r="D620" s="12"/>
      <c r="E620" s="44">
        <f>IFERROR(__xludf.DUMMYFUNCTION("""COMPUTED_VALUE"""),44637.0)</f>
        <v>44637</v>
      </c>
      <c r="F620" s="12" t="str">
        <f>IFERROR(__xludf.DUMMYFUNCTION("""COMPUTED_VALUE"""),"TIPO I")</f>
        <v>TIPO I</v>
      </c>
      <c r="G620" s="12" t="str">
        <f>IFERROR(__xludf.DUMMYFUNCTION("""COMPUTED_VALUE"""),"No se observa coloración y tampoco se perciben olores ")</f>
        <v>No se observa coloración y tampoco se perciben olores </v>
      </c>
      <c r="H620" s="45">
        <f>IFERROR(__xludf.DUMMYFUNCTION("""COMPUTED_VALUE"""),0.3333333333321207)</f>
        <v>0.3333333333</v>
      </c>
      <c r="I620" s="45">
        <f>IFERROR(__xludf.DUMMYFUNCTION("""COMPUTED_VALUE"""),0.4166666666678793)</f>
        <v>0.4166666667</v>
      </c>
      <c r="J620" s="12">
        <f>IFERROR(__xludf.DUMMYFUNCTION("""COMPUTED_VALUE"""),0.9)</f>
        <v>0.9</v>
      </c>
      <c r="K620" s="12">
        <f>IFERROR(__xludf.DUMMYFUNCTION("""COMPUTED_VALUE"""),0.2)</f>
        <v>0.2</v>
      </c>
      <c r="L620" s="14">
        <f>IFERROR(__xludf.DUMMYFUNCTION("""COMPUTED_VALUE"""),33.277)</f>
        <v>33.277</v>
      </c>
      <c r="M620" s="14">
        <f>IFERROR(__xludf.DUMMYFUNCTION("""COMPUTED_VALUE"""),34.182)</f>
        <v>34.182</v>
      </c>
      <c r="N620" s="14">
        <f>IFERROR(__xludf.DUMMYFUNCTION("""COMPUTED_VALUE"""),32.56)</f>
        <v>32.56</v>
      </c>
      <c r="O620" s="14">
        <f>IFERROR(__xludf.DUMMYFUNCTION("""COMPUTED_VALUE"""),33.99)</f>
        <v>33.99</v>
      </c>
      <c r="P620" s="14">
        <f>IFERROR(__xludf.DUMMYFUNCTION("""COMPUTED_VALUE"""),34.552)</f>
        <v>34.552</v>
      </c>
      <c r="Q620" s="14">
        <f>IFERROR(__xludf.DUMMYFUNCTION("""COMPUTED_VALUE"""),33.712)</f>
        <v>33.712</v>
      </c>
      <c r="R620" s="48">
        <f>IFERROR(__xludf.DUMMYFUNCTION("""COMPUTED_VALUE"""),6.31)</f>
        <v>6.31</v>
      </c>
      <c r="S620" s="48">
        <f>IFERROR(__xludf.DUMMYFUNCTION("""COMPUTED_VALUE"""),6.91)</f>
        <v>6.91</v>
      </c>
      <c r="T620" s="48">
        <f>IFERROR(__xludf.DUMMYFUNCTION("""COMPUTED_VALUE"""),7.0)</f>
        <v>7</v>
      </c>
      <c r="U620" s="48">
        <f>IFERROR(__xludf.DUMMYFUNCTION("""COMPUTED_VALUE"""),6.88)</f>
        <v>6.88</v>
      </c>
      <c r="V620" s="48">
        <f>IFERROR(__xludf.DUMMYFUNCTION("""COMPUTED_VALUE"""),7.13)</f>
        <v>7.13</v>
      </c>
      <c r="W620" s="14">
        <f>IFERROR(__xludf.DUMMYFUNCTION("""COMPUTED_VALUE"""),6.845999999999999)</f>
        <v>6.846</v>
      </c>
      <c r="X620" s="14">
        <f>IFERROR(__xludf.DUMMYFUNCTION("""COMPUTED_VALUE"""),10.2)</f>
        <v>10.2</v>
      </c>
      <c r="Y620" s="14">
        <f>IFERROR(__xludf.DUMMYFUNCTION("""COMPUTED_VALUE"""),10.3)</f>
        <v>10.3</v>
      </c>
      <c r="Z620" s="14">
        <f>IFERROR(__xludf.DUMMYFUNCTION("""COMPUTED_VALUE"""),10.2)</f>
        <v>10.2</v>
      </c>
      <c r="AA620" s="14">
        <f>IFERROR(__xludf.DUMMYFUNCTION("""COMPUTED_VALUE"""),10.7)</f>
        <v>10.7</v>
      </c>
      <c r="AB620" s="14">
        <f>IFERROR(__xludf.DUMMYFUNCTION("""COMPUTED_VALUE"""),10.6)</f>
        <v>10.6</v>
      </c>
      <c r="AC620" s="14">
        <f>IFERROR(__xludf.DUMMYFUNCTION("""COMPUTED_VALUE"""),10.4)</f>
        <v>10.4</v>
      </c>
      <c r="AD620" s="48">
        <f>IFERROR(__xludf.DUMMYFUNCTION("""COMPUTED_VALUE"""),27.7)</f>
        <v>27.7</v>
      </c>
      <c r="AE620" s="48">
        <f>IFERROR(__xludf.DUMMYFUNCTION("""COMPUTED_VALUE"""),24.8)</f>
        <v>24.8</v>
      </c>
      <c r="AF620" s="48">
        <f>IFERROR(__xludf.DUMMYFUNCTION("""COMPUTED_VALUE"""),57.5)</f>
        <v>57.5</v>
      </c>
      <c r="AG620" s="48">
        <f>IFERROR(__xludf.DUMMYFUNCTION("""COMPUTED_VALUE"""),55.4)</f>
        <v>55.4</v>
      </c>
      <c r="AH620" s="48">
        <f>IFERROR(__xludf.DUMMYFUNCTION("""COMPUTED_VALUE"""),68.6)</f>
        <v>68.6</v>
      </c>
      <c r="AI620" s="14">
        <f>IFERROR(__xludf.DUMMYFUNCTION("""COMPUTED_VALUE"""),46.8)</f>
        <v>46.8</v>
      </c>
      <c r="AJ620" s="14">
        <f>IFERROR(__xludf.DUMMYFUNCTION("""COMPUTED_VALUE"""),5.84)</f>
        <v>5.84</v>
      </c>
      <c r="AK620" s="14">
        <f>IFERROR(__xludf.DUMMYFUNCTION("""COMPUTED_VALUE"""),5.61)</f>
        <v>5.61</v>
      </c>
      <c r="AL620" s="14">
        <f>IFERROR(__xludf.DUMMYFUNCTION("""COMPUTED_VALUE"""),5.55)</f>
        <v>5.55</v>
      </c>
      <c r="AM620" s="14">
        <f>IFERROR(__xludf.DUMMYFUNCTION("""COMPUTED_VALUE"""),5.58)</f>
        <v>5.58</v>
      </c>
      <c r="AN620" s="14">
        <f>IFERROR(__xludf.DUMMYFUNCTION("""COMPUTED_VALUE"""),5.49)</f>
        <v>5.49</v>
      </c>
      <c r="AO620" s="14">
        <f>IFERROR(__xludf.DUMMYFUNCTION("""COMPUTED_VALUE"""),5.614)</f>
        <v>5.614</v>
      </c>
      <c r="AP620" s="14">
        <f>IFERROR(__xludf.DUMMYFUNCTION("""COMPUTED_VALUE"""),2.0)</f>
        <v>2</v>
      </c>
      <c r="AQ620" s="14">
        <f>IFERROR(__xludf.DUMMYFUNCTION("""COMPUTED_VALUE"""),5.0)</f>
        <v>5</v>
      </c>
      <c r="AR620" s="14">
        <f>IFERROR(__xludf.DUMMYFUNCTION("""COMPUTED_VALUE"""),5.0)</f>
        <v>5</v>
      </c>
      <c r="AS620" s="14">
        <f>IFERROR(__xludf.DUMMYFUNCTION("""COMPUTED_VALUE"""),1.2)</f>
        <v>1.2</v>
      </c>
      <c r="AT620" s="14">
        <f>IFERROR(__xludf.DUMMYFUNCTION("""COMPUTED_VALUE"""),0.07)</f>
        <v>0.07</v>
      </c>
      <c r="AU620" s="14">
        <f>IFERROR(__xludf.DUMMYFUNCTION("""COMPUTED_VALUE"""),1850.0)</f>
        <v>1850</v>
      </c>
      <c r="AV620" s="14">
        <f>IFERROR(__xludf.DUMMYFUNCTION("""COMPUTED_VALUE"""),0.05)</f>
        <v>0.05</v>
      </c>
      <c r="AW620" s="14">
        <f>IFERROR(__xludf.DUMMYFUNCTION("""COMPUTED_VALUE"""),1.0)</f>
        <v>1</v>
      </c>
      <c r="AX620" s="14">
        <f>IFERROR(__xludf.DUMMYFUNCTION("""COMPUTED_VALUE"""),888.0)</f>
        <v>888</v>
      </c>
      <c r="AY620" s="14">
        <f>IFERROR(__xludf.DUMMYFUNCTION("""COMPUTED_VALUE"""),0.4)</f>
        <v>0.4</v>
      </c>
      <c r="AZ620" s="14">
        <f>IFERROR(__xludf.DUMMYFUNCTION("""COMPUTED_VALUE"""),0.007)</f>
        <v>0.007</v>
      </c>
      <c r="BA620" s="14">
        <f t="shared" si="1"/>
        <v>1.407</v>
      </c>
    </row>
    <row r="621" ht="14.25" customHeight="1">
      <c r="A621" s="10" t="str">
        <f>IFERROR(__xludf.DUMMYFUNCTION("""COMPUTED_VALUE"""),"170322CA01")</f>
        <v>170322CA01</v>
      </c>
      <c r="B621" s="12" t="str">
        <f>IFERROR(__xludf.DUMMYFUNCTION("""COMPUTED_VALUE"""),"QZA-Molinos")</f>
        <v>QZA-Molinos</v>
      </c>
      <c r="C621" s="12"/>
      <c r="D621" s="12"/>
      <c r="E621" s="44">
        <f>IFERROR(__xludf.DUMMYFUNCTION("""COMPUTED_VALUE"""),44637.0)</f>
        <v>44637</v>
      </c>
      <c r="F621" s="12" t="str">
        <f>IFERROR(__xludf.DUMMYFUNCTION("""COMPUTED_VALUE"""),"TIPO I")</f>
        <v>TIPO I</v>
      </c>
      <c r="G621" s="12" t="str">
        <f>IFERROR(__xludf.DUMMYFUNCTION("""COMPUTED_VALUE"""),"Se observa coloración y se percibe olor.
Altura: 2613 msnm")</f>
        <v>Se observa coloración y se percibe olor.
Altura: 2613 msnm</v>
      </c>
      <c r="H621" s="45">
        <f>IFERROR(__xludf.DUMMYFUNCTION("""COMPUTED_VALUE"""),0.3333333333321207)</f>
        <v>0.3333333333</v>
      </c>
      <c r="I621" s="45">
        <f>IFERROR(__xludf.DUMMYFUNCTION("""COMPUTED_VALUE"""),0.4166666666678793)</f>
        <v>0.4166666667</v>
      </c>
      <c r="J621" s="12">
        <f>IFERROR(__xludf.DUMMYFUNCTION("""COMPUTED_VALUE"""),4.5)</f>
        <v>4.5</v>
      </c>
      <c r="K621" s="12">
        <f>IFERROR(__xludf.DUMMYFUNCTION("""COMPUTED_VALUE"""),0.29)</f>
        <v>0.29</v>
      </c>
      <c r="L621" s="14">
        <f>IFERROR(__xludf.DUMMYFUNCTION("""COMPUTED_VALUE"""),460.802)</f>
        <v>460.802</v>
      </c>
      <c r="M621" s="14">
        <f>IFERROR(__xludf.DUMMYFUNCTION("""COMPUTED_VALUE"""),463.138)</f>
        <v>463.138</v>
      </c>
      <c r="N621" s="14">
        <f>IFERROR(__xludf.DUMMYFUNCTION("""COMPUTED_VALUE"""),468.577)</f>
        <v>468.577</v>
      </c>
      <c r="O621" s="14">
        <f>IFERROR(__xludf.DUMMYFUNCTION("""COMPUTED_VALUE"""),471.452)</f>
        <v>471.452</v>
      </c>
      <c r="P621" s="14">
        <f>IFERROR(__xludf.DUMMYFUNCTION("""COMPUTED_VALUE"""),471.605)</f>
        <v>471.605</v>
      </c>
      <c r="Q621" s="14">
        <f>IFERROR(__xludf.DUMMYFUNCTION("""COMPUTED_VALUE"""),467.115)</f>
        <v>467.115</v>
      </c>
      <c r="R621" s="48">
        <f>IFERROR(__xludf.DUMMYFUNCTION("""COMPUTED_VALUE"""),7.1)</f>
        <v>7.1</v>
      </c>
      <c r="S621" s="48">
        <f>IFERROR(__xludf.DUMMYFUNCTION("""COMPUTED_VALUE"""),7.03)</f>
        <v>7.03</v>
      </c>
      <c r="T621" s="48">
        <f>IFERROR(__xludf.DUMMYFUNCTION("""COMPUTED_VALUE"""),7.21)</f>
        <v>7.21</v>
      </c>
      <c r="U621" s="48">
        <f>IFERROR(__xludf.DUMMYFUNCTION("""COMPUTED_VALUE"""),7.14)</f>
        <v>7.14</v>
      </c>
      <c r="V621" s="48">
        <f>IFERROR(__xludf.DUMMYFUNCTION("""COMPUTED_VALUE"""),7.16)</f>
        <v>7.16</v>
      </c>
      <c r="W621" s="14">
        <f>IFERROR(__xludf.DUMMYFUNCTION("""COMPUTED_VALUE"""),7.128)</f>
        <v>7.128</v>
      </c>
      <c r="X621" s="14">
        <f>IFERROR(__xludf.DUMMYFUNCTION("""COMPUTED_VALUE"""),13.5)</f>
        <v>13.5</v>
      </c>
      <c r="Y621" s="14">
        <f>IFERROR(__xludf.DUMMYFUNCTION("""COMPUTED_VALUE"""),14.6)</f>
        <v>14.6</v>
      </c>
      <c r="Z621" s="14">
        <f>IFERROR(__xludf.DUMMYFUNCTION("""COMPUTED_VALUE"""),16.8)</f>
        <v>16.8</v>
      </c>
      <c r="AA621" s="14">
        <f>IFERROR(__xludf.DUMMYFUNCTION("""COMPUTED_VALUE"""),16.1)</f>
        <v>16.1</v>
      </c>
      <c r="AB621" s="14">
        <f>IFERROR(__xludf.DUMMYFUNCTION("""COMPUTED_VALUE"""),15.3)</f>
        <v>15.3</v>
      </c>
      <c r="AC621" s="14">
        <f>IFERROR(__xludf.DUMMYFUNCTION("""COMPUTED_VALUE"""),15.260000000000002)</f>
        <v>15.26</v>
      </c>
      <c r="AD621" s="48">
        <f>IFERROR(__xludf.DUMMYFUNCTION("""COMPUTED_VALUE"""),303.0)</f>
        <v>303</v>
      </c>
      <c r="AE621" s="48">
        <f>IFERROR(__xludf.DUMMYFUNCTION("""COMPUTED_VALUE"""),402.0)</f>
        <v>402</v>
      </c>
      <c r="AF621" s="48">
        <f>IFERROR(__xludf.DUMMYFUNCTION("""COMPUTED_VALUE"""),430.0)</f>
        <v>430</v>
      </c>
      <c r="AG621" s="48">
        <f>IFERROR(__xludf.DUMMYFUNCTION("""COMPUTED_VALUE"""),471.0)</f>
        <v>471</v>
      </c>
      <c r="AH621" s="48">
        <f>IFERROR(__xludf.DUMMYFUNCTION("""COMPUTED_VALUE"""),477.0)</f>
        <v>477</v>
      </c>
      <c r="AI621" s="14">
        <f>IFERROR(__xludf.DUMMYFUNCTION("""COMPUTED_VALUE"""),416.6)</f>
        <v>416.6</v>
      </c>
      <c r="AJ621" s="14">
        <f>IFERROR(__xludf.DUMMYFUNCTION("""COMPUTED_VALUE"""),3.52)</f>
        <v>3.52</v>
      </c>
      <c r="AK621" s="14">
        <f>IFERROR(__xludf.DUMMYFUNCTION("""COMPUTED_VALUE"""),2.89)</f>
        <v>2.89</v>
      </c>
      <c r="AL621" s="14">
        <f>IFERROR(__xludf.DUMMYFUNCTION("""COMPUTED_VALUE"""),2.0)</f>
        <v>2</v>
      </c>
      <c r="AM621" s="14">
        <f>IFERROR(__xludf.DUMMYFUNCTION("""COMPUTED_VALUE"""),2.61)</f>
        <v>2.61</v>
      </c>
      <c r="AN621" s="14">
        <f>IFERROR(__xludf.DUMMYFUNCTION("""COMPUTED_VALUE"""),2.3)</f>
        <v>2.3</v>
      </c>
      <c r="AO621" s="14">
        <f>IFERROR(__xludf.DUMMYFUNCTION("""COMPUTED_VALUE"""),2.664)</f>
        <v>2.664</v>
      </c>
      <c r="AP621" s="14">
        <f>IFERROR(__xludf.DUMMYFUNCTION("""COMPUTED_VALUE"""),125.0)</f>
        <v>125</v>
      </c>
      <c r="AQ621" s="14">
        <f>IFERROR(__xludf.DUMMYFUNCTION("""COMPUTED_VALUE"""),161.0)</f>
        <v>161</v>
      </c>
      <c r="AR621" s="14">
        <f>IFERROR(__xludf.DUMMYFUNCTION("""COMPUTED_VALUE"""),93.0)</f>
        <v>93</v>
      </c>
      <c r="AS621" s="14">
        <f>IFERROR(__xludf.DUMMYFUNCTION("""COMPUTED_VALUE"""),12.0)</f>
        <v>12</v>
      </c>
      <c r="AT621" s="14">
        <f>IFERROR(__xludf.DUMMYFUNCTION("""COMPUTED_VALUE"""),0.07)</f>
        <v>0.07</v>
      </c>
      <c r="AU621" s="14">
        <f>IFERROR(__xludf.DUMMYFUNCTION("""COMPUTED_VALUE"""),1.043E7)</f>
        <v>10430000</v>
      </c>
      <c r="AV621" s="14">
        <f>IFERROR(__xludf.DUMMYFUNCTION("""COMPUTED_VALUE"""),7.34)</f>
        <v>7.34</v>
      </c>
      <c r="AW621" s="14">
        <f>IFERROR(__xludf.DUMMYFUNCTION("""COMPUTED_VALUE"""),61.6)</f>
        <v>61.6</v>
      </c>
      <c r="AX621" s="14">
        <f>IFERROR(__xludf.DUMMYFUNCTION("""COMPUTED_VALUE"""),983000.0)</f>
        <v>983000</v>
      </c>
      <c r="AY621" s="14">
        <f>IFERROR(__xludf.DUMMYFUNCTION("""COMPUTED_VALUE"""),0.3)</f>
        <v>0.3</v>
      </c>
      <c r="AZ621" s="14">
        <f>IFERROR(__xludf.DUMMYFUNCTION("""COMPUTED_VALUE"""),0.007)</f>
        <v>0.007</v>
      </c>
      <c r="BA621" s="14">
        <f t="shared" si="1"/>
        <v>61.907</v>
      </c>
    </row>
    <row r="622" ht="14.25" customHeight="1">
      <c r="A622" s="10" t="str">
        <f>IFERROR(__xludf.DUMMYFUNCTION("""COMPUTED_VALUE"""),"170322CA03")</f>
        <v>170322CA03</v>
      </c>
      <c r="B622" s="12" t="str">
        <f>IFERROR(__xludf.DUMMYFUNCTION("""COMPUTED_VALUE"""),"QZA-Meissen")</f>
        <v>QZA-Meissen</v>
      </c>
      <c r="C622" s="12"/>
      <c r="D622" s="12"/>
      <c r="E622" s="44">
        <f>IFERROR(__xludf.DUMMYFUNCTION("""COMPUTED_VALUE"""),44637.0)</f>
        <v>44637</v>
      </c>
      <c r="F622" s="12" t="str">
        <f>IFERROR(__xludf.DUMMYFUNCTION("""COMPUTED_VALUE"""),"TIPO I")</f>
        <v>TIPO I</v>
      </c>
      <c r="G622" s="12" t="str">
        <f>IFERROR(__xludf.DUMMYFUNCTION("""COMPUTED_VALUE"""),"Se observa coloración y se percibe olor.
Altura: 2556 msnm")</f>
        <v>Se observa coloración y se percibe olor.
Altura: 2556 msnm</v>
      </c>
      <c r="H622" s="45">
        <f>IFERROR(__xludf.DUMMYFUNCTION("""COMPUTED_VALUE"""),0.5)</f>
        <v>0.5</v>
      </c>
      <c r="I622" s="45">
        <f>IFERROR(__xludf.DUMMYFUNCTION("""COMPUTED_VALUE"""),0.5833333333321207)</f>
        <v>0.5833333333</v>
      </c>
      <c r="J622" s="12">
        <f>IFERROR(__xludf.DUMMYFUNCTION("""COMPUTED_VALUE"""),12.0)</f>
        <v>12</v>
      </c>
      <c r="K622" s="12">
        <f>IFERROR(__xludf.DUMMYFUNCTION("""COMPUTED_VALUE"""),0.1)</f>
        <v>0.1</v>
      </c>
      <c r="L622" s="14">
        <f>IFERROR(__xludf.DUMMYFUNCTION("""COMPUTED_VALUE"""),699.942)</f>
        <v>699.942</v>
      </c>
      <c r="M622" s="14">
        <f>IFERROR(__xludf.DUMMYFUNCTION("""COMPUTED_VALUE"""),700.87)</f>
        <v>700.87</v>
      </c>
      <c r="N622" s="14">
        <f>IFERROR(__xludf.DUMMYFUNCTION("""COMPUTED_VALUE"""),699.595)</f>
        <v>699.595</v>
      </c>
      <c r="O622" s="14">
        <f>IFERROR(__xludf.DUMMYFUNCTION("""COMPUTED_VALUE"""),706.019)</f>
        <v>706.019</v>
      </c>
      <c r="P622" s="14">
        <f>IFERROR(__xludf.DUMMYFUNCTION("""COMPUTED_VALUE"""),703.429)</f>
        <v>703.429</v>
      </c>
      <c r="Q622" s="14">
        <f>IFERROR(__xludf.DUMMYFUNCTION("""COMPUTED_VALUE"""),701.971)</f>
        <v>701.971</v>
      </c>
      <c r="R622" s="48">
        <f>IFERROR(__xludf.DUMMYFUNCTION("""COMPUTED_VALUE"""),6.8)</f>
        <v>6.8</v>
      </c>
      <c r="S622" s="48">
        <f>IFERROR(__xludf.DUMMYFUNCTION("""COMPUTED_VALUE"""),6.96)</f>
        <v>6.96</v>
      </c>
      <c r="T622" s="48">
        <f>IFERROR(__xludf.DUMMYFUNCTION("""COMPUTED_VALUE"""),6.87)</f>
        <v>6.87</v>
      </c>
      <c r="U622" s="48">
        <f>IFERROR(__xludf.DUMMYFUNCTION("""COMPUTED_VALUE"""),6.92)</f>
        <v>6.92</v>
      </c>
      <c r="V622" s="48">
        <f>IFERROR(__xludf.DUMMYFUNCTION("""COMPUTED_VALUE"""),6.91)</f>
        <v>6.91</v>
      </c>
      <c r="W622" s="14">
        <f>IFERROR(__xludf.DUMMYFUNCTION("""COMPUTED_VALUE"""),6.891999999999999)</f>
        <v>6.892</v>
      </c>
      <c r="X622" s="14">
        <f>IFERROR(__xludf.DUMMYFUNCTION("""COMPUTED_VALUE"""),17.7)</f>
        <v>17.7</v>
      </c>
      <c r="Y622" s="14">
        <f>IFERROR(__xludf.DUMMYFUNCTION("""COMPUTED_VALUE"""),19.2)</f>
        <v>19.2</v>
      </c>
      <c r="Z622" s="14">
        <f>IFERROR(__xludf.DUMMYFUNCTION("""COMPUTED_VALUE"""),20.2)</f>
        <v>20.2</v>
      </c>
      <c r="AA622" s="14">
        <f>IFERROR(__xludf.DUMMYFUNCTION("""COMPUTED_VALUE"""),18.7)</f>
        <v>18.7</v>
      </c>
      <c r="AB622" s="14">
        <f>IFERROR(__xludf.DUMMYFUNCTION("""COMPUTED_VALUE"""),17.9)</f>
        <v>17.9</v>
      </c>
      <c r="AC622" s="14">
        <f>IFERROR(__xludf.DUMMYFUNCTION("""COMPUTED_VALUE"""),18.74)</f>
        <v>18.74</v>
      </c>
      <c r="AD622" s="48">
        <f>IFERROR(__xludf.DUMMYFUNCTION("""COMPUTED_VALUE"""),466.0)</f>
        <v>466</v>
      </c>
      <c r="AE622" s="48">
        <f>IFERROR(__xludf.DUMMYFUNCTION("""COMPUTED_VALUE"""),542.0)</f>
        <v>542</v>
      </c>
      <c r="AF622" s="48">
        <f>IFERROR(__xludf.DUMMYFUNCTION("""COMPUTED_VALUE"""),563.0)</f>
        <v>563</v>
      </c>
      <c r="AG622" s="48">
        <f>IFERROR(__xludf.DUMMYFUNCTION("""COMPUTED_VALUE"""),540.0)</f>
        <v>540</v>
      </c>
      <c r="AH622" s="48">
        <f>IFERROR(__xludf.DUMMYFUNCTION("""COMPUTED_VALUE"""),545.0)</f>
        <v>545</v>
      </c>
      <c r="AI622" s="14">
        <f>IFERROR(__xludf.DUMMYFUNCTION("""COMPUTED_VALUE"""),531.2)</f>
        <v>531.2</v>
      </c>
      <c r="AJ622" s="14">
        <f>IFERROR(__xludf.DUMMYFUNCTION("""COMPUTED_VALUE"""),1.9)</f>
        <v>1.9</v>
      </c>
      <c r="AK622" s="14">
        <f>IFERROR(__xludf.DUMMYFUNCTION("""COMPUTED_VALUE"""),1.64)</f>
        <v>1.64</v>
      </c>
      <c r="AL622" s="14">
        <f>IFERROR(__xludf.DUMMYFUNCTION("""COMPUTED_VALUE"""),1.47)</f>
        <v>1.47</v>
      </c>
      <c r="AM622" s="14">
        <f>IFERROR(__xludf.DUMMYFUNCTION("""COMPUTED_VALUE"""),1.52)</f>
        <v>1.52</v>
      </c>
      <c r="AN622" s="14">
        <f>IFERROR(__xludf.DUMMYFUNCTION("""COMPUTED_VALUE"""),1.04)</f>
        <v>1.04</v>
      </c>
      <c r="AO622" s="14">
        <f>IFERROR(__xludf.DUMMYFUNCTION("""COMPUTED_VALUE"""),1.5139999999999998)</f>
        <v>1.514</v>
      </c>
      <c r="AP622" s="14">
        <f>IFERROR(__xludf.DUMMYFUNCTION("""COMPUTED_VALUE"""),102.0)</f>
        <v>102</v>
      </c>
      <c r="AQ622" s="14">
        <f>IFERROR(__xludf.DUMMYFUNCTION("""COMPUTED_VALUE"""),192.0)</f>
        <v>192</v>
      </c>
      <c r="AR622" s="14">
        <f>IFERROR(__xludf.DUMMYFUNCTION("""COMPUTED_VALUE"""),87.0)</f>
        <v>87</v>
      </c>
      <c r="AS622" s="14">
        <f>IFERROR(__xludf.DUMMYFUNCTION("""COMPUTED_VALUE"""),5.0)</f>
        <v>5</v>
      </c>
      <c r="AT622" s="14">
        <f>IFERROR(__xludf.DUMMYFUNCTION("""COMPUTED_VALUE"""),3.85)</f>
        <v>3.85</v>
      </c>
      <c r="AU622" s="14">
        <f>IFERROR(__xludf.DUMMYFUNCTION("""COMPUTED_VALUE"""),6980000.0)</f>
        <v>6980000</v>
      </c>
      <c r="AV622" s="14">
        <f>IFERROR(__xludf.DUMMYFUNCTION("""COMPUTED_VALUE"""),3.92)</f>
        <v>3.92</v>
      </c>
      <c r="AW622" s="14">
        <f>IFERROR(__xludf.DUMMYFUNCTION("""COMPUTED_VALUE"""),42.3)</f>
        <v>42.3</v>
      </c>
      <c r="AX622" s="14">
        <f>IFERROR(__xludf.DUMMYFUNCTION("""COMPUTED_VALUE"""),56700.0)</f>
        <v>56700</v>
      </c>
      <c r="AY622" s="14">
        <f>IFERROR(__xludf.DUMMYFUNCTION("""COMPUTED_VALUE"""),0.2)</f>
        <v>0.2</v>
      </c>
      <c r="AZ622" s="14">
        <f>IFERROR(__xludf.DUMMYFUNCTION("""COMPUTED_VALUE"""),0.007)</f>
        <v>0.007</v>
      </c>
      <c r="BA622" s="14">
        <f t="shared" si="1"/>
        <v>42.507</v>
      </c>
    </row>
    <row r="623" ht="14.25" customHeight="1">
      <c r="A623" s="10" t="str">
        <f>IFERROR(__xludf.DUMMYFUNCTION("""COMPUTED_VALUE"""),"170322AN03")</f>
        <v>170322AN03</v>
      </c>
      <c r="B623" s="12" t="str">
        <f>IFERROR(__xludf.DUMMYFUNCTION("""COMPUTED_VALUE"""),"QZA-Entre Nubes")</f>
        <v>QZA-Entre Nubes</v>
      </c>
      <c r="C623" s="12"/>
      <c r="D623" s="12"/>
      <c r="E623" s="44">
        <f>IFERROR(__xludf.DUMMYFUNCTION("""COMPUTED_VALUE"""),44637.0)</f>
        <v>44637</v>
      </c>
      <c r="F623" s="12" t="str">
        <f>IFERROR(__xludf.DUMMYFUNCTION("""COMPUTED_VALUE"""),"TIPO I")</f>
        <v>TIPO I</v>
      </c>
      <c r="G623" s="12" t="str">
        <f>IFERROR(__xludf.DUMMYFUNCTION("""COMPUTED_VALUE"""),"Se observa presencia de coloración y se perciben olores ")</f>
        <v>Se observa presencia de coloración y se perciben olores </v>
      </c>
      <c r="H623" s="45">
        <f>IFERROR(__xludf.DUMMYFUNCTION("""COMPUTED_VALUE"""),0.5)</f>
        <v>0.5</v>
      </c>
      <c r="I623" s="45">
        <f>IFERROR(__xludf.DUMMYFUNCTION("""COMPUTED_VALUE"""),0.5833333333321207)</f>
        <v>0.5833333333</v>
      </c>
      <c r="J623" s="12">
        <f>IFERROR(__xludf.DUMMYFUNCTION("""COMPUTED_VALUE"""),3.7)</f>
        <v>3.7</v>
      </c>
      <c r="K623" s="12">
        <f>IFERROR(__xludf.DUMMYFUNCTION("""COMPUTED_VALUE"""),0.31)</f>
        <v>0.31</v>
      </c>
      <c r="L623" s="14">
        <f>IFERROR(__xludf.DUMMYFUNCTION("""COMPUTED_VALUE"""),193.914)</f>
        <v>193.914</v>
      </c>
      <c r="M623" s="14">
        <f>IFERROR(__xludf.DUMMYFUNCTION("""COMPUTED_VALUE"""),186.705)</f>
        <v>186.705</v>
      </c>
      <c r="N623" s="14">
        <f>IFERROR(__xludf.DUMMYFUNCTION("""COMPUTED_VALUE"""),187.982)</f>
        <v>187.982</v>
      </c>
      <c r="O623" s="14">
        <f>IFERROR(__xludf.DUMMYFUNCTION("""COMPUTED_VALUE"""),182.073)</f>
        <v>182.073</v>
      </c>
      <c r="P623" s="14">
        <f>IFERROR(__xludf.DUMMYFUNCTION("""COMPUTED_VALUE"""),193.382)</f>
        <v>193.382</v>
      </c>
      <c r="Q623" s="14">
        <f>IFERROR(__xludf.DUMMYFUNCTION("""COMPUTED_VALUE"""),188.811)</f>
        <v>188.811</v>
      </c>
      <c r="R623" s="48">
        <f>IFERROR(__xludf.DUMMYFUNCTION("""COMPUTED_VALUE"""),8.18)</f>
        <v>8.18</v>
      </c>
      <c r="S623" s="48">
        <f>IFERROR(__xludf.DUMMYFUNCTION("""COMPUTED_VALUE"""),8.27)</f>
        <v>8.27</v>
      </c>
      <c r="T623" s="48">
        <f>IFERROR(__xludf.DUMMYFUNCTION("""COMPUTED_VALUE"""),8.29)</f>
        <v>8.29</v>
      </c>
      <c r="U623" s="48">
        <f>IFERROR(__xludf.DUMMYFUNCTION("""COMPUTED_VALUE"""),8.22)</f>
        <v>8.22</v>
      </c>
      <c r="V623" s="48">
        <f>IFERROR(__xludf.DUMMYFUNCTION("""COMPUTED_VALUE"""),8.21)</f>
        <v>8.21</v>
      </c>
      <c r="W623" s="14">
        <f>IFERROR(__xludf.DUMMYFUNCTION("""COMPUTED_VALUE"""),8.234)</f>
        <v>8.234</v>
      </c>
      <c r="X623" s="14">
        <f>IFERROR(__xludf.DUMMYFUNCTION("""COMPUTED_VALUE"""),15.5)</f>
        <v>15.5</v>
      </c>
      <c r="Y623" s="14">
        <f>IFERROR(__xludf.DUMMYFUNCTION("""COMPUTED_VALUE"""),15.0)</f>
        <v>15</v>
      </c>
      <c r="Z623" s="14">
        <f>IFERROR(__xludf.DUMMYFUNCTION("""COMPUTED_VALUE"""),15.5)</f>
        <v>15.5</v>
      </c>
      <c r="AA623" s="14">
        <f>IFERROR(__xludf.DUMMYFUNCTION("""COMPUTED_VALUE"""),15.8)</f>
        <v>15.8</v>
      </c>
      <c r="AB623" s="14">
        <f>IFERROR(__xludf.DUMMYFUNCTION("""COMPUTED_VALUE"""),16.0)</f>
        <v>16</v>
      </c>
      <c r="AC623" s="14">
        <f>IFERROR(__xludf.DUMMYFUNCTION("""COMPUTED_VALUE"""),15.559999999999999)</f>
        <v>15.56</v>
      </c>
      <c r="AD623" s="48">
        <f>IFERROR(__xludf.DUMMYFUNCTION("""COMPUTED_VALUE"""),530.0)</f>
        <v>530</v>
      </c>
      <c r="AE623" s="48">
        <f>IFERROR(__xludf.DUMMYFUNCTION("""COMPUTED_VALUE"""),557.0)</f>
        <v>557</v>
      </c>
      <c r="AF623" s="48">
        <f>IFERROR(__xludf.DUMMYFUNCTION("""COMPUTED_VALUE"""),491.0)</f>
        <v>491</v>
      </c>
      <c r="AG623" s="48">
        <f>IFERROR(__xludf.DUMMYFUNCTION("""COMPUTED_VALUE"""),484.0)</f>
        <v>484</v>
      </c>
      <c r="AH623" s="48">
        <f>IFERROR(__xludf.DUMMYFUNCTION("""COMPUTED_VALUE"""),495.0)</f>
        <v>495</v>
      </c>
      <c r="AI623" s="14">
        <f>IFERROR(__xludf.DUMMYFUNCTION("""COMPUTED_VALUE"""),511.4)</f>
        <v>511.4</v>
      </c>
      <c r="AJ623" s="14">
        <f>IFERROR(__xludf.DUMMYFUNCTION("""COMPUTED_VALUE"""),4.78)</f>
        <v>4.78</v>
      </c>
      <c r="AK623" s="14">
        <f>IFERROR(__xludf.DUMMYFUNCTION("""COMPUTED_VALUE"""),4.89)</f>
        <v>4.89</v>
      </c>
      <c r="AL623" s="14">
        <f>IFERROR(__xludf.DUMMYFUNCTION("""COMPUTED_VALUE"""),5.17)</f>
        <v>5.17</v>
      </c>
      <c r="AM623" s="14">
        <f>IFERROR(__xludf.DUMMYFUNCTION("""COMPUTED_VALUE"""),4.87)</f>
        <v>4.87</v>
      </c>
      <c r="AN623" s="14">
        <f>IFERROR(__xludf.DUMMYFUNCTION("""COMPUTED_VALUE"""),4.66)</f>
        <v>4.66</v>
      </c>
      <c r="AO623" s="14">
        <f>IFERROR(__xludf.DUMMYFUNCTION("""COMPUTED_VALUE"""),4.8740000000000006)</f>
        <v>4.874</v>
      </c>
      <c r="AP623" s="14">
        <f>IFERROR(__xludf.DUMMYFUNCTION("""COMPUTED_VALUE"""),156.0)</f>
        <v>156</v>
      </c>
      <c r="AQ623" s="14">
        <f>IFERROR(__xludf.DUMMYFUNCTION("""COMPUTED_VALUE"""),232.0)</f>
        <v>232</v>
      </c>
      <c r="AR623" s="14">
        <f>IFERROR(__xludf.DUMMYFUNCTION("""COMPUTED_VALUE"""),76.0)</f>
        <v>76</v>
      </c>
      <c r="AS623" s="14">
        <f>IFERROR(__xludf.DUMMYFUNCTION("""COMPUTED_VALUE"""),6.0)</f>
        <v>6</v>
      </c>
      <c r="AT623" s="14">
        <f>IFERROR(__xludf.DUMMYFUNCTION("""COMPUTED_VALUE"""),4.36)</f>
        <v>4.36</v>
      </c>
      <c r="AU623" s="14">
        <f>IFERROR(__xludf.DUMMYFUNCTION("""COMPUTED_VALUE"""),5920000.0)</f>
        <v>5920000</v>
      </c>
      <c r="AV623" s="14">
        <f>IFERROR(__xludf.DUMMYFUNCTION("""COMPUTED_VALUE"""),3.08)</f>
        <v>3.08</v>
      </c>
      <c r="AW623" s="14">
        <f>IFERROR(__xludf.DUMMYFUNCTION("""COMPUTED_VALUE"""),29.7)</f>
        <v>29.7</v>
      </c>
      <c r="AX623" s="14">
        <f>IFERROR(__xludf.DUMMYFUNCTION("""COMPUTED_VALUE"""),49600.0)</f>
        <v>49600</v>
      </c>
      <c r="AY623" s="14">
        <f>IFERROR(__xludf.DUMMYFUNCTION("""COMPUTED_VALUE"""),0.2)</f>
        <v>0.2</v>
      </c>
      <c r="AZ623" s="14">
        <f>IFERROR(__xludf.DUMMYFUNCTION("""COMPUTED_VALUE"""),0.007)</f>
        <v>0.007</v>
      </c>
      <c r="BA623" s="14">
        <f t="shared" si="1"/>
        <v>29.907</v>
      </c>
    </row>
    <row r="624" ht="14.25" customHeight="1">
      <c r="A624" s="10" t="str">
        <f>IFERROR(__xludf.DUMMYFUNCTION("""COMPUTED_VALUE"""),"090322DI02")</f>
        <v>090322DI02</v>
      </c>
      <c r="B624" s="12" t="str">
        <f>IFERROR(__xludf.DUMMYFUNCTION("""COMPUTED_VALUE"""),"QSL-Barranquillita")</f>
        <v>QSL-Barranquillita</v>
      </c>
      <c r="C624" s="12"/>
      <c r="D624" s="12"/>
      <c r="E624" s="44">
        <f>IFERROR(__xludf.DUMMYFUNCTION("""COMPUTED_VALUE"""),44629.0)</f>
        <v>44629</v>
      </c>
      <c r="F624" s="12" t="str">
        <f>IFERROR(__xludf.DUMMYFUNCTION("""COMPUTED_VALUE"""),"TIPO I")</f>
        <v>TIPO I</v>
      </c>
      <c r="G624" s="12" t="str">
        <f>IFERROR(__xludf.DUMMYFUNCTION("""COMPUTED_VALUE"""),"Durante el monitoreo se evidencio color y olor y presencia de espuma, el lecho se muestra rocoso - arenoso.")</f>
        <v>Durante el monitoreo se evidencio color y olor y presencia de espuma, el lecho se muestra rocoso - arenoso.</v>
      </c>
      <c r="H624" s="45">
        <f>IFERROR(__xludf.DUMMYFUNCTION("""COMPUTED_VALUE"""),0.5)</f>
        <v>0.5</v>
      </c>
      <c r="I624" s="45">
        <f>IFERROR(__xludf.DUMMYFUNCTION("""COMPUTED_VALUE"""),0.5833333333321207)</f>
        <v>0.5833333333</v>
      </c>
      <c r="J624" s="12">
        <f>IFERROR(__xludf.DUMMYFUNCTION("""COMPUTED_VALUE"""),2.2)</f>
        <v>2.2</v>
      </c>
      <c r="K624" s="12">
        <f>IFERROR(__xludf.DUMMYFUNCTION("""COMPUTED_VALUE"""),0.16)</f>
        <v>0.16</v>
      </c>
      <c r="L624" s="14">
        <f>IFERROR(__xludf.DUMMYFUNCTION("""COMPUTED_VALUE"""),50.695)</f>
        <v>50.695</v>
      </c>
      <c r="M624" s="14">
        <f>IFERROR(__xludf.DUMMYFUNCTION("""COMPUTED_VALUE"""),51.078)</f>
        <v>51.078</v>
      </c>
      <c r="N624" s="14">
        <f>IFERROR(__xludf.DUMMYFUNCTION("""COMPUTED_VALUE"""),51.1)</f>
        <v>51.1</v>
      </c>
      <c r="O624" s="14">
        <f>IFERROR(__xludf.DUMMYFUNCTION("""COMPUTED_VALUE"""),51.127)</f>
        <v>51.127</v>
      </c>
      <c r="P624" s="14">
        <f>IFERROR(__xludf.DUMMYFUNCTION("""COMPUTED_VALUE"""),51.371)</f>
        <v>51.371</v>
      </c>
      <c r="Q624" s="14">
        <f>IFERROR(__xludf.DUMMYFUNCTION("""COMPUTED_VALUE"""),51.074)</f>
        <v>51.074</v>
      </c>
      <c r="R624" s="48">
        <f>IFERROR(__xludf.DUMMYFUNCTION("""COMPUTED_VALUE"""),6.89)</f>
        <v>6.89</v>
      </c>
      <c r="S624" s="48">
        <f>IFERROR(__xludf.DUMMYFUNCTION("""COMPUTED_VALUE"""),7.02)</f>
        <v>7.02</v>
      </c>
      <c r="T624" s="48">
        <f>IFERROR(__xludf.DUMMYFUNCTION("""COMPUTED_VALUE"""),6.96)</f>
        <v>6.96</v>
      </c>
      <c r="U624" s="48">
        <f>IFERROR(__xludf.DUMMYFUNCTION("""COMPUTED_VALUE"""),6.85)</f>
        <v>6.85</v>
      </c>
      <c r="V624" s="48">
        <f>IFERROR(__xludf.DUMMYFUNCTION("""COMPUTED_VALUE"""),6.86)</f>
        <v>6.86</v>
      </c>
      <c r="W624" s="14">
        <f>IFERROR(__xludf.DUMMYFUNCTION("""COMPUTED_VALUE"""),6.9159999999999995)</f>
        <v>6.916</v>
      </c>
      <c r="X624" s="14">
        <f>IFERROR(__xludf.DUMMYFUNCTION("""COMPUTED_VALUE"""),15.3)</f>
        <v>15.3</v>
      </c>
      <c r="Y624" s="14">
        <f>IFERROR(__xludf.DUMMYFUNCTION("""COMPUTED_VALUE"""),14.7)</f>
        <v>14.7</v>
      </c>
      <c r="Z624" s="14">
        <f>IFERROR(__xludf.DUMMYFUNCTION("""COMPUTED_VALUE"""),14.6)</f>
        <v>14.6</v>
      </c>
      <c r="AA624" s="14">
        <f>IFERROR(__xludf.DUMMYFUNCTION("""COMPUTED_VALUE"""),14.5)</f>
        <v>14.5</v>
      </c>
      <c r="AB624" s="14">
        <f>IFERROR(__xludf.DUMMYFUNCTION("""COMPUTED_VALUE"""),14.5)</f>
        <v>14.5</v>
      </c>
      <c r="AC624" s="14">
        <f>IFERROR(__xludf.DUMMYFUNCTION("""COMPUTED_VALUE"""),14.719999999999999)</f>
        <v>14.72</v>
      </c>
      <c r="AD624" s="48">
        <f>IFERROR(__xludf.DUMMYFUNCTION("""COMPUTED_VALUE"""),323.0)</f>
        <v>323</v>
      </c>
      <c r="AE624" s="48">
        <f>IFERROR(__xludf.DUMMYFUNCTION("""COMPUTED_VALUE"""),390.0)</f>
        <v>390</v>
      </c>
      <c r="AF624" s="48">
        <f>IFERROR(__xludf.DUMMYFUNCTION("""COMPUTED_VALUE"""),378.0)</f>
        <v>378</v>
      </c>
      <c r="AG624" s="48">
        <f>IFERROR(__xludf.DUMMYFUNCTION("""COMPUTED_VALUE"""),318.0)</f>
        <v>318</v>
      </c>
      <c r="AH624" s="48">
        <f>IFERROR(__xludf.DUMMYFUNCTION("""COMPUTED_VALUE"""),276.0)</f>
        <v>276</v>
      </c>
      <c r="AI624" s="14">
        <f>IFERROR(__xludf.DUMMYFUNCTION("""COMPUTED_VALUE"""),337.0)</f>
        <v>337</v>
      </c>
      <c r="AJ624" s="14">
        <f>IFERROR(__xludf.DUMMYFUNCTION("""COMPUTED_VALUE"""),4.96)</f>
        <v>4.96</v>
      </c>
      <c r="AK624" s="14">
        <f>IFERROR(__xludf.DUMMYFUNCTION("""COMPUTED_VALUE"""),5.25)</f>
        <v>5.25</v>
      </c>
      <c r="AL624" s="14">
        <f>IFERROR(__xludf.DUMMYFUNCTION("""COMPUTED_VALUE"""),4.62)</f>
        <v>4.62</v>
      </c>
      <c r="AM624" s="14">
        <f>IFERROR(__xludf.DUMMYFUNCTION("""COMPUTED_VALUE"""),4.91)</f>
        <v>4.91</v>
      </c>
      <c r="AN624" s="14">
        <f>IFERROR(__xludf.DUMMYFUNCTION("""COMPUTED_VALUE"""),4.73)</f>
        <v>4.73</v>
      </c>
      <c r="AO624" s="14">
        <f>IFERROR(__xludf.DUMMYFUNCTION("""COMPUTED_VALUE"""),4.894)</f>
        <v>4.894</v>
      </c>
      <c r="AP624" s="14">
        <f>IFERROR(__xludf.DUMMYFUNCTION("""COMPUTED_VALUE"""),25.0)</f>
        <v>25</v>
      </c>
      <c r="AQ624" s="14">
        <f>IFERROR(__xludf.DUMMYFUNCTION("""COMPUTED_VALUE"""),43.0)</f>
        <v>43</v>
      </c>
      <c r="AR624" s="14">
        <f>IFERROR(__xludf.DUMMYFUNCTION("""COMPUTED_VALUE"""),20.0)</f>
        <v>20</v>
      </c>
      <c r="AS624" s="14">
        <f>IFERROR(__xludf.DUMMYFUNCTION("""COMPUTED_VALUE"""),1.2)</f>
        <v>1.2</v>
      </c>
      <c r="AT624" s="14">
        <f>IFERROR(__xludf.DUMMYFUNCTION("""COMPUTED_VALUE"""),0.07)</f>
        <v>0.07</v>
      </c>
      <c r="AU624" s="14">
        <f>IFERROR(__xludf.DUMMYFUNCTION("""COMPUTED_VALUE"""),684000.0)</f>
        <v>684000</v>
      </c>
      <c r="AV624" s="14">
        <f>IFERROR(__xludf.DUMMYFUNCTION("""COMPUTED_VALUE"""),3.29)</f>
        <v>3.29</v>
      </c>
      <c r="AW624" s="14">
        <f>IFERROR(__xludf.DUMMYFUNCTION("""COMPUTED_VALUE"""),15.4)</f>
        <v>15.4</v>
      </c>
      <c r="AX624" s="14">
        <f>IFERROR(__xludf.DUMMYFUNCTION("""COMPUTED_VALUE"""),51200.0)</f>
        <v>51200</v>
      </c>
      <c r="AY624" s="14">
        <f>IFERROR(__xludf.DUMMYFUNCTION("""COMPUTED_VALUE"""),0.3)</f>
        <v>0.3</v>
      </c>
      <c r="AZ624" s="14">
        <f>IFERROR(__xludf.DUMMYFUNCTION("""COMPUTED_VALUE"""),0.066)</f>
        <v>0.066</v>
      </c>
      <c r="BA624" s="14">
        <f t="shared" si="1"/>
        <v>15.766</v>
      </c>
    </row>
    <row r="625" ht="14.25" customHeight="1">
      <c r="A625" s="10" t="str">
        <f>IFERROR(__xludf.DUMMYFUNCTION("""COMPUTED_VALUE"""),"160322DU02")</f>
        <v>160322DU02</v>
      </c>
      <c r="B625" s="12" t="str">
        <f>IFERROR(__xludf.DUMMYFUNCTION("""COMPUTED_VALUE"""),"QLI-El Satélite")</f>
        <v>QLI-El Satélite</v>
      </c>
      <c r="C625" s="12"/>
      <c r="D625" s="12"/>
      <c r="E625" s="44">
        <f>IFERROR(__xludf.DUMMYFUNCTION("""COMPUTED_VALUE"""),44636.0)</f>
        <v>44636</v>
      </c>
      <c r="F625" s="12" t="str">
        <f>IFERROR(__xludf.DUMMYFUNCTION("""COMPUTED_VALUE"""),"TIPO I")</f>
        <v>TIPO I</v>
      </c>
      <c r="G625" s="12" t="str">
        <f>IFERROR(__xludf.DUMMYFUNCTION("""COMPUTED_VALUE"""),"Durante el monitoreo se presento color y olor.
Altitud: 2582 msnm ")</f>
        <v>Durante el monitoreo se presento color y olor.
Altitud: 2582 msnm </v>
      </c>
      <c r="H625" s="45">
        <f>IFERROR(__xludf.DUMMYFUNCTION("""COMPUTED_VALUE"""),0.5)</f>
        <v>0.5</v>
      </c>
      <c r="I625" s="45">
        <f>IFERROR(__xludf.DUMMYFUNCTION("""COMPUTED_VALUE"""),0.5833333333321207)</f>
        <v>0.5833333333</v>
      </c>
      <c r="J625" s="12">
        <f>IFERROR(__xludf.DUMMYFUNCTION("""COMPUTED_VALUE"""),3.0)</f>
        <v>3</v>
      </c>
      <c r="K625" s="12">
        <f>IFERROR(__xludf.DUMMYFUNCTION("""COMPUTED_VALUE"""),0.22)</f>
        <v>0.22</v>
      </c>
      <c r="L625" s="14">
        <f>IFERROR(__xludf.DUMMYFUNCTION("""COMPUTED_VALUE"""),163.758)</f>
        <v>163.758</v>
      </c>
      <c r="M625" s="14">
        <f>IFERROR(__xludf.DUMMYFUNCTION("""COMPUTED_VALUE"""),171.021)</f>
        <v>171.021</v>
      </c>
      <c r="N625" s="14">
        <f>IFERROR(__xludf.DUMMYFUNCTION("""COMPUTED_VALUE"""),169.044)</f>
        <v>169.044</v>
      </c>
      <c r="O625" s="14">
        <f>IFERROR(__xludf.DUMMYFUNCTION("""COMPUTED_VALUE"""),161.648)</f>
        <v>161.648</v>
      </c>
      <c r="P625" s="14">
        <f>IFERROR(__xludf.DUMMYFUNCTION("""COMPUTED_VALUE"""),173.309)</f>
        <v>173.309</v>
      </c>
      <c r="Q625" s="14">
        <f>IFERROR(__xludf.DUMMYFUNCTION("""COMPUTED_VALUE"""),167.756)</f>
        <v>167.756</v>
      </c>
      <c r="R625" s="48">
        <f>IFERROR(__xludf.DUMMYFUNCTION("""COMPUTED_VALUE"""),7.97)</f>
        <v>7.97</v>
      </c>
      <c r="S625" s="48">
        <f>IFERROR(__xludf.DUMMYFUNCTION("""COMPUTED_VALUE"""),8.71)</f>
        <v>8.71</v>
      </c>
      <c r="T625" s="48">
        <f>IFERROR(__xludf.DUMMYFUNCTION("""COMPUTED_VALUE"""),8.58)</f>
        <v>8.58</v>
      </c>
      <c r="U625" s="48">
        <f>IFERROR(__xludf.DUMMYFUNCTION("""COMPUTED_VALUE"""),8.19)</f>
        <v>8.19</v>
      </c>
      <c r="V625" s="48">
        <f>IFERROR(__xludf.DUMMYFUNCTION("""COMPUTED_VALUE"""),8.18)</f>
        <v>8.18</v>
      </c>
      <c r="W625" s="14">
        <f>IFERROR(__xludf.DUMMYFUNCTION("""COMPUTED_VALUE"""),8.325999999999999)</f>
        <v>8.326</v>
      </c>
      <c r="X625" s="14">
        <f>IFERROR(__xludf.DUMMYFUNCTION("""COMPUTED_VALUE"""),17.8)</f>
        <v>17.8</v>
      </c>
      <c r="Y625" s="14">
        <f>IFERROR(__xludf.DUMMYFUNCTION("""COMPUTED_VALUE"""),17.9)</f>
        <v>17.9</v>
      </c>
      <c r="Z625" s="14">
        <f>IFERROR(__xludf.DUMMYFUNCTION("""COMPUTED_VALUE"""),17.8)</f>
        <v>17.8</v>
      </c>
      <c r="AA625" s="14">
        <f>IFERROR(__xludf.DUMMYFUNCTION("""COMPUTED_VALUE"""),18.0)</f>
        <v>18</v>
      </c>
      <c r="AB625" s="14">
        <f>IFERROR(__xludf.DUMMYFUNCTION("""COMPUTED_VALUE"""),18.2)</f>
        <v>18.2</v>
      </c>
      <c r="AC625" s="14">
        <f>IFERROR(__xludf.DUMMYFUNCTION("""COMPUTED_VALUE"""),17.94)</f>
        <v>17.94</v>
      </c>
      <c r="AD625" s="48">
        <f>IFERROR(__xludf.DUMMYFUNCTION("""COMPUTED_VALUE"""),749.0)</f>
        <v>749</v>
      </c>
      <c r="AE625" s="48">
        <f>IFERROR(__xludf.DUMMYFUNCTION("""COMPUTED_VALUE"""),682.0)</f>
        <v>682</v>
      </c>
      <c r="AF625" s="48">
        <f>IFERROR(__xludf.DUMMYFUNCTION("""COMPUTED_VALUE"""),654.0)</f>
        <v>654</v>
      </c>
      <c r="AG625" s="48">
        <f>IFERROR(__xludf.DUMMYFUNCTION("""COMPUTED_VALUE"""),654.0)</f>
        <v>654</v>
      </c>
      <c r="AH625" s="48">
        <f>IFERROR(__xludf.DUMMYFUNCTION("""COMPUTED_VALUE"""),761.0)</f>
        <v>761</v>
      </c>
      <c r="AI625" s="14">
        <f>IFERROR(__xludf.DUMMYFUNCTION("""COMPUTED_VALUE"""),700.0)</f>
        <v>700</v>
      </c>
      <c r="AJ625" s="14">
        <f>IFERROR(__xludf.DUMMYFUNCTION("""COMPUTED_VALUE"""),3.93)</f>
        <v>3.93</v>
      </c>
      <c r="AK625" s="14">
        <f>IFERROR(__xludf.DUMMYFUNCTION("""COMPUTED_VALUE"""),4.01)</f>
        <v>4.01</v>
      </c>
      <c r="AL625" s="14">
        <f>IFERROR(__xludf.DUMMYFUNCTION("""COMPUTED_VALUE"""),3.18)</f>
        <v>3.18</v>
      </c>
      <c r="AM625" s="14">
        <f>IFERROR(__xludf.DUMMYFUNCTION("""COMPUTED_VALUE"""),2.93)</f>
        <v>2.93</v>
      </c>
      <c r="AN625" s="14">
        <f>IFERROR(__xludf.DUMMYFUNCTION("""COMPUTED_VALUE"""),2.67)</f>
        <v>2.67</v>
      </c>
      <c r="AO625" s="14">
        <f>IFERROR(__xludf.DUMMYFUNCTION("""COMPUTED_VALUE"""),3.344)</f>
        <v>3.344</v>
      </c>
      <c r="AP625" s="14">
        <f>IFERROR(__xludf.DUMMYFUNCTION("""COMPUTED_VALUE"""),125.0)</f>
        <v>125</v>
      </c>
      <c r="AQ625" s="14">
        <f>IFERROR(__xludf.DUMMYFUNCTION("""COMPUTED_VALUE"""),209.0)</f>
        <v>209</v>
      </c>
      <c r="AR625" s="14">
        <f>IFERROR(__xludf.DUMMYFUNCTION("""COMPUTED_VALUE"""),274.0)</f>
        <v>274</v>
      </c>
      <c r="AS625" s="14">
        <f>IFERROR(__xludf.DUMMYFUNCTION("""COMPUTED_VALUE"""),1.2)</f>
        <v>1.2</v>
      </c>
      <c r="AT625" s="14">
        <f>IFERROR(__xludf.DUMMYFUNCTION("""COMPUTED_VALUE"""),4.54)</f>
        <v>4.54</v>
      </c>
      <c r="AU625" s="14">
        <f>IFERROR(__xludf.DUMMYFUNCTION("""COMPUTED_VALUE"""),1.586E8)</f>
        <v>158600000</v>
      </c>
      <c r="AV625" s="14">
        <f>IFERROR(__xludf.DUMMYFUNCTION("""COMPUTED_VALUE"""),0.42)</f>
        <v>0.42</v>
      </c>
      <c r="AW625" s="14">
        <f>IFERROR(__xludf.DUMMYFUNCTION("""COMPUTED_VALUE"""),38.6)</f>
        <v>38.6</v>
      </c>
      <c r="AX625" s="14">
        <f>IFERROR(__xludf.DUMMYFUNCTION("""COMPUTED_VALUE"""),1153000.0)</f>
        <v>1153000</v>
      </c>
      <c r="AY625" s="14">
        <f>IFERROR(__xludf.DUMMYFUNCTION("""COMPUTED_VALUE"""),1.0)</f>
        <v>1</v>
      </c>
      <c r="AZ625" s="14">
        <f>IFERROR(__xludf.DUMMYFUNCTION("""COMPUTED_VALUE"""),0.007)</f>
        <v>0.007</v>
      </c>
      <c r="BA625" s="14">
        <f t="shared" si="1"/>
        <v>39.607</v>
      </c>
    </row>
    <row r="626" ht="14.25" customHeight="1">
      <c r="A626" s="10" t="str">
        <f>IFERROR(__xludf.DUMMYFUNCTION("""COMPUTED_VALUE"""),"250322DU01")</f>
        <v>250322DU01</v>
      </c>
      <c r="B626" s="12" t="str">
        <f>IFERROR(__xludf.DUMMYFUNCTION("""COMPUTED_VALUE"""),"HCO-Los Lagartos")</f>
        <v>HCO-Los Lagartos</v>
      </c>
      <c r="C626" s="12"/>
      <c r="D626" s="12"/>
      <c r="E626" s="44">
        <f>IFERROR(__xludf.DUMMYFUNCTION("""COMPUTED_VALUE"""),44645.0)</f>
        <v>44645</v>
      </c>
      <c r="F626" s="12" t="str">
        <f>IFERROR(__xludf.DUMMYFUNCTION("""COMPUTED_VALUE"""),"TIPO I")</f>
        <v>TIPO I</v>
      </c>
      <c r="G626" s="12" t="str">
        <f>IFERROR(__xludf.DUMMYFUNCTION("""COMPUTED_VALUE"""),"Se observa coloración y material flotante. Se percibe olor.
Altura:2575 msnm")</f>
        <v>Se observa coloración y material flotante. Se percibe olor.
Altura:2575 msnm</v>
      </c>
      <c r="H626" s="45">
        <f>IFERROR(__xludf.DUMMYFUNCTION("""COMPUTED_VALUE"""),0.3333333333321207)</f>
        <v>0.3333333333</v>
      </c>
      <c r="I626" s="45">
        <f>IFERROR(__xludf.DUMMYFUNCTION("""COMPUTED_VALUE"""),0.4166666666678793)</f>
        <v>0.4166666667</v>
      </c>
      <c r="J626" s="12">
        <f>IFERROR(__xludf.DUMMYFUNCTION("""COMPUTED_VALUE"""),6.3)</f>
        <v>6.3</v>
      </c>
      <c r="K626" s="12">
        <f>IFERROR(__xludf.DUMMYFUNCTION("""COMPUTED_VALUE"""),0.4)</f>
        <v>0.4</v>
      </c>
      <c r="L626" s="14">
        <f>IFERROR(__xludf.DUMMYFUNCTION("""COMPUTED_VALUE"""),438.173)</f>
        <v>438.173</v>
      </c>
      <c r="M626" s="14">
        <f>IFERROR(__xludf.DUMMYFUNCTION("""COMPUTED_VALUE"""),433.754)</f>
        <v>433.754</v>
      </c>
      <c r="N626" s="14">
        <f>IFERROR(__xludf.DUMMYFUNCTION("""COMPUTED_VALUE"""),424.707)</f>
        <v>424.707</v>
      </c>
      <c r="O626" s="14">
        <f>IFERROR(__xludf.DUMMYFUNCTION("""COMPUTED_VALUE"""),431.861)</f>
        <v>431.861</v>
      </c>
      <c r="P626" s="14">
        <f>IFERROR(__xludf.DUMMYFUNCTION("""COMPUTED_VALUE"""),414.398)</f>
        <v>414.398</v>
      </c>
      <c r="Q626" s="14">
        <f>IFERROR(__xludf.DUMMYFUNCTION("""COMPUTED_VALUE"""),428.579)</f>
        <v>428.579</v>
      </c>
      <c r="R626" s="48">
        <f>IFERROR(__xludf.DUMMYFUNCTION("""COMPUTED_VALUE"""),6.93)</f>
        <v>6.93</v>
      </c>
      <c r="S626" s="48">
        <f>IFERROR(__xludf.DUMMYFUNCTION("""COMPUTED_VALUE"""),6.91)</f>
        <v>6.91</v>
      </c>
      <c r="T626" s="48">
        <f>IFERROR(__xludf.DUMMYFUNCTION("""COMPUTED_VALUE"""),6.93)</f>
        <v>6.93</v>
      </c>
      <c r="U626" s="48">
        <f>IFERROR(__xludf.DUMMYFUNCTION("""COMPUTED_VALUE"""),6.9)</f>
        <v>6.9</v>
      </c>
      <c r="V626" s="48">
        <f>IFERROR(__xludf.DUMMYFUNCTION("""COMPUTED_VALUE"""),6.87)</f>
        <v>6.87</v>
      </c>
      <c r="W626" s="14">
        <f>IFERROR(__xludf.DUMMYFUNCTION("""COMPUTED_VALUE"""),6.9079999999999995)</f>
        <v>6.908</v>
      </c>
      <c r="X626" s="14">
        <f>IFERROR(__xludf.DUMMYFUNCTION("""COMPUTED_VALUE"""),15.9)</f>
        <v>15.9</v>
      </c>
      <c r="Y626" s="14">
        <f>IFERROR(__xludf.DUMMYFUNCTION("""COMPUTED_VALUE"""),15.9)</f>
        <v>15.9</v>
      </c>
      <c r="Z626" s="14">
        <f>IFERROR(__xludf.DUMMYFUNCTION("""COMPUTED_VALUE"""),16.3)</f>
        <v>16.3</v>
      </c>
      <c r="AA626" s="14">
        <f>IFERROR(__xludf.DUMMYFUNCTION("""COMPUTED_VALUE"""),18.1)</f>
        <v>18.1</v>
      </c>
      <c r="AB626" s="14">
        <f>IFERROR(__xludf.DUMMYFUNCTION("""COMPUTED_VALUE"""),17.9)</f>
        <v>17.9</v>
      </c>
      <c r="AC626" s="14">
        <f>IFERROR(__xludf.DUMMYFUNCTION("""COMPUTED_VALUE"""),16.82)</f>
        <v>16.82</v>
      </c>
      <c r="AD626" s="48">
        <f>IFERROR(__xludf.DUMMYFUNCTION("""COMPUTED_VALUE"""),397.0)</f>
        <v>397</v>
      </c>
      <c r="AE626" s="48">
        <f>IFERROR(__xludf.DUMMYFUNCTION("""COMPUTED_VALUE"""),403.0)</f>
        <v>403</v>
      </c>
      <c r="AF626" s="48">
        <f>IFERROR(__xludf.DUMMYFUNCTION("""COMPUTED_VALUE"""),391.0)</f>
        <v>391</v>
      </c>
      <c r="AG626" s="48">
        <f>IFERROR(__xludf.DUMMYFUNCTION("""COMPUTED_VALUE"""),394.0)</f>
        <v>394</v>
      </c>
      <c r="AH626" s="48">
        <f>IFERROR(__xludf.DUMMYFUNCTION("""COMPUTED_VALUE"""),396.0)</f>
        <v>396</v>
      </c>
      <c r="AI626" s="14">
        <f>IFERROR(__xludf.DUMMYFUNCTION("""COMPUTED_VALUE"""),396.2)</f>
        <v>396.2</v>
      </c>
      <c r="AJ626" s="14">
        <f>IFERROR(__xludf.DUMMYFUNCTION("""COMPUTED_VALUE"""),2.49)</f>
        <v>2.49</v>
      </c>
      <c r="AK626" s="14">
        <f>IFERROR(__xludf.DUMMYFUNCTION("""COMPUTED_VALUE"""),2.43)</f>
        <v>2.43</v>
      </c>
      <c r="AL626" s="14">
        <f>IFERROR(__xludf.DUMMYFUNCTION("""COMPUTED_VALUE"""),2.24)</f>
        <v>2.24</v>
      </c>
      <c r="AM626" s="14">
        <f>IFERROR(__xludf.DUMMYFUNCTION("""COMPUTED_VALUE"""),2.37)</f>
        <v>2.37</v>
      </c>
      <c r="AN626" s="14">
        <f>IFERROR(__xludf.DUMMYFUNCTION("""COMPUTED_VALUE"""),2.41)</f>
        <v>2.41</v>
      </c>
      <c r="AO626" s="14">
        <f>IFERROR(__xludf.DUMMYFUNCTION("""COMPUTED_VALUE"""),2.3880000000000003)</f>
        <v>2.388</v>
      </c>
      <c r="AP626" s="14">
        <f>IFERROR(__xludf.DUMMYFUNCTION("""COMPUTED_VALUE"""),10.0)</f>
        <v>10</v>
      </c>
      <c r="AQ626" s="14">
        <f>IFERROR(__xludf.DUMMYFUNCTION("""COMPUTED_VALUE"""),37.0)</f>
        <v>37</v>
      </c>
      <c r="AR626" s="14">
        <f>IFERROR(__xludf.DUMMYFUNCTION("""COMPUTED_VALUE"""),9.0)</f>
        <v>9</v>
      </c>
      <c r="AS626" s="14">
        <f>IFERROR(__xludf.DUMMYFUNCTION("""COMPUTED_VALUE"""),1.2)</f>
        <v>1.2</v>
      </c>
      <c r="AT626" s="14">
        <f>IFERROR(__xludf.DUMMYFUNCTION("""COMPUTED_VALUE"""),0.07)</f>
        <v>0.07</v>
      </c>
      <c r="AU626" s="14">
        <f>IFERROR(__xludf.DUMMYFUNCTION("""COMPUTED_VALUE"""),1.421E8)</f>
        <v>142100000</v>
      </c>
      <c r="AV626" s="14">
        <f>IFERROR(__xludf.DUMMYFUNCTION("""COMPUTED_VALUE"""),3.84)</f>
        <v>3.84</v>
      </c>
      <c r="AW626" s="14">
        <f>IFERROR(__xludf.DUMMYFUNCTION("""COMPUTED_VALUE"""),10.1)</f>
        <v>10.1</v>
      </c>
      <c r="AX626" s="14">
        <f>IFERROR(__xludf.DUMMYFUNCTION("""COMPUTED_VALUE"""),8160000.0)</f>
        <v>8160000</v>
      </c>
      <c r="AY626" s="14">
        <f>IFERROR(__xludf.DUMMYFUNCTION("""COMPUTED_VALUE"""),0.6)</f>
        <v>0.6</v>
      </c>
      <c r="AZ626" s="14">
        <f>IFERROR(__xludf.DUMMYFUNCTION("""COMPUTED_VALUE"""),0.016)</f>
        <v>0.016</v>
      </c>
      <c r="BA626" s="14">
        <f t="shared" si="1"/>
        <v>10.716</v>
      </c>
    </row>
    <row r="627" ht="14.25" customHeight="1">
      <c r="A627" s="10" t="str">
        <f>IFERROR(__xludf.DUMMYFUNCTION("""COMPUTED_VALUE"""),"250322FE01")</f>
        <v>250322FE01</v>
      </c>
      <c r="B627" s="12" t="str">
        <f>IFERROR(__xludf.DUMMYFUNCTION("""COMPUTED_VALUE"""),"CON-Country")</f>
        <v>CON-Country</v>
      </c>
      <c r="C627" s="12"/>
      <c r="D627" s="12"/>
      <c r="E627" s="44">
        <f>IFERROR(__xludf.DUMMYFUNCTION("""COMPUTED_VALUE"""),44645.0)</f>
        <v>44645</v>
      </c>
      <c r="F627" s="12" t="str">
        <f>IFERROR(__xludf.DUMMYFUNCTION("""COMPUTED_VALUE"""),"TIPO I")</f>
        <v>TIPO I</v>
      </c>
      <c r="G627" s="12" t="str">
        <f>IFERROR(__xludf.DUMMYFUNCTION("""COMPUTED_VALUE"""),"No presenta coloración y tampoco se perciben olores.")</f>
        <v>No presenta coloración y tampoco se perciben olores.</v>
      </c>
      <c r="H627" s="45">
        <f>IFERROR(__xludf.DUMMYFUNCTION("""COMPUTED_VALUE"""),0.25)</f>
        <v>0.25</v>
      </c>
      <c r="I627" s="45">
        <f>IFERROR(__xludf.DUMMYFUNCTION("""COMPUTED_VALUE"""),0.3333333333321207)</f>
        <v>0.3333333333</v>
      </c>
      <c r="J627" s="12">
        <f>IFERROR(__xludf.DUMMYFUNCTION("""COMPUTED_VALUE"""),5.2)</f>
        <v>5.2</v>
      </c>
      <c r="K627" s="12">
        <f>IFERROR(__xludf.DUMMYFUNCTION("""COMPUTED_VALUE"""),0.09)</f>
        <v>0.09</v>
      </c>
      <c r="L627" s="14">
        <f>IFERROR(__xludf.DUMMYFUNCTION("""COMPUTED_VALUE"""),61.289)</f>
        <v>61.289</v>
      </c>
      <c r="M627" s="14">
        <f>IFERROR(__xludf.DUMMYFUNCTION("""COMPUTED_VALUE"""),62.117)</f>
        <v>62.117</v>
      </c>
      <c r="N627" s="14">
        <f>IFERROR(__xludf.DUMMYFUNCTION("""COMPUTED_VALUE"""),62.142)</f>
        <v>62.142</v>
      </c>
      <c r="O627" s="14">
        <f>IFERROR(__xludf.DUMMYFUNCTION("""COMPUTED_VALUE"""),62.515)</f>
        <v>62.515</v>
      </c>
      <c r="P627" s="14">
        <f>IFERROR(__xludf.DUMMYFUNCTION("""COMPUTED_VALUE"""),62.406)</f>
        <v>62.406</v>
      </c>
      <c r="Q627" s="14">
        <f>IFERROR(__xludf.DUMMYFUNCTION("""COMPUTED_VALUE"""),62.094)</f>
        <v>62.094</v>
      </c>
      <c r="R627" s="48">
        <f>IFERROR(__xludf.DUMMYFUNCTION("""COMPUTED_VALUE"""),6.41)</f>
        <v>6.41</v>
      </c>
      <c r="S627" s="48">
        <f>IFERROR(__xludf.DUMMYFUNCTION("""COMPUTED_VALUE"""),6.55)</f>
        <v>6.55</v>
      </c>
      <c r="T627" s="48">
        <f>IFERROR(__xludf.DUMMYFUNCTION("""COMPUTED_VALUE"""),6.64)</f>
        <v>6.64</v>
      </c>
      <c r="U627" s="48">
        <f>IFERROR(__xludf.DUMMYFUNCTION("""COMPUTED_VALUE"""),6.39)</f>
        <v>6.39</v>
      </c>
      <c r="V627" s="48">
        <f>IFERROR(__xludf.DUMMYFUNCTION("""COMPUTED_VALUE"""),6.44)</f>
        <v>6.44</v>
      </c>
      <c r="W627" s="14">
        <f>IFERROR(__xludf.DUMMYFUNCTION("""COMPUTED_VALUE"""),6.486)</f>
        <v>6.486</v>
      </c>
      <c r="X627" s="14">
        <f>IFERROR(__xludf.DUMMYFUNCTION("""COMPUTED_VALUE"""),13.3)</f>
        <v>13.3</v>
      </c>
      <c r="Y627" s="14">
        <f>IFERROR(__xludf.DUMMYFUNCTION("""COMPUTED_VALUE"""),12.9)</f>
        <v>12.9</v>
      </c>
      <c r="Z627" s="14">
        <f>IFERROR(__xludf.DUMMYFUNCTION("""COMPUTED_VALUE"""),13.0)</f>
        <v>13</v>
      </c>
      <c r="AA627" s="14">
        <f>IFERROR(__xludf.DUMMYFUNCTION("""COMPUTED_VALUE"""),13.0)</f>
        <v>13</v>
      </c>
      <c r="AB627" s="14">
        <f>IFERROR(__xludf.DUMMYFUNCTION("""COMPUTED_VALUE"""),12.8)</f>
        <v>12.8</v>
      </c>
      <c r="AC627" s="14">
        <f>IFERROR(__xludf.DUMMYFUNCTION("""COMPUTED_VALUE"""),13.0)</f>
        <v>13</v>
      </c>
      <c r="AD627" s="48">
        <f>IFERROR(__xludf.DUMMYFUNCTION("""COMPUTED_VALUE"""),112.0)</f>
        <v>112</v>
      </c>
      <c r="AE627" s="48">
        <f>IFERROR(__xludf.DUMMYFUNCTION("""COMPUTED_VALUE"""),150.0)</f>
        <v>150</v>
      </c>
      <c r="AF627" s="48">
        <f>IFERROR(__xludf.DUMMYFUNCTION("""COMPUTED_VALUE"""),138.8)</f>
        <v>138.8</v>
      </c>
      <c r="AG627" s="48">
        <f>IFERROR(__xludf.DUMMYFUNCTION("""COMPUTED_VALUE"""),151.9)</f>
        <v>151.9</v>
      </c>
      <c r="AH627" s="48">
        <f>IFERROR(__xludf.DUMMYFUNCTION("""COMPUTED_VALUE"""),139.9)</f>
        <v>139.9</v>
      </c>
      <c r="AI627" s="14">
        <f>IFERROR(__xludf.DUMMYFUNCTION("""COMPUTED_VALUE"""),138.52)</f>
        <v>138.52</v>
      </c>
      <c r="AJ627" s="14">
        <f>IFERROR(__xludf.DUMMYFUNCTION("""COMPUTED_VALUE"""),6.16)</f>
        <v>6.16</v>
      </c>
      <c r="AK627" s="14">
        <f>IFERROR(__xludf.DUMMYFUNCTION("""COMPUTED_VALUE"""),6.33)</f>
        <v>6.33</v>
      </c>
      <c r="AL627" s="14">
        <f>IFERROR(__xludf.DUMMYFUNCTION("""COMPUTED_VALUE"""),6.28)</f>
        <v>6.28</v>
      </c>
      <c r="AM627" s="14">
        <f>IFERROR(__xludf.DUMMYFUNCTION("""COMPUTED_VALUE"""),6.13)</f>
        <v>6.13</v>
      </c>
      <c r="AN627" s="14">
        <f>IFERROR(__xludf.DUMMYFUNCTION("""COMPUTED_VALUE"""),6.24)</f>
        <v>6.24</v>
      </c>
      <c r="AO627" s="14">
        <f>IFERROR(__xludf.DUMMYFUNCTION("""COMPUTED_VALUE"""),6.228)</f>
        <v>6.228</v>
      </c>
      <c r="AP627" s="14">
        <f>IFERROR(__xludf.DUMMYFUNCTION("""COMPUTED_VALUE"""),4.0)</f>
        <v>4</v>
      </c>
      <c r="AQ627" s="14">
        <f>IFERROR(__xludf.DUMMYFUNCTION("""COMPUTED_VALUE"""),28.0)</f>
        <v>28</v>
      </c>
      <c r="AR627" s="14">
        <f>IFERROR(__xludf.DUMMYFUNCTION("""COMPUTED_VALUE"""),5.0)</f>
        <v>5</v>
      </c>
      <c r="AS627" s="14">
        <f>IFERROR(__xludf.DUMMYFUNCTION("""COMPUTED_VALUE"""),1.2)</f>
        <v>1.2</v>
      </c>
      <c r="AT627" s="14">
        <f>IFERROR(__xludf.DUMMYFUNCTION("""COMPUTED_VALUE"""),0.07)</f>
        <v>0.07</v>
      </c>
      <c r="AU627" s="14">
        <f>IFERROR(__xludf.DUMMYFUNCTION("""COMPUTED_VALUE"""),88600.0)</f>
        <v>88600</v>
      </c>
      <c r="AV627" s="14">
        <f>IFERROR(__xludf.DUMMYFUNCTION("""COMPUTED_VALUE"""),0.67)</f>
        <v>0.67</v>
      </c>
      <c r="AW627" s="14">
        <f>IFERROR(__xludf.DUMMYFUNCTION("""COMPUTED_VALUE"""),3.9)</f>
        <v>3.9</v>
      </c>
      <c r="AX627" s="14">
        <f>IFERROR(__xludf.DUMMYFUNCTION("""COMPUTED_VALUE"""),6450.0)</f>
        <v>6450</v>
      </c>
      <c r="AY627" s="14">
        <f>IFERROR(__xludf.DUMMYFUNCTION("""COMPUTED_VALUE"""),0.9)</f>
        <v>0.9</v>
      </c>
      <c r="AZ627" s="14">
        <f>IFERROR(__xludf.DUMMYFUNCTION("""COMPUTED_VALUE"""),0.05)</f>
        <v>0.05</v>
      </c>
      <c r="BA627" s="14">
        <f t="shared" si="1"/>
        <v>4.85</v>
      </c>
    </row>
    <row r="628" ht="14.25" customHeight="1">
      <c r="A628" s="10" t="str">
        <f>IFERROR(__xludf.DUMMYFUNCTION("""COMPUTED_VALUE"""),"250322CA01")</f>
        <v>250322CA01</v>
      </c>
      <c r="B628" s="12" t="str">
        <f>IFERROR(__xludf.DUMMYFUNCTION("""COMPUTED_VALUE"""),"QYO-Arrayanal")</f>
        <v>QYO-Arrayanal</v>
      </c>
      <c r="C628" s="12"/>
      <c r="D628" s="12"/>
      <c r="E628" s="44">
        <f>IFERROR(__xludf.DUMMYFUNCTION("""COMPUTED_VALUE"""),44645.0)</f>
        <v>44645</v>
      </c>
      <c r="F628" s="12" t="str">
        <f>IFERROR(__xludf.DUMMYFUNCTION("""COMPUTED_VALUE"""),"TIPO I")</f>
        <v>TIPO I</v>
      </c>
      <c r="G628" s="12" t="str">
        <f>IFERROR(__xludf.DUMMYFUNCTION("""COMPUTED_VALUE"""),"Presenta coloración y se observan espumas. Se percibe olor.")</f>
        <v>Presenta coloración y se observan espumas. Se percibe olor.</v>
      </c>
      <c r="H628" s="45">
        <f>IFERROR(__xludf.DUMMYFUNCTION("""COMPUTED_VALUE"""),0.25)</f>
        <v>0.25</v>
      </c>
      <c r="I628" s="45">
        <f>IFERROR(__xludf.DUMMYFUNCTION("""COMPUTED_VALUE"""),0.3333333333321207)</f>
        <v>0.3333333333</v>
      </c>
      <c r="J628" s="12">
        <f>IFERROR(__xludf.DUMMYFUNCTION("""COMPUTED_VALUE"""),0.9)</f>
        <v>0.9</v>
      </c>
      <c r="K628" s="12">
        <f>IFERROR(__xludf.DUMMYFUNCTION("""COMPUTED_VALUE"""),0.21)</f>
        <v>0.21</v>
      </c>
      <c r="L628" s="14">
        <f>IFERROR(__xludf.DUMMYFUNCTION("""COMPUTED_VALUE"""),56.458)</f>
        <v>56.458</v>
      </c>
      <c r="M628" s="14">
        <f>IFERROR(__xludf.DUMMYFUNCTION("""COMPUTED_VALUE"""),60.623)</f>
        <v>60.623</v>
      </c>
      <c r="N628" s="14">
        <f>IFERROR(__xludf.DUMMYFUNCTION("""COMPUTED_VALUE"""),59.173)</f>
        <v>59.173</v>
      </c>
      <c r="O628" s="14">
        <f>IFERROR(__xludf.DUMMYFUNCTION("""COMPUTED_VALUE"""),57.825)</f>
        <v>57.825</v>
      </c>
      <c r="P628" s="14">
        <f>IFERROR(__xludf.DUMMYFUNCTION("""COMPUTED_VALUE"""),58.702)</f>
        <v>58.702</v>
      </c>
      <c r="Q628" s="14">
        <f>IFERROR(__xludf.DUMMYFUNCTION("""COMPUTED_VALUE"""),58.556)</f>
        <v>58.556</v>
      </c>
      <c r="R628" s="48">
        <f>IFERROR(__xludf.DUMMYFUNCTION("""COMPUTED_VALUE"""),7.46)</f>
        <v>7.46</v>
      </c>
      <c r="S628" s="48">
        <f>IFERROR(__xludf.DUMMYFUNCTION("""COMPUTED_VALUE"""),7.33)</f>
        <v>7.33</v>
      </c>
      <c r="T628" s="48">
        <f>IFERROR(__xludf.DUMMYFUNCTION("""COMPUTED_VALUE"""),7.31)</f>
        <v>7.31</v>
      </c>
      <c r="U628" s="48">
        <f>IFERROR(__xludf.DUMMYFUNCTION("""COMPUTED_VALUE"""),7.26)</f>
        <v>7.26</v>
      </c>
      <c r="V628" s="48">
        <f>IFERROR(__xludf.DUMMYFUNCTION("""COMPUTED_VALUE"""),7.35)</f>
        <v>7.35</v>
      </c>
      <c r="W628" s="14">
        <f>IFERROR(__xludf.DUMMYFUNCTION("""COMPUTED_VALUE"""),7.3420000000000005)</f>
        <v>7.342</v>
      </c>
      <c r="X628" s="14">
        <f>IFERROR(__xludf.DUMMYFUNCTION("""COMPUTED_VALUE"""),11.6)</f>
        <v>11.6</v>
      </c>
      <c r="Y628" s="14">
        <f>IFERROR(__xludf.DUMMYFUNCTION("""COMPUTED_VALUE"""),11.4)</f>
        <v>11.4</v>
      </c>
      <c r="Z628" s="14">
        <f>IFERROR(__xludf.DUMMYFUNCTION("""COMPUTED_VALUE"""),11.5)</f>
        <v>11.5</v>
      </c>
      <c r="AA628" s="14">
        <f>IFERROR(__xludf.DUMMYFUNCTION("""COMPUTED_VALUE"""),11.7)</f>
        <v>11.7</v>
      </c>
      <c r="AB628" s="14">
        <f>IFERROR(__xludf.DUMMYFUNCTION("""COMPUTED_VALUE"""),11.7)</f>
        <v>11.7</v>
      </c>
      <c r="AC628" s="14">
        <f>IFERROR(__xludf.DUMMYFUNCTION("""COMPUTED_VALUE"""),11.580000000000002)</f>
        <v>11.58</v>
      </c>
      <c r="AD628" s="48">
        <f>IFERROR(__xludf.DUMMYFUNCTION("""COMPUTED_VALUE"""),152.6)</f>
        <v>152.6</v>
      </c>
      <c r="AE628" s="48">
        <f>IFERROR(__xludf.DUMMYFUNCTION("""COMPUTED_VALUE"""),155.6)</f>
        <v>155.6</v>
      </c>
      <c r="AF628" s="48">
        <f>IFERROR(__xludf.DUMMYFUNCTION("""COMPUTED_VALUE"""),171.1)</f>
        <v>171.1</v>
      </c>
      <c r="AG628" s="48">
        <f>IFERROR(__xludf.DUMMYFUNCTION("""COMPUTED_VALUE"""),174.2)</f>
        <v>174.2</v>
      </c>
      <c r="AH628" s="48">
        <f>IFERROR(__xludf.DUMMYFUNCTION("""COMPUTED_VALUE"""),179.3)</f>
        <v>179.3</v>
      </c>
      <c r="AI628" s="14">
        <f>IFERROR(__xludf.DUMMYFUNCTION("""COMPUTED_VALUE"""),166.56)</f>
        <v>166.56</v>
      </c>
      <c r="AJ628" s="14">
        <f>IFERROR(__xludf.DUMMYFUNCTION("""COMPUTED_VALUE"""),8.23)</f>
        <v>8.23</v>
      </c>
      <c r="AK628" s="14">
        <f>IFERROR(__xludf.DUMMYFUNCTION("""COMPUTED_VALUE"""),7.9)</f>
        <v>7.9</v>
      </c>
      <c r="AL628" s="14">
        <f>IFERROR(__xludf.DUMMYFUNCTION("""COMPUTED_VALUE"""),7.48)</f>
        <v>7.48</v>
      </c>
      <c r="AM628" s="14">
        <f>IFERROR(__xludf.DUMMYFUNCTION("""COMPUTED_VALUE"""),7.62)</f>
        <v>7.62</v>
      </c>
      <c r="AN628" s="14">
        <f>IFERROR(__xludf.DUMMYFUNCTION("""COMPUTED_VALUE"""),7.34)</f>
        <v>7.34</v>
      </c>
      <c r="AO628" s="14">
        <f>IFERROR(__xludf.DUMMYFUNCTION("""COMPUTED_VALUE"""),7.714000000000001)</f>
        <v>7.714</v>
      </c>
      <c r="AP628" s="14">
        <f>IFERROR(__xludf.DUMMYFUNCTION("""COMPUTED_VALUE"""),4.0)</f>
        <v>4</v>
      </c>
      <c r="AQ628" s="14">
        <f>IFERROR(__xludf.DUMMYFUNCTION("""COMPUTED_VALUE"""),18.0)</f>
        <v>18</v>
      </c>
      <c r="AR628" s="14">
        <f>IFERROR(__xludf.DUMMYFUNCTION("""COMPUTED_VALUE"""),15.0)</f>
        <v>15</v>
      </c>
      <c r="AS628" s="14">
        <f>IFERROR(__xludf.DUMMYFUNCTION("""COMPUTED_VALUE"""),1.2)</f>
        <v>1.2</v>
      </c>
      <c r="AT628" s="14">
        <f>IFERROR(__xludf.DUMMYFUNCTION("""COMPUTED_VALUE"""),0.07)</f>
        <v>0.07</v>
      </c>
      <c r="AU628" s="14">
        <f>IFERROR(__xludf.DUMMYFUNCTION("""COMPUTED_VALUE"""),119100.0)</f>
        <v>119100</v>
      </c>
      <c r="AV628" s="14">
        <f>IFERROR(__xludf.DUMMYFUNCTION("""COMPUTED_VALUE"""),0.23)</f>
        <v>0.23</v>
      </c>
      <c r="AW628" s="14">
        <f>IFERROR(__xludf.DUMMYFUNCTION("""COMPUTED_VALUE"""),2.7)</f>
        <v>2.7</v>
      </c>
      <c r="AX628" s="14">
        <f>IFERROR(__xludf.DUMMYFUNCTION("""COMPUTED_VALUE"""),6820.0)</f>
        <v>6820</v>
      </c>
      <c r="AY628" s="14">
        <f>IFERROR(__xludf.DUMMYFUNCTION("""COMPUTED_VALUE"""),2.2)</f>
        <v>2.2</v>
      </c>
      <c r="AZ628" s="14">
        <f>IFERROR(__xludf.DUMMYFUNCTION("""COMPUTED_VALUE"""),0.007)</f>
        <v>0.007</v>
      </c>
      <c r="BA628" s="14">
        <f t="shared" si="1"/>
        <v>4.907</v>
      </c>
    </row>
    <row r="629" ht="14.25" customHeight="1">
      <c r="A629" s="10" t="str">
        <f>IFERROR(__xludf.DUMMYFUNCTION("""COMPUTED_VALUE"""),"250322CA03")</f>
        <v>250322CA03</v>
      </c>
      <c r="B629" s="12" t="str">
        <f>IFERROR(__xludf.DUMMYFUNCTION("""COMPUTED_VALUE"""),"QYO-Monte Blanco")</f>
        <v>QYO-Monte Blanco</v>
      </c>
      <c r="C629" s="12"/>
      <c r="D629" s="12"/>
      <c r="E629" s="44">
        <f>IFERROR(__xludf.DUMMYFUNCTION("""COMPUTED_VALUE"""),44645.0)</f>
        <v>44645</v>
      </c>
      <c r="F629" s="12" t="str">
        <f>IFERROR(__xludf.DUMMYFUNCTION("""COMPUTED_VALUE"""),"TIPO I")</f>
        <v>TIPO I</v>
      </c>
      <c r="G629" s="12" t="str">
        <f>IFERROR(__xludf.DUMMYFUNCTION("""COMPUTED_VALUE"""),"Se observa coloración y espuma. Se percibe olor.
Aguas arriba del punto de monitoreo se identifica un vertimiento con descarga intermitente.
Altura: 2648 msnm")</f>
        <v>Se observa coloración y espuma. Se percibe olor.
Aguas arriba del punto de monitoreo se identifica un vertimiento con descarga intermitente.
Altura: 2648 msnm</v>
      </c>
      <c r="H629" s="45">
        <f>IFERROR(__xludf.DUMMYFUNCTION("""COMPUTED_VALUE"""),0.5833333333321207)</f>
        <v>0.5833333333</v>
      </c>
      <c r="I629" s="45">
        <f>IFERROR(__xludf.DUMMYFUNCTION("""COMPUTED_VALUE"""),0.6666666666678793)</f>
        <v>0.6666666667</v>
      </c>
      <c r="J629" s="12">
        <f>IFERROR(__xludf.DUMMYFUNCTION("""COMPUTED_VALUE"""),2.3)</f>
        <v>2.3</v>
      </c>
      <c r="K629" s="12">
        <f>IFERROR(__xludf.DUMMYFUNCTION("""COMPUTED_VALUE"""),0.44)</f>
        <v>0.44</v>
      </c>
      <c r="L629" s="14">
        <f>IFERROR(__xludf.DUMMYFUNCTION("""COMPUTED_VALUE"""),152.074)</f>
        <v>152.074</v>
      </c>
      <c r="M629" s="14">
        <f>IFERROR(__xludf.DUMMYFUNCTION("""COMPUTED_VALUE"""),151.395)</f>
        <v>151.395</v>
      </c>
      <c r="N629" s="14">
        <f>IFERROR(__xludf.DUMMYFUNCTION("""COMPUTED_VALUE"""),157.803)</f>
        <v>157.803</v>
      </c>
      <c r="O629" s="14">
        <f>IFERROR(__xludf.DUMMYFUNCTION("""COMPUTED_VALUE"""),150.705)</f>
        <v>150.705</v>
      </c>
      <c r="P629" s="14">
        <f>IFERROR(__xludf.DUMMYFUNCTION("""COMPUTED_VALUE"""),150.721)</f>
        <v>150.721</v>
      </c>
      <c r="Q629" s="14">
        <f>IFERROR(__xludf.DUMMYFUNCTION("""COMPUTED_VALUE"""),152.54)</f>
        <v>152.54</v>
      </c>
      <c r="R629" s="48">
        <f>IFERROR(__xludf.DUMMYFUNCTION("""COMPUTED_VALUE"""),8.16)</f>
        <v>8.16</v>
      </c>
      <c r="S629" s="48">
        <f>IFERROR(__xludf.DUMMYFUNCTION("""COMPUTED_VALUE"""),8.18)</f>
        <v>8.18</v>
      </c>
      <c r="T629" s="48">
        <f>IFERROR(__xludf.DUMMYFUNCTION("""COMPUTED_VALUE"""),8.1)</f>
        <v>8.1</v>
      </c>
      <c r="U629" s="48">
        <f>IFERROR(__xludf.DUMMYFUNCTION("""COMPUTED_VALUE"""),7.99)</f>
        <v>7.99</v>
      </c>
      <c r="V629" s="48">
        <f>IFERROR(__xludf.DUMMYFUNCTION("""COMPUTED_VALUE"""),8.09)</f>
        <v>8.09</v>
      </c>
      <c r="W629" s="14">
        <f>IFERROR(__xludf.DUMMYFUNCTION("""COMPUTED_VALUE"""),8.104)</f>
        <v>8.104</v>
      </c>
      <c r="X629" s="14">
        <f>IFERROR(__xludf.DUMMYFUNCTION("""COMPUTED_VALUE"""),17.5)</f>
        <v>17.5</v>
      </c>
      <c r="Y629" s="14">
        <f>IFERROR(__xludf.DUMMYFUNCTION("""COMPUTED_VALUE"""),17.4)</f>
        <v>17.4</v>
      </c>
      <c r="Z629" s="14">
        <f>IFERROR(__xludf.DUMMYFUNCTION("""COMPUTED_VALUE"""),17.6)</f>
        <v>17.6</v>
      </c>
      <c r="AA629" s="14">
        <f>IFERROR(__xludf.DUMMYFUNCTION("""COMPUTED_VALUE"""),17.1)</f>
        <v>17.1</v>
      </c>
      <c r="AB629" s="14">
        <f>IFERROR(__xludf.DUMMYFUNCTION("""COMPUTED_VALUE"""),17.0)</f>
        <v>17</v>
      </c>
      <c r="AC629" s="14">
        <f>IFERROR(__xludf.DUMMYFUNCTION("""COMPUTED_VALUE"""),17.32)</f>
        <v>17.32</v>
      </c>
      <c r="AD629" s="48">
        <f>IFERROR(__xludf.DUMMYFUNCTION("""COMPUTED_VALUE"""),370.0)</f>
        <v>370</v>
      </c>
      <c r="AE629" s="48">
        <f>IFERROR(__xludf.DUMMYFUNCTION("""COMPUTED_VALUE"""),366.0)</f>
        <v>366</v>
      </c>
      <c r="AF629" s="48">
        <f>IFERROR(__xludf.DUMMYFUNCTION("""COMPUTED_VALUE"""),365.0)</f>
        <v>365</v>
      </c>
      <c r="AG629" s="48">
        <f>IFERROR(__xludf.DUMMYFUNCTION("""COMPUTED_VALUE"""),333.0)</f>
        <v>333</v>
      </c>
      <c r="AH629" s="48">
        <f>IFERROR(__xludf.DUMMYFUNCTION("""COMPUTED_VALUE"""),365.0)</f>
        <v>365</v>
      </c>
      <c r="AI629" s="14">
        <f>IFERROR(__xludf.DUMMYFUNCTION("""COMPUTED_VALUE"""),359.8)</f>
        <v>359.8</v>
      </c>
      <c r="AJ629" s="14">
        <f>IFERROR(__xludf.DUMMYFUNCTION("""COMPUTED_VALUE"""),4.86)</f>
        <v>4.86</v>
      </c>
      <c r="AK629" s="14">
        <f>IFERROR(__xludf.DUMMYFUNCTION("""COMPUTED_VALUE"""),4.93)</f>
        <v>4.93</v>
      </c>
      <c r="AL629" s="14">
        <f>IFERROR(__xludf.DUMMYFUNCTION("""COMPUTED_VALUE"""),4.95)</f>
        <v>4.95</v>
      </c>
      <c r="AM629" s="14">
        <f>IFERROR(__xludf.DUMMYFUNCTION("""COMPUTED_VALUE"""),4.7)</f>
        <v>4.7</v>
      </c>
      <c r="AN629" s="14">
        <f>IFERROR(__xludf.DUMMYFUNCTION("""COMPUTED_VALUE"""),4.62)</f>
        <v>4.62</v>
      </c>
      <c r="AO629" s="14">
        <f>IFERROR(__xludf.DUMMYFUNCTION("""COMPUTED_VALUE"""),4.811999999999999)</f>
        <v>4.812</v>
      </c>
      <c r="AP629" s="14">
        <f>IFERROR(__xludf.DUMMYFUNCTION("""COMPUTED_VALUE"""),19.0)</f>
        <v>19</v>
      </c>
      <c r="AQ629" s="14">
        <f>IFERROR(__xludf.DUMMYFUNCTION("""COMPUTED_VALUE"""),49.0)</f>
        <v>49</v>
      </c>
      <c r="AR629" s="14">
        <f>IFERROR(__xludf.DUMMYFUNCTION("""COMPUTED_VALUE"""),22.0)</f>
        <v>22</v>
      </c>
      <c r="AS629" s="14">
        <f>IFERROR(__xludf.DUMMYFUNCTION("""COMPUTED_VALUE"""),1.2)</f>
        <v>1.2</v>
      </c>
      <c r="AT629" s="14">
        <f>IFERROR(__xludf.DUMMYFUNCTION("""COMPUTED_VALUE"""),0.07)</f>
        <v>0.07</v>
      </c>
      <c r="AU629" s="14">
        <f>IFERROR(__xludf.DUMMYFUNCTION("""COMPUTED_VALUE"""),1.396E7)</f>
        <v>13960000</v>
      </c>
      <c r="AV629" s="14">
        <f>IFERROR(__xludf.DUMMYFUNCTION("""COMPUTED_VALUE"""),1.45)</f>
        <v>1.45</v>
      </c>
      <c r="AW629" s="14">
        <f>IFERROR(__xludf.DUMMYFUNCTION("""COMPUTED_VALUE"""),16.8)</f>
        <v>16.8</v>
      </c>
      <c r="AX629" s="14">
        <f>IFERROR(__xludf.DUMMYFUNCTION("""COMPUTED_VALUE"""),70300.0)</f>
        <v>70300</v>
      </c>
      <c r="AY629" s="14">
        <f>IFERROR(__xludf.DUMMYFUNCTION("""COMPUTED_VALUE"""),0.4)</f>
        <v>0.4</v>
      </c>
      <c r="AZ629" s="14">
        <f>IFERROR(__xludf.DUMMYFUNCTION("""COMPUTED_VALUE"""),0.009)</f>
        <v>0.009</v>
      </c>
      <c r="BA629" s="14">
        <f t="shared" si="1"/>
        <v>17.209</v>
      </c>
    </row>
    <row r="630" ht="14.25" customHeight="1">
      <c r="A630" s="10" t="str">
        <f>IFERROR(__xludf.DUMMYFUNCTION("""COMPUTED_VALUE"""),"250322CA02")</f>
        <v>250322CA02</v>
      </c>
      <c r="B630" s="12" t="str">
        <f>IFERROR(__xludf.DUMMYFUNCTION("""COMPUTED_VALUE"""),"QYO-Bolonia")</f>
        <v>QYO-Bolonia</v>
      </c>
      <c r="C630" s="12"/>
      <c r="D630" s="12"/>
      <c r="E630" s="44">
        <f>IFERROR(__xludf.DUMMYFUNCTION("""COMPUTED_VALUE"""),44645.0)</f>
        <v>44645</v>
      </c>
      <c r="F630" s="12" t="str">
        <f>IFERROR(__xludf.DUMMYFUNCTION("""COMPUTED_VALUE"""),"TIPO I")</f>
        <v>TIPO I</v>
      </c>
      <c r="G630" s="12" t="str">
        <f>IFERROR(__xludf.DUMMYFUNCTION("""COMPUTED_VALUE"""),"Se presenta un canal natural con lecho lodoso y rocoso. Se percibe olor y se observa color. ")</f>
        <v>Se presenta un canal natural con lecho lodoso y rocoso. Se percibe olor y se observa color. </v>
      </c>
      <c r="H630" s="45">
        <f>IFERROR(__xludf.DUMMYFUNCTION("""COMPUTED_VALUE"""),0.4166666666678793)</f>
        <v>0.4166666667</v>
      </c>
      <c r="I630" s="45">
        <f>IFERROR(__xludf.DUMMYFUNCTION("""COMPUTED_VALUE"""),0.5)</f>
        <v>0.5</v>
      </c>
      <c r="J630" s="12">
        <f>IFERROR(__xludf.DUMMYFUNCTION("""COMPUTED_VALUE"""),3.1)</f>
        <v>3.1</v>
      </c>
      <c r="K630" s="12">
        <f>IFERROR(__xludf.DUMMYFUNCTION("""COMPUTED_VALUE"""),0.44)</f>
        <v>0.44</v>
      </c>
      <c r="L630" s="14">
        <f>IFERROR(__xludf.DUMMYFUNCTION("""COMPUTED_VALUE"""),82.869)</f>
        <v>82.869</v>
      </c>
      <c r="M630" s="14">
        <f>IFERROR(__xludf.DUMMYFUNCTION("""COMPUTED_VALUE"""),83.218)</f>
        <v>83.218</v>
      </c>
      <c r="N630" s="14">
        <f>IFERROR(__xludf.DUMMYFUNCTION("""COMPUTED_VALUE"""),83.469)</f>
        <v>83.469</v>
      </c>
      <c r="O630" s="14">
        <f>IFERROR(__xludf.DUMMYFUNCTION("""COMPUTED_VALUE"""),84.793)</f>
        <v>84.793</v>
      </c>
      <c r="P630" s="14">
        <f>IFERROR(__xludf.DUMMYFUNCTION("""COMPUTED_VALUE"""),83.454)</f>
        <v>83.454</v>
      </c>
      <c r="Q630" s="14">
        <f>IFERROR(__xludf.DUMMYFUNCTION("""COMPUTED_VALUE"""),83.561)</f>
        <v>83.561</v>
      </c>
      <c r="R630" s="48">
        <f>IFERROR(__xludf.DUMMYFUNCTION("""COMPUTED_VALUE"""),8.26)</f>
        <v>8.26</v>
      </c>
      <c r="S630" s="48">
        <f>IFERROR(__xludf.DUMMYFUNCTION("""COMPUTED_VALUE"""),8.22)</f>
        <v>8.22</v>
      </c>
      <c r="T630" s="48">
        <f>IFERROR(__xludf.DUMMYFUNCTION("""COMPUTED_VALUE"""),8.32)</f>
        <v>8.32</v>
      </c>
      <c r="U630" s="48">
        <f>IFERROR(__xludf.DUMMYFUNCTION("""COMPUTED_VALUE"""),8.43)</f>
        <v>8.43</v>
      </c>
      <c r="V630" s="48">
        <f>IFERROR(__xludf.DUMMYFUNCTION("""COMPUTED_VALUE"""),8.59)</f>
        <v>8.59</v>
      </c>
      <c r="W630" s="14">
        <f>IFERROR(__xludf.DUMMYFUNCTION("""COMPUTED_VALUE"""),8.364)</f>
        <v>8.364</v>
      </c>
      <c r="X630" s="14">
        <f>IFERROR(__xludf.DUMMYFUNCTION("""COMPUTED_VALUE"""),13.4)</f>
        <v>13.4</v>
      </c>
      <c r="Y630" s="14">
        <f>IFERROR(__xludf.DUMMYFUNCTION("""COMPUTED_VALUE"""),13.9)</f>
        <v>13.9</v>
      </c>
      <c r="Z630" s="14">
        <f>IFERROR(__xludf.DUMMYFUNCTION("""COMPUTED_VALUE"""),13.8)</f>
        <v>13.8</v>
      </c>
      <c r="AA630" s="14">
        <f>IFERROR(__xludf.DUMMYFUNCTION("""COMPUTED_VALUE"""),13.9)</f>
        <v>13.9</v>
      </c>
      <c r="AB630" s="14">
        <f>IFERROR(__xludf.DUMMYFUNCTION("""COMPUTED_VALUE"""),14.0)</f>
        <v>14</v>
      </c>
      <c r="AC630" s="14">
        <f>IFERROR(__xludf.DUMMYFUNCTION("""COMPUTED_VALUE"""),13.8)</f>
        <v>13.8</v>
      </c>
      <c r="AD630" s="48">
        <f>IFERROR(__xludf.DUMMYFUNCTION("""COMPUTED_VALUE"""),233.0)</f>
        <v>233</v>
      </c>
      <c r="AE630" s="48">
        <f>IFERROR(__xludf.DUMMYFUNCTION("""COMPUTED_VALUE"""),195.5)</f>
        <v>195.5</v>
      </c>
      <c r="AF630" s="48">
        <f>IFERROR(__xludf.DUMMYFUNCTION("""COMPUTED_VALUE"""),255.0)</f>
        <v>255</v>
      </c>
      <c r="AG630" s="48">
        <f>IFERROR(__xludf.DUMMYFUNCTION("""COMPUTED_VALUE"""),253.0)</f>
        <v>253</v>
      </c>
      <c r="AH630" s="48">
        <f>IFERROR(__xludf.DUMMYFUNCTION("""COMPUTED_VALUE"""),256.0)</f>
        <v>256</v>
      </c>
      <c r="AI630" s="14">
        <f>IFERROR(__xludf.DUMMYFUNCTION("""COMPUTED_VALUE"""),238.5)</f>
        <v>238.5</v>
      </c>
      <c r="AJ630" s="14">
        <f>IFERROR(__xludf.DUMMYFUNCTION("""COMPUTED_VALUE"""),6.45)</f>
        <v>6.45</v>
      </c>
      <c r="AK630" s="14">
        <f>IFERROR(__xludf.DUMMYFUNCTION("""COMPUTED_VALUE"""),6.12)</f>
        <v>6.12</v>
      </c>
      <c r="AL630" s="14">
        <f>IFERROR(__xludf.DUMMYFUNCTION("""COMPUTED_VALUE"""),6.2)</f>
        <v>6.2</v>
      </c>
      <c r="AM630" s="14">
        <f>IFERROR(__xludf.DUMMYFUNCTION("""COMPUTED_VALUE"""),6.04)</f>
        <v>6.04</v>
      </c>
      <c r="AN630" s="14">
        <f>IFERROR(__xludf.DUMMYFUNCTION("""COMPUTED_VALUE"""),6.02)</f>
        <v>6.02</v>
      </c>
      <c r="AO630" s="14">
        <f>IFERROR(__xludf.DUMMYFUNCTION("""COMPUTED_VALUE"""),6.1659999999999995)</f>
        <v>6.166</v>
      </c>
      <c r="AP630" s="14">
        <f>IFERROR(__xludf.DUMMYFUNCTION("""COMPUTED_VALUE"""),12.0)</f>
        <v>12</v>
      </c>
      <c r="AQ630" s="14">
        <f>IFERROR(__xludf.DUMMYFUNCTION("""COMPUTED_VALUE"""),25.0)</f>
        <v>25</v>
      </c>
      <c r="AR630" s="14">
        <f>IFERROR(__xludf.DUMMYFUNCTION("""COMPUTED_VALUE"""),11.0)</f>
        <v>11</v>
      </c>
      <c r="AS630" s="14">
        <f>IFERROR(__xludf.DUMMYFUNCTION("""COMPUTED_VALUE"""),1.2)</f>
        <v>1.2</v>
      </c>
      <c r="AT630" s="14">
        <f>IFERROR(__xludf.DUMMYFUNCTION("""COMPUTED_VALUE"""),0.07)</f>
        <v>0.07</v>
      </c>
      <c r="AU630" s="14">
        <f>IFERROR(__xludf.DUMMYFUNCTION("""COMPUTED_VALUE"""),816000.0)</f>
        <v>816000</v>
      </c>
      <c r="AV630" s="14">
        <f>IFERROR(__xludf.DUMMYFUNCTION("""COMPUTED_VALUE"""),0.51)</f>
        <v>0.51</v>
      </c>
      <c r="AW630" s="14">
        <f>IFERROR(__xludf.DUMMYFUNCTION("""COMPUTED_VALUE"""),7.3)</f>
        <v>7.3</v>
      </c>
      <c r="AX630" s="14">
        <f>IFERROR(__xludf.DUMMYFUNCTION("""COMPUTED_VALUE"""),95800.0)</f>
        <v>95800</v>
      </c>
      <c r="AY630" s="14">
        <f>IFERROR(__xludf.DUMMYFUNCTION("""COMPUTED_VALUE"""),2.0)</f>
        <v>2</v>
      </c>
      <c r="AZ630" s="14">
        <f>IFERROR(__xludf.DUMMYFUNCTION("""COMPUTED_VALUE"""),0.007)</f>
        <v>0.007</v>
      </c>
      <c r="BA630" s="14">
        <f t="shared" si="1"/>
        <v>9.307</v>
      </c>
    </row>
    <row r="631" ht="14.25" customHeight="1">
      <c r="A631" s="10" t="str">
        <f>IFERROR(__xludf.DUMMYFUNCTION("""COMPUTED_VALUE"""),"290322DI01")</f>
        <v>290322DI01</v>
      </c>
      <c r="B631" s="12" t="str">
        <f>IFERROR(__xludf.DUMMYFUNCTION("""COMPUTED_VALUE"""),"COR-Prado Veraniego")</f>
        <v>COR-Prado Veraniego</v>
      </c>
      <c r="C631" s="12"/>
      <c r="D631" s="12"/>
      <c r="E631" s="44">
        <f>IFERROR(__xludf.DUMMYFUNCTION("""COMPUTED_VALUE"""),44649.0)</f>
        <v>44649</v>
      </c>
      <c r="F631" s="12" t="str">
        <f>IFERROR(__xludf.DUMMYFUNCTION("""COMPUTED_VALUE"""),"TIPO I")</f>
        <v>TIPO I</v>
      </c>
      <c r="G631" s="12" t="str">
        <f>IFERROR(__xludf.DUMMYFUNCTION("""COMPUTED_VALUE"""),"Se presenta una estructura de canal en concreto, se observa color además de presencia de algas en el lecho del cauce.")</f>
        <v>Se presenta una estructura de canal en concreto, se observa color además de presencia de algas en el lecho del cauce.</v>
      </c>
      <c r="H631" s="45">
        <f>IFERROR(__xludf.DUMMYFUNCTION("""COMPUTED_VALUE"""),0.3333333333321207)</f>
        <v>0.3333333333</v>
      </c>
      <c r="I631" s="45">
        <f>IFERROR(__xludf.DUMMYFUNCTION("""COMPUTED_VALUE"""),0.4166666666678793)</f>
        <v>0.4166666667</v>
      </c>
      <c r="J631" s="12">
        <f>IFERROR(__xludf.DUMMYFUNCTION("""COMPUTED_VALUE"""),7.3)</f>
        <v>7.3</v>
      </c>
      <c r="K631" s="12">
        <f>IFERROR(__xludf.DUMMYFUNCTION("""COMPUTED_VALUE"""),0.21)</f>
        <v>0.21</v>
      </c>
      <c r="L631" s="14">
        <f>IFERROR(__xludf.DUMMYFUNCTION("""COMPUTED_VALUE"""),414.473)</f>
        <v>414.473</v>
      </c>
      <c r="M631" s="14">
        <f>IFERROR(__xludf.DUMMYFUNCTION("""COMPUTED_VALUE"""),424.633)</f>
        <v>424.633</v>
      </c>
      <c r="N631" s="14">
        <f>IFERROR(__xludf.DUMMYFUNCTION("""COMPUTED_VALUE"""),324.068)</f>
        <v>324.068</v>
      </c>
      <c r="O631" s="14">
        <f>IFERROR(__xludf.DUMMYFUNCTION("""COMPUTED_VALUE"""),393.034)</f>
        <v>393.034</v>
      </c>
      <c r="P631" s="14">
        <f>IFERROR(__xludf.DUMMYFUNCTION("""COMPUTED_VALUE"""),375.558)</f>
        <v>375.558</v>
      </c>
      <c r="Q631" s="14">
        <f>IFERROR(__xludf.DUMMYFUNCTION("""COMPUTED_VALUE"""),386.353)</f>
        <v>386.353</v>
      </c>
      <c r="R631" s="48">
        <f>IFERROR(__xludf.DUMMYFUNCTION("""COMPUTED_VALUE"""),6.79)</f>
        <v>6.79</v>
      </c>
      <c r="S631" s="48">
        <f>IFERROR(__xludf.DUMMYFUNCTION("""COMPUTED_VALUE"""),7.15)</f>
        <v>7.15</v>
      </c>
      <c r="T631" s="48">
        <f>IFERROR(__xludf.DUMMYFUNCTION("""COMPUTED_VALUE"""),7.29)</f>
        <v>7.29</v>
      </c>
      <c r="U631" s="48">
        <f>IFERROR(__xludf.DUMMYFUNCTION("""COMPUTED_VALUE"""),7.5)</f>
        <v>7.5</v>
      </c>
      <c r="V631" s="48">
        <f>IFERROR(__xludf.DUMMYFUNCTION("""COMPUTED_VALUE"""),7.56)</f>
        <v>7.56</v>
      </c>
      <c r="W631" s="14">
        <f>IFERROR(__xludf.DUMMYFUNCTION("""COMPUTED_VALUE"""),7.258)</f>
        <v>7.258</v>
      </c>
      <c r="X631" s="14">
        <f>IFERROR(__xludf.DUMMYFUNCTION("""COMPUTED_VALUE"""),17.4)</f>
        <v>17.4</v>
      </c>
      <c r="Y631" s="14">
        <f>IFERROR(__xludf.DUMMYFUNCTION("""COMPUTED_VALUE"""),17.7)</f>
        <v>17.7</v>
      </c>
      <c r="Z631" s="14">
        <f>IFERROR(__xludf.DUMMYFUNCTION("""COMPUTED_VALUE"""),18.2)</f>
        <v>18.2</v>
      </c>
      <c r="AA631" s="14">
        <f>IFERROR(__xludf.DUMMYFUNCTION("""COMPUTED_VALUE"""),18.9)</f>
        <v>18.9</v>
      </c>
      <c r="AB631" s="14">
        <f>IFERROR(__xludf.DUMMYFUNCTION("""COMPUTED_VALUE"""),19.4)</f>
        <v>19.4</v>
      </c>
      <c r="AC631" s="14">
        <f>IFERROR(__xludf.DUMMYFUNCTION("""COMPUTED_VALUE"""),18.32)</f>
        <v>18.32</v>
      </c>
      <c r="AD631" s="48">
        <f>IFERROR(__xludf.DUMMYFUNCTION("""COMPUTED_VALUE"""),195.0)</f>
        <v>195</v>
      </c>
      <c r="AE631" s="48">
        <f>IFERROR(__xludf.DUMMYFUNCTION("""COMPUTED_VALUE"""),200.0)</f>
        <v>200</v>
      </c>
      <c r="AF631" s="48">
        <f>IFERROR(__xludf.DUMMYFUNCTION("""COMPUTED_VALUE"""),210.0)</f>
        <v>210</v>
      </c>
      <c r="AG631" s="48">
        <f>IFERROR(__xludf.DUMMYFUNCTION("""COMPUTED_VALUE"""),216.0)</f>
        <v>216</v>
      </c>
      <c r="AH631" s="48">
        <f>IFERROR(__xludf.DUMMYFUNCTION("""COMPUTED_VALUE"""),229.0)</f>
        <v>229</v>
      </c>
      <c r="AI631" s="14">
        <f>IFERROR(__xludf.DUMMYFUNCTION("""COMPUTED_VALUE"""),210.0)</f>
        <v>210</v>
      </c>
      <c r="AJ631" s="14">
        <f>IFERROR(__xludf.DUMMYFUNCTION("""COMPUTED_VALUE"""),6.75)</f>
        <v>6.75</v>
      </c>
      <c r="AK631" s="14">
        <f>IFERROR(__xludf.DUMMYFUNCTION("""COMPUTED_VALUE"""),7.05)</f>
        <v>7.05</v>
      </c>
      <c r="AL631" s="14">
        <f>IFERROR(__xludf.DUMMYFUNCTION("""COMPUTED_VALUE"""),7.36)</f>
        <v>7.36</v>
      </c>
      <c r="AM631" s="14">
        <f>IFERROR(__xludf.DUMMYFUNCTION("""COMPUTED_VALUE"""),8.25)</f>
        <v>8.25</v>
      </c>
      <c r="AN631" s="14">
        <f>IFERROR(__xludf.DUMMYFUNCTION("""COMPUTED_VALUE"""),8.12)</f>
        <v>8.12</v>
      </c>
      <c r="AO631" s="14">
        <f>IFERROR(__xludf.DUMMYFUNCTION("""COMPUTED_VALUE"""),7.506)</f>
        <v>7.506</v>
      </c>
      <c r="AP631" s="14">
        <f>IFERROR(__xludf.DUMMYFUNCTION("""COMPUTED_VALUE"""),10.0)</f>
        <v>10</v>
      </c>
      <c r="AQ631" s="14">
        <f>IFERROR(__xludf.DUMMYFUNCTION("""COMPUTED_VALUE"""),20.0)</f>
        <v>20</v>
      </c>
      <c r="AR631" s="14">
        <f>IFERROR(__xludf.DUMMYFUNCTION("""COMPUTED_VALUE"""),5.0)</f>
        <v>5</v>
      </c>
      <c r="AS631" s="14">
        <f>IFERROR(__xludf.DUMMYFUNCTION("""COMPUTED_VALUE"""),1.2)</f>
        <v>1.2</v>
      </c>
      <c r="AT631" s="14">
        <f>IFERROR(__xludf.DUMMYFUNCTION("""COMPUTED_VALUE"""),0.16)</f>
        <v>0.16</v>
      </c>
      <c r="AU631" s="14">
        <f>IFERROR(__xludf.DUMMYFUNCTION("""COMPUTED_VALUE"""),8230000.0)</f>
        <v>8230000</v>
      </c>
      <c r="AV631" s="14">
        <f>IFERROR(__xludf.DUMMYFUNCTION("""COMPUTED_VALUE"""),0.21)</f>
        <v>0.21</v>
      </c>
      <c r="AW631" s="14">
        <f>IFERROR(__xludf.DUMMYFUNCTION("""COMPUTED_VALUE"""),3.9)</f>
        <v>3.9</v>
      </c>
      <c r="AX631" s="14">
        <f>IFERROR(__xludf.DUMMYFUNCTION("""COMPUTED_VALUE"""),5200.0)</f>
        <v>5200</v>
      </c>
      <c r="AY631" s="14">
        <f>IFERROR(__xludf.DUMMYFUNCTION("""COMPUTED_VALUE"""),1.2)</f>
        <v>1.2</v>
      </c>
      <c r="AZ631" s="14">
        <f>IFERROR(__xludf.DUMMYFUNCTION("""COMPUTED_VALUE"""),0.156)</f>
        <v>0.156</v>
      </c>
      <c r="BA631" s="14">
        <f t="shared" si="1"/>
        <v>5.256</v>
      </c>
    </row>
    <row r="632" ht="14.25" customHeight="1">
      <c r="A632" s="10" t="str">
        <f>IFERROR(__xludf.DUMMYFUNCTION("""COMPUTED_VALUE"""),"290322DI02")</f>
        <v>290322DI02</v>
      </c>
      <c r="B632" s="12" t="str">
        <f>IFERROR(__xludf.DUMMYFUNCTION("""COMPUTED_VALUE"""),"COR-Humedal Córdoba")</f>
        <v>COR-Humedal Córdoba</v>
      </c>
      <c r="C632" s="12"/>
      <c r="D632" s="12"/>
      <c r="E632" s="44">
        <f>IFERROR(__xludf.DUMMYFUNCTION("""COMPUTED_VALUE"""),44649.0)</f>
        <v>44649</v>
      </c>
      <c r="F632" s="12" t="str">
        <f>IFERROR(__xludf.DUMMYFUNCTION("""COMPUTED_VALUE"""),"TIPO I")</f>
        <v>TIPO I</v>
      </c>
      <c r="G632" s="12" t="str">
        <f>IFERROR(__xludf.DUMMYFUNCTION("""COMPUTED_VALUE"""),"Se presenta canal natural con lecho lodoso, se percibe olor y se observa color, además de sobrenadantes y acumulación de lodo aguas abajo del punto de monitoreo.")</f>
        <v>Se presenta canal natural con lecho lodoso, se percibe olor y se observa color, además de sobrenadantes y acumulación de lodo aguas abajo del punto de monitoreo.</v>
      </c>
      <c r="H632" s="45">
        <f>IFERROR(__xludf.DUMMYFUNCTION("""COMPUTED_VALUE"""),0.5)</f>
        <v>0.5</v>
      </c>
      <c r="I632" s="45">
        <f>IFERROR(__xludf.DUMMYFUNCTION("""COMPUTED_VALUE"""),0.5833333333321207)</f>
        <v>0.5833333333</v>
      </c>
      <c r="J632" s="12">
        <f>IFERROR(__xludf.DUMMYFUNCTION("""COMPUTED_VALUE"""),9.42)</f>
        <v>9.42</v>
      </c>
      <c r="K632" s="12">
        <f>IFERROR(__xludf.DUMMYFUNCTION("""COMPUTED_VALUE"""),0.57)</f>
        <v>0.57</v>
      </c>
      <c r="L632" s="14">
        <f>IFERROR(__xludf.DUMMYFUNCTION("""COMPUTED_VALUE"""),636.0)</f>
        <v>636</v>
      </c>
      <c r="M632" s="14">
        <f>IFERROR(__xludf.DUMMYFUNCTION("""COMPUTED_VALUE"""),644.0)</f>
        <v>644</v>
      </c>
      <c r="N632" s="14">
        <f>IFERROR(__xludf.DUMMYFUNCTION("""COMPUTED_VALUE"""),652.0)</f>
        <v>652</v>
      </c>
      <c r="O632" s="14">
        <f>IFERROR(__xludf.DUMMYFUNCTION("""COMPUTED_VALUE"""),616.0)</f>
        <v>616</v>
      </c>
      <c r="P632" s="14">
        <f>IFERROR(__xludf.DUMMYFUNCTION("""COMPUTED_VALUE"""),631.0)</f>
        <v>631</v>
      </c>
      <c r="Q632" s="14">
        <f>IFERROR(__xludf.DUMMYFUNCTION("""COMPUTED_VALUE"""),636.0)</f>
        <v>636</v>
      </c>
      <c r="R632" s="48">
        <f>IFERROR(__xludf.DUMMYFUNCTION("""COMPUTED_VALUE"""),7.18)</f>
        <v>7.18</v>
      </c>
      <c r="S632" s="48">
        <f>IFERROR(__xludf.DUMMYFUNCTION("""COMPUTED_VALUE"""),7.27)</f>
        <v>7.27</v>
      </c>
      <c r="T632" s="48">
        <f>IFERROR(__xludf.DUMMYFUNCTION("""COMPUTED_VALUE"""),7.28)</f>
        <v>7.28</v>
      </c>
      <c r="U632" s="48">
        <f>IFERROR(__xludf.DUMMYFUNCTION("""COMPUTED_VALUE"""),7.35)</f>
        <v>7.35</v>
      </c>
      <c r="V632" s="48">
        <f>IFERROR(__xludf.DUMMYFUNCTION("""COMPUTED_VALUE"""),7.37)</f>
        <v>7.37</v>
      </c>
      <c r="W632" s="14">
        <f>IFERROR(__xludf.DUMMYFUNCTION("""COMPUTED_VALUE"""),7.289999999999999)</f>
        <v>7.29</v>
      </c>
      <c r="X632" s="14">
        <f>IFERROR(__xludf.DUMMYFUNCTION("""COMPUTED_VALUE"""),16.2)</f>
        <v>16.2</v>
      </c>
      <c r="Y632" s="14">
        <f>IFERROR(__xludf.DUMMYFUNCTION("""COMPUTED_VALUE"""),16.3)</f>
        <v>16.3</v>
      </c>
      <c r="Z632" s="14">
        <f>IFERROR(__xludf.DUMMYFUNCTION("""COMPUTED_VALUE"""),16.7)</f>
        <v>16.7</v>
      </c>
      <c r="AA632" s="14">
        <f>IFERROR(__xludf.DUMMYFUNCTION("""COMPUTED_VALUE"""),17.0)</f>
        <v>17</v>
      </c>
      <c r="AB632" s="14">
        <f>IFERROR(__xludf.DUMMYFUNCTION("""COMPUTED_VALUE"""),17.2)</f>
        <v>17.2</v>
      </c>
      <c r="AC632" s="14">
        <f>IFERROR(__xludf.DUMMYFUNCTION("""COMPUTED_VALUE"""),16.68)</f>
        <v>16.68</v>
      </c>
      <c r="AD632" s="48">
        <f>IFERROR(__xludf.DUMMYFUNCTION("""COMPUTED_VALUE"""),308.0)</f>
        <v>308</v>
      </c>
      <c r="AE632" s="48">
        <f>IFERROR(__xludf.DUMMYFUNCTION("""COMPUTED_VALUE"""),306.0)</f>
        <v>306</v>
      </c>
      <c r="AF632" s="48">
        <f>IFERROR(__xludf.DUMMYFUNCTION("""COMPUTED_VALUE"""),295.0)</f>
        <v>295</v>
      </c>
      <c r="AG632" s="48">
        <f>IFERROR(__xludf.DUMMYFUNCTION("""COMPUTED_VALUE"""),290.0)</f>
        <v>290</v>
      </c>
      <c r="AH632" s="48">
        <f>IFERROR(__xludf.DUMMYFUNCTION("""COMPUTED_VALUE"""),289.0)</f>
        <v>289</v>
      </c>
      <c r="AI632" s="14">
        <f>IFERROR(__xludf.DUMMYFUNCTION("""COMPUTED_VALUE"""),297.6)</f>
        <v>297.6</v>
      </c>
      <c r="AJ632" s="14">
        <f>IFERROR(__xludf.DUMMYFUNCTION("""COMPUTED_VALUE"""),1.21)</f>
        <v>1.21</v>
      </c>
      <c r="AK632" s="14">
        <f>IFERROR(__xludf.DUMMYFUNCTION("""COMPUTED_VALUE"""),1.34)</f>
        <v>1.34</v>
      </c>
      <c r="AL632" s="14">
        <f>IFERROR(__xludf.DUMMYFUNCTION("""COMPUTED_VALUE"""),1.56)</f>
        <v>1.56</v>
      </c>
      <c r="AM632" s="14">
        <f>IFERROR(__xludf.DUMMYFUNCTION("""COMPUTED_VALUE"""),1.88)</f>
        <v>1.88</v>
      </c>
      <c r="AN632" s="14">
        <f>IFERROR(__xludf.DUMMYFUNCTION("""COMPUTED_VALUE"""),2.08)</f>
        <v>2.08</v>
      </c>
      <c r="AO632" s="14">
        <f>IFERROR(__xludf.DUMMYFUNCTION("""COMPUTED_VALUE"""),1.614)</f>
        <v>1.614</v>
      </c>
      <c r="AP632" s="14">
        <f>IFERROR(__xludf.DUMMYFUNCTION("""COMPUTED_VALUE"""),24.0)</f>
        <v>24</v>
      </c>
      <c r="AQ632" s="14">
        <f>IFERROR(__xludf.DUMMYFUNCTION("""COMPUTED_VALUE"""),45.0)</f>
        <v>45</v>
      </c>
      <c r="AR632" s="14">
        <f>IFERROR(__xludf.DUMMYFUNCTION("""COMPUTED_VALUE"""),15.0)</f>
        <v>15</v>
      </c>
      <c r="AS632" s="14">
        <f>IFERROR(__xludf.DUMMYFUNCTION("""COMPUTED_VALUE"""),1.2)</f>
        <v>1.2</v>
      </c>
      <c r="AT632" s="14">
        <f>IFERROR(__xludf.DUMMYFUNCTION("""COMPUTED_VALUE"""),0.18)</f>
        <v>0.18</v>
      </c>
      <c r="AU632" s="14">
        <f>IFERROR(__xludf.DUMMYFUNCTION("""COMPUTED_VALUE"""),1.191E8)</f>
        <v>119100000</v>
      </c>
      <c r="AV632" s="14">
        <f>IFERROR(__xludf.DUMMYFUNCTION("""COMPUTED_VALUE"""),0.86)</f>
        <v>0.86</v>
      </c>
      <c r="AW632" s="14">
        <f>IFERROR(__xludf.DUMMYFUNCTION("""COMPUTED_VALUE"""),11.2)</f>
        <v>11.2</v>
      </c>
      <c r="AX632" s="14">
        <f>IFERROR(__xludf.DUMMYFUNCTION("""COMPUTED_VALUE"""),103900.0)</f>
        <v>103900</v>
      </c>
      <c r="AY632" s="14">
        <f>IFERROR(__xludf.DUMMYFUNCTION("""COMPUTED_VALUE"""),1.0)</f>
        <v>1</v>
      </c>
      <c r="AZ632" s="14">
        <f>IFERROR(__xludf.DUMMYFUNCTION("""COMPUTED_VALUE"""),0.217)</f>
        <v>0.217</v>
      </c>
      <c r="BA632" s="14">
        <f t="shared" si="1"/>
        <v>12.417</v>
      </c>
    </row>
    <row r="633" ht="14.25" customHeight="1">
      <c r="A633" s="10" t="str">
        <f>IFERROR(__xludf.DUMMYFUNCTION("""COMPUTED_VALUE"""),"290322MO02")</f>
        <v>290322MO02</v>
      </c>
      <c r="B633" s="12" t="str">
        <f>IFERROR(__xludf.DUMMYFUNCTION("""COMPUTED_VALUE"""),"COR-Victoria Norte")</f>
        <v>COR-Victoria Norte</v>
      </c>
      <c r="C633" s="12"/>
      <c r="D633" s="12"/>
      <c r="E633" s="44">
        <f>IFERROR(__xludf.DUMMYFUNCTION("""COMPUTED_VALUE"""),44649.0)</f>
        <v>44649</v>
      </c>
      <c r="F633" s="12" t="str">
        <f>IFERROR(__xludf.DUMMYFUNCTION("""COMPUTED_VALUE"""),"TIPO I")</f>
        <v>TIPO I</v>
      </c>
      <c r="G633" s="12" t="str">
        <f>IFERROR(__xludf.DUMMYFUNCTION("""COMPUTED_VALUE"""),"No se observa coloración y no se percibe olor. En la tercera alícuota se observa que disminuye la turbiedad.
Altura: 2575 msnm")</f>
        <v>No se observa coloración y no se percibe olor. En la tercera alícuota se observa que disminuye la turbiedad.
Altura: 2575 msnm</v>
      </c>
      <c r="H633" s="45">
        <f>IFERROR(__xludf.DUMMYFUNCTION("""COMPUTED_VALUE"""),0.5)</f>
        <v>0.5</v>
      </c>
      <c r="I633" s="45">
        <f>IFERROR(__xludf.DUMMYFUNCTION("""COMPUTED_VALUE"""),0.5833333333321207)</f>
        <v>0.5833333333</v>
      </c>
      <c r="J633" s="12">
        <f>IFERROR(__xludf.DUMMYFUNCTION("""COMPUTED_VALUE"""),5.1)</f>
        <v>5.1</v>
      </c>
      <c r="K633" s="12">
        <f>IFERROR(__xludf.DUMMYFUNCTION("""COMPUTED_VALUE"""),0.16)</f>
        <v>0.16</v>
      </c>
      <c r="L633" s="14">
        <f>IFERROR(__xludf.DUMMYFUNCTION("""COMPUTED_VALUE"""),191.576)</f>
        <v>191.576</v>
      </c>
      <c r="M633" s="14">
        <f>IFERROR(__xludf.DUMMYFUNCTION("""COMPUTED_VALUE"""),189.828)</f>
        <v>189.828</v>
      </c>
      <c r="N633" s="14">
        <f>IFERROR(__xludf.DUMMYFUNCTION("""COMPUTED_VALUE"""),188.41)</f>
        <v>188.41</v>
      </c>
      <c r="O633" s="14">
        <f>IFERROR(__xludf.DUMMYFUNCTION("""COMPUTED_VALUE"""),186.204)</f>
        <v>186.204</v>
      </c>
      <c r="P633" s="14">
        <f>IFERROR(__xludf.DUMMYFUNCTION("""COMPUTED_VALUE"""),184.598)</f>
        <v>184.598</v>
      </c>
      <c r="Q633" s="14">
        <f>IFERROR(__xludf.DUMMYFUNCTION("""COMPUTED_VALUE"""),188.123)</f>
        <v>188.123</v>
      </c>
      <c r="R633" s="48">
        <f>IFERROR(__xludf.DUMMYFUNCTION("""COMPUTED_VALUE"""),6.98)</f>
        <v>6.98</v>
      </c>
      <c r="S633" s="48">
        <f>IFERROR(__xludf.DUMMYFUNCTION("""COMPUTED_VALUE"""),6.91)</f>
        <v>6.91</v>
      </c>
      <c r="T633" s="48">
        <f>IFERROR(__xludf.DUMMYFUNCTION("""COMPUTED_VALUE"""),6.91)</f>
        <v>6.91</v>
      </c>
      <c r="U633" s="48">
        <f>IFERROR(__xludf.DUMMYFUNCTION("""COMPUTED_VALUE"""),6.98)</f>
        <v>6.98</v>
      </c>
      <c r="V633" s="48">
        <f>IFERROR(__xludf.DUMMYFUNCTION("""COMPUTED_VALUE"""),6.96)</f>
        <v>6.96</v>
      </c>
      <c r="W633" s="14">
        <f>IFERROR(__xludf.DUMMYFUNCTION("""COMPUTED_VALUE"""),6.948)</f>
        <v>6.948</v>
      </c>
      <c r="X633" s="14">
        <f>IFERROR(__xludf.DUMMYFUNCTION("""COMPUTED_VALUE"""),19.3)</f>
        <v>19.3</v>
      </c>
      <c r="Y633" s="14">
        <f>IFERROR(__xludf.DUMMYFUNCTION("""COMPUTED_VALUE"""),19.7)</f>
        <v>19.7</v>
      </c>
      <c r="Z633" s="14">
        <f>IFERROR(__xludf.DUMMYFUNCTION("""COMPUTED_VALUE"""),20.4)</f>
        <v>20.4</v>
      </c>
      <c r="AA633" s="14">
        <f>IFERROR(__xludf.DUMMYFUNCTION("""COMPUTED_VALUE"""),19.2)</f>
        <v>19.2</v>
      </c>
      <c r="AB633" s="14">
        <f>IFERROR(__xludf.DUMMYFUNCTION("""COMPUTED_VALUE"""),19.2)</f>
        <v>19.2</v>
      </c>
      <c r="AC633" s="14">
        <f>IFERROR(__xludf.DUMMYFUNCTION("""COMPUTED_VALUE"""),19.56)</f>
        <v>19.56</v>
      </c>
      <c r="AD633" s="48">
        <f>IFERROR(__xludf.DUMMYFUNCTION("""COMPUTED_VALUE"""),261.0)</f>
        <v>261</v>
      </c>
      <c r="AE633" s="48">
        <f>IFERROR(__xludf.DUMMYFUNCTION("""COMPUTED_VALUE"""),298.0)</f>
        <v>298</v>
      </c>
      <c r="AF633" s="48">
        <f>IFERROR(__xludf.DUMMYFUNCTION("""COMPUTED_VALUE"""),288.0)</f>
        <v>288</v>
      </c>
      <c r="AG633" s="48">
        <f>IFERROR(__xludf.DUMMYFUNCTION("""COMPUTED_VALUE"""),275.0)</f>
        <v>275</v>
      </c>
      <c r="AH633" s="48">
        <f>IFERROR(__xludf.DUMMYFUNCTION("""COMPUTED_VALUE"""),267.0)</f>
        <v>267</v>
      </c>
      <c r="AI633" s="14">
        <f>IFERROR(__xludf.DUMMYFUNCTION("""COMPUTED_VALUE"""),277.8)</f>
        <v>277.8</v>
      </c>
      <c r="AJ633" s="14">
        <f>IFERROR(__xludf.DUMMYFUNCTION("""COMPUTED_VALUE"""),5.35)</f>
        <v>5.35</v>
      </c>
      <c r="AK633" s="14">
        <f>IFERROR(__xludf.DUMMYFUNCTION("""COMPUTED_VALUE"""),5.25)</f>
        <v>5.25</v>
      </c>
      <c r="AL633" s="14">
        <f>IFERROR(__xludf.DUMMYFUNCTION("""COMPUTED_VALUE"""),5.53)</f>
        <v>5.53</v>
      </c>
      <c r="AM633" s="14">
        <f>IFERROR(__xludf.DUMMYFUNCTION("""COMPUTED_VALUE"""),5.17)</f>
        <v>5.17</v>
      </c>
      <c r="AN633" s="14">
        <f>IFERROR(__xludf.DUMMYFUNCTION("""COMPUTED_VALUE"""),5.15)</f>
        <v>5.15</v>
      </c>
      <c r="AO633" s="14">
        <f>IFERROR(__xludf.DUMMYFUNCTION("""COMPUTED_VALUE"""),5.289999999999999)</f>
        <v>5.29</v>
      </c>
      <c r="AP633" s="14">
        <f>IFERROR(__xludf.DUMMYFUNCTION("""COMPUTED_VALUE"""),13.0)</f>
        <v>13</v>
      </c>
      <c r="AQ633" s="14">
        <f>IFERROR(__xludf.DUMMYFUNCTION("""COMPUTED_VALUE"""),24.0)</f>
        <v>24</v>
      </c>
      <c r="AR633" s="14">
        <f>IFERROR(__xludf.DUMMYFUNCTION("""COMPUTED_VALUE"""),5.0)</f>
        <v>5</v>
      </c>
      <c r="AS633" s="14">
        <f>IFERROR(__xludf.DUMMYFUNCTION("""COMPUTED_VALUE"""),1.2)</f>
        <v>1.2</v>
      </c>
      <c r="AT633" s="14">
        <f>IFERROR(__xludf.DUMMYFUNCTION("""COMPUTED_VALUE"""),0.17)</f>
        <v>0.17</v>
      </c>
      <c r="AU633" s="14">
        <f>IFERROR(__xludf.DUMMYFUNCTION("""COMPUTED_VALUE"""),8.65E7)</f>
        <v>86500000</v>
      </c>
      <c r="AV633" s="14">
        <f>IFERROR(__xludf.DUMMYFUNCTION("""COMPUTED_VALUE"""),0.46)</f>
        <v>0.46</v>
      </c>
      <c r="AW633" s="14">
        <f>IFERROR(__xludf.DUMMYFUNCTION("""COMPUTED_VALUE"""),4.8)</f>
        <v>4.8</v>
      </c>
      <c r="AX633" s="14">
        <f>IFERROR(__xludf.DUMMYFUNCTION("""COMPUTED_VALUE"""),780000.0)</f>
        <v>780000</v>
      </c>
      <c r="AY633" s="14">
        <f>IFERROR(__xludf.DUMMYFUNCTION("""COMPUTED_VALUE"""),1.0)</f>
        <v>1</v>
      </c>
      <c r="AZ633" s="14">
        <f>IFERROR(__xludf.DUMMYFUNCTION("""COMPUTED_VALUE"""),0.194)</f>
        <v>0.194</v>
      </c>
      <c r="BA633" s="14">
        <f t="shared" si="1"/>
        <v>5.994</v>
      </c>
    </row>
    <row r="634" ht="14.25" customHeight="1">
      <c r="A634" s="10" t="str">
        <f>IFERROR(__xludf.DUMMYFUNCTION("""COMPUTED_VALUE"""),"290322MO01")</f>
        <v>290322MO01</v>
      </c>
      <c r="B634" s="12" t="str">
        <f>IFERROR(__xludf.DUMMYFUNCTION("""COMPUTED_VALUE"""),"COR-Britalia")</f>
        <v>COR-Britalia</v>
      </c>
      <c r="C634" s="12"/>
      <c r="D634" s="12"/>
      <c r="E634" s="44">
        <f>IFERROR(__xludf.DUMMYFUNCTION("""COMPUTED_VALUE"""),44649.0)</f>
        <v>44649</v>
      </c>
      <c r="F634" s="12" t="str">
        <f>IFERROR(__xludf.DUMMYFUNCTION("""COMPUTED_VALUE"""),"TIPO I")</f>
        <v>TIPO I</v>
      </c>
      <c r="G634" s="12" t="str">
        <f>IFERROR(__xludf.DUMMYFUNCTION("""COMPUTED_VALUE"""),"No se perciben olores ni se observa coloración ")</f>
        <v>No se perciben olores ni se observa coloración </v>
      </c>
      <c r="H634" s="45">
        <f>IFERROR(__xludf.DUMMYFUNCTION("""COMPUTED_VALUE"""),0.3333333333321207)</f>
        <v>0.3333333333</v>
      </c>
      <c r="I634" s="45">
        <f>IFERROR(__xludf.DUMMYFUNCTION("""COMPUTED_VALUE"""),0.4166666666678793)</f>
        <v>0.4166666667</v>
      </c>
      <c r="J634" s="12">
        <f>IFERROR(__xludf.DUMMYFUNCTION("""COMPUTED_VALUE"""),2.5)</f>
        <v>2.5</v>
      </c>
      <c r="K634" s="12">
        <f>IFERROR(__xludf.DUMMYFUNCTION("""COMPUTED_VALUE"""),0.05)</f>
        <v>0.05</v>
      </c>
      <c r="L634" s="14">
        <f>IFERROR(__xludf.DUMMYFUNCTION("""COMPUTED_VALUE"""),13.86)</f>
        <v>13.86</v>
      </c>
      <c r="M634" s="14">
        <f>IFERROR(__xludf.DUMMYFUNCTION("""COMPUTED_VALUE"""),14.19)</f>
        <v>14.19</v>
      </c>
      <c r="N634" s="14">
        <f>IFERROR(__xludf.DUMMYFUNCTION("""COMPUTED_VALUE"""),13.954)</f>
        <v>13.954</v>
      </c>
      <c r="O634" s="14">
        <f>IFERROR(__xludf.DUMMYFUNCTION("""COMPUTED_VALUE"""),13.393)</f>
        <v>13.393</v>
      </c>
      <c r="P634" s="14">
        <f>IFERROR(__xludf.DUMMYFUNCTION("""COMPUTED_VALUE"""),13.141)</f>
        <v>13.141</v>
      </c>
      <c r="Q634" s="14">
        <f>IFERROR(__xludf.DUMMYFUNCTION("""COMPUTED_VALUE"""),13.708)</f>
        <v>13.708</v>
      </c>
      <c r="R634" s="48">
        <f>IFERROR(__xludf.DUMMYFUNCTION("""COMPUTED_VALUE"""),6.68)</f>
        <v>6.68</v>
      </c>
      <c r="S634" s="48">
        <f>IFERROR(__xludf.DUMMYFUNCTION("""COMPUTED_VALUE"""),6.61)</f>
        <v>6.61</v>
      </c>
      <c r="T634" s="48">
        <f>IFERROR(__xludf.DUMMYFUNCTION("""COMPUTED_VALUE"""),6.76)</f>
        <v>6.76</v>
      </c>
      <c r="U634" s="48">
        <f>IFERROR(__xludf.DUMMYFUNCTION("""COMPUTED_VALUE"""),6.71)</f>
        <v>6.71</v>
      </c>
      <c r="V634" s="48">
        <f>IFERROR(__xludf.DUMMYFUNCTION("""COMPUTED_VALUE"""),6.75)</f>
        <v>6.75</v>
      </c>
      <c r="W634" s="14">
        <f>IFERROR(__xludf.DUMMYFUNCTION("""COMPUTED_VALUE"""),6.702)</f>
        <v>6.702</v>
      </c>
      <c r="X634" s="14">
        <f>IFERROR(__xludf.DUMMYFUNCTION("""COMPUTED_VALUE"""),17.7)</f>
        <v>17.7</v>
      </c>
      <c r="Y634" s="14">
        <f>IFERROR(__xludf.DUMMYFUNCTION("""COMPUTED_VALUE"""),18.1)</f>
        <v>18.1</v>
      </c>
      <c r="Z634" s="14">
        <f>IFERROR(__xludf.DUMMYFUNCTION("""COMPUTED_VALUE"""),17.3)</f>
        <v>17.3</v>
      </c>
      <c r="AA634" s="14">
        <f>IFERROR(__xludf.DUMMYFUNCTION("""COMPUTED_VALUE"""),17.7)</f>
        <v>17.7</v>
      </c>
      <c r="AB634" s="14">
        <f>IFERROR(__xludf.DUMMYFUNCTION("""COMPUTED_VALUE"""),18.2)</f>
        <v>18.2</v>
      </c>
      <c r="AC634" s="14">
        <f>IFERROR(__xludf.DUMMYFUNCTION("""COMPUTED_VALUE"""),17.8)</f>
        <v>17.8</v>
      </c>
      <c r="AD634" s="48">
        <f>IFERROR(__xludf.DUMMYFUNCTION("""COMPUTED_VALUE"""),378.0)</f>
        <v>378</v>
      </c>
      <c r="AE634" s="48">
        <f>IFERROR(__xludf.DUMMYFUNCTION("""COMPUTED_VALUE"""),408.0)</f>
        <v>408</v>
      </c>
      <c r="AF634" s="48">
        <f>IFERROR(__xludf.DUMMYFUNCTION("""COMPUTED_VALUE"""),404.0)</f>
        <v>404</v>
      </c>
      <c r="AG634" s="48">
        <f>IFERROR(__xludf.DUMMYFUNCTION("""COMPUTED_VALUE"""),437.0)</f>
        <v>437</v>
      </c>
      <c r="AH634" s="48">
        <f>IFERROR(__xludf.DUMMYFUNCTION("""COMPUTED_VALUE"""),421.0)</f>
        <v>421</v>
      </c>
      <c r="AI634" s="14">
        <f>IFERROR(__xludf.DUMMYFUNCTION("""COMPUTED_VALUE"""),409.6)</f>
        <v>409.6</v>
      </c>
      <c r="AJ634" s="14">
        <f>IFERROR(__xludf.DUMMYFUNCTION("""COMPUTED_VALUE"""),2.32)</f>
        <v>2.32</v>
      </c>
      <c r="AK634" s="14">
        <f>IFERROR(__xludf.DUMMYFUNCTION("""COMPUTED_VALUE"""),3.33)</f>
        <v>3.33</v>
      </c>
      <c r="AL634" s="14">
        <f>IFERROR(__xludf.DUMMYFUNCTION("""COMPUTED_VALUE"""),3.19)</f>
        <v>3.19</v>
      </c>
      <c r="AM634" s="14">
        <f>IFERROR(__xludf.DUMMYFUNCTION("""COMPUTED_VALUE"""),3.13)</f>
        <v>3.13</v>
      </c>
      <c r="AN634" s="14">
        <f>IFERROR(__xludf.DUMMYFUNCTION("""COMPUTED_VALUE"""),2.81)</f>
        <v>2.81</v>
      </c>
      <c r="AO634" s="14">
        <f>IFERROR(__xludf.DUMMYFUNCTION("""COMPUTED_VALUE"""),2.956)</f>
        <v>2.956</v>
      </c>
      <c r="AP634" s="14">
        <f>IFERROR(__xludf.DUMMYFUNCTION("""COMPUTED_VALUE"""),20.0)</f>
        <v>20</v>
      </c>
      <c r="AQ634" s="14">
        <f>IFERROR(__xludf.DUMMYFUNCTION("""COMPUTED_VALUE"""),32.0)</f>
        <v>32</v>
      </c>
      <c r="AR634" s="14">
        <f>IFERROR(__xludf.DUMMYFUNCTION("""COMPUTED_VALUE"""),16.0)</f>
        <v>16</v>
      </c>
      <c r="AS634" s="14">
        <f>IFERROR(__xludf.DUMMYFUNCTION("""COMPUTED_VALUE"""),1.2)</f>
        <v>1.2</v>
      </c>
      <c r="AT634" s="14">
        <f>IFERROR(__xludf.DUMMYFUNCTION("""COMPUTED_VALUE"""),0.24)</f>
        <v>0.24</v>
      </c>
      <c r="AU634" s="14">
        <f>IFERROR(__xludf.DUMMYFUNCTION("""COMPUTED_VALUE"""),1.169E8)</f>
        <v>116900000</v>
      </c>
      <c r="AV634" s="14">
        <f>IFERROR(__xludf.DUMMYFUNCTION("""COMPUTED_VALUE"""),0.23)</f>
        <v>0.23</v>
      </c>
      <c r="AW634" s="14">
        <f>IFERROR(__xludf.DUMMYFUNCTION("""COMPUTED_VALUE"""),8.7)</f>
        <v>8.7</v>
      </c>
      <c r="AX634" s="14">
        <f>IFERROR(__xludf.DUMMYFUNCTION("""COMPUTED_VALUE"""),68700.0)</f>
        <v>68700</v>
      </c>
      <c r="AY634" s="14">
        <f>IFERROR(__xludf.DUMMYFUNCTION("""COMPUTED_VALUE"""),1.1)</f>
        <v>1.1</v>
      </c>
      <c r="AZ634" s="14">
        <f>IFERROR(__xludf.DUMMYFUNCTION("""COMPUTED_VALUE"""),0.229)</f>
        <v>0.229</v>
      </c>
      <c r="BA634" s="14">
        <f t="shared" si="1"/>
        <v>10.029</v>
      </c>
    </row>
    <row r="635" ht="14.25" customHeight="1">
      <c r="A635" s="10" t="str">
        <f>IFERROR(__xludf.DUMMYFUNCTION("""COMPUTED_VALUE"""),"300322CA02")</f>
        <v>300322CA02</v>
      </c>
      <c r="B635" s="12" t="str">
        <f>IFERROR(__xludf.DUMMYFUNCTION("""COMPUTED_VALUE"""),"CMO-Pepe Sierra")</f>
        <v>CMO-Pepe Sierra</v>
      </c>
      <c r="C635" s="12"/>
      <c r="D635" s="12"/>
      <c r="E635" s="44">
        <f>IFERROR(__xludf.DUMMYFUNCTION("""COMPUTED_VALUE"""),44650.0)</f>
        <v>44650</v>
      </c>
      <c r="F635" s="12" t="str">
        <f>IFERROR(__xludf.DUMMYFUNCTION("""COMPUTED_VALUE"""),"TIPO I")</f>
        <v>TIPO I</v>
      </c>
      <c r="G635" s="12" t="str">
        <f>IFERROR(__xludf.DUMMYFUNCTION("""COMPUTED_VALUE"""),"Se presenta un lecho en concreto, se percibe olor, se observa color y presencia de material flotante. ")</f>
        <v>Se presenta un lecho en concreto, se percibe olor, se observa color y presencia de material flotante. </v>
      </c>
      <c r="H635" s="45">
        <f>IFERROR(__xludf.DUMMYFUNCTION("""COMPUTED_VALUE"""),0.4166666666678793)</f>
        <v>0.4166666667</v>
      </c>
      <c r="I635" s="45">
        <f>IFERROR(__xludf.DUMMYFUNCTION("""COMPUTED_VALUE"""),0.5)</f>
        <v>0.5</v>
      </c>
      <c r="J635" s="12">
        <f>IFERROR(__xludf.DUMMYFUNCTION("""COMPUTED_VALUE"""),6.1)</f>
        <v>6.1</v>
      </c>
      <c r="K635" s="12">
        <f>IFERROR(__xludf.DUMMYFUNCTION("""COMPUTED_VALUE"""),0.13)</f>
        <v>0.13</v>
      </c>
      <c r="L635" s="14">
        <f>IFERROR(__xludf.DUMMYFUNCTION("""COMPUTED_VALUE"""),197.344)</f>
        <v>197.344</v>
      </c>
      <c r="M635" s="14">
        <f>IFERROR(__xludf.DUMMYFUNCTION("""COMPUTED_VALUE"""),197.747)</f>
        <v>197.747</v>
      </c>
      <c r="N635" s="14">
        <f>IFERROR(__xludf.DUMMYFUNCTION("""COMPUTED_VALUE"""),198.927)</f>
        <v>198.927</v>
      </c>
      <c r="O635" s="14">
        <f>IFERROR(__xludf.DUMMYFUNCTION("""COMPUTED_VALUE"""),200.869)</f>
        <v>200.869</v>
      </c>
      <c r="P635" s="14">
        <f>IFERROR(__xludf.DUMMYFUNCTION("""COMPUTED_VALUE"""),204.477)</f>
        <v>204.477</v>
      </c>
      <c r="Q635" s="14">
        <f>IFERROR(__xludf.DUMMYFUNCTION("""COMPUTED_VALUE"""),199.873)</f>
        <v>199.873</v>
      </c>
      <c r="R635" s="48">
        <f>IFERROR(__xludf.DUMMYFUNCTION("""COMPUTED_VALUE"""),6.47)</f>
        <v>6.47</v>
      </c>
      <c r="S635" s="48">
        <f>IFERROR(__xludf.DUMMYFUNCTION("""COMPUTED_VALUE"""),6.53)</f>
        <v>6.53</v>
      </c>
      <c r="T635" s="48">
        <f>IFERROR(__xludf.DUMMYFUNCTION("""COMPUTED_VALUE"""),6.23)</f>
        <v>6.23</v>
      </c>
      <c r="U635" s="48">
        <f>IFERROR(__xludf.DUMMYFUNCTION("""COMPUTED_VALUE"""),6.43)</f>
        <v>6.43</v>
      </c>
      <c r="V635" s="48">
        <f>IFERROR(__xludf.DUMMYFUNCTION("""COMPUTED_VALUE"""),6.58)</f>
        <v>6.58</v>
      </c>
      <c r="W635" s="14">
        <f>IFERROR(__xludf.DUMMYFUNCTION("""COMPUTED_VALUE"""),6.448)</f>
        <v>6.448</v>
      </c>
      <c r="X635" s="14">
        <f>IFERROR(__xludf.DUMMYFUNCTION("""COMPUTED_VALUE"""),18.0)</f>
        <v>18</v>
      </c>
      <c r="Y635" s="14">
        <f>IFERROR(__xludf.DUMMYFUNCTION("""COMPUTED_VALUE"""),19.3)</f>
        <v>19.3</v>
      </c>
      <c r="Z635" s="14">
        <f>IFERROR(__xludf.DUMMYFUNCTION("""COMPUTED_VALUE"""),18.7)</f>
        <v>18.7</v>
      </c>
      <c r="AA635" s="14">
        <f>IFERROR(__xludf.DUMMYFUNCTION("""COMPUTED_VALUE"""),18.7)</f>
        <v>18.7</v>
      </c>
      <c r="AB635" s="14">
        <f>IFERROR(__xludf.DUMMYFUNCTION("""COMPUTED_VALUE"""),18.9)</f>
        <v>18.9</v>
      </c>
      <c r="AC635" s="14">
        <f>IFERROR(__xludf.DUMMYFUNCTION("""COMPUTED_VALUE"""),18.72)</f>
        <v>18.72</v>
      </c>
      <c r="AD635" s="48">
        <f>IFERROR(__xludf.DUMMYFUNCTION("""COMPUTED_VALUE"""),337.0)</f>
        <v>337</v>
      </c>
      <c r="AE635" s="48">
        <f>IFERROR(__xludf.DUMMYFUNCTION("""COMPUTED_VALUE"""),376.0)</f>
        <v>376</v>
      </c>
      <c r="AF635" s="48">
        <f>IFERROR(__xludf.DUMMYFUNCTION("""COMPUTED_VALUE"""),360.0)</f>
        <v>360</v>
      </c>
      <c r="AG635" s="48">
        <f>IFERROR(__xludf.DUMMYFUNCTION("""COMPUTED_VALUE"""),357.0)</f>
        <v>357</v>
      </c>
      <c r="AH635" s="48">
        <f>IFERROR(__xludf.DUMMYFUNCTION("""COMPUTED_VALUE"""),362.0)</f>
        <v>362</v>
      </c>
      <c r="AI635" s="14">
        <f>IFERROR(__xludf.DUMMYFUNCTION("""COMPUTED_VALUE"""),358.4)</f>
        <v>358.4</v>
      </c>
      <c r="AJ635" s="14">
        <f>IFERROR(__xludf.DUMMYFUNCTION("""COMPUTED_VALUE"""),1.97)</f>
        <v>1.97</v>
      </c>
      <c r="AK635" s="14">
        <f>IFERROR(__xludf.DUMMYFUNCTION("""COMPUTED_VALUE"""),1.79)</f>
        <v>1.79</v>
      </c>
      <c r="AL635" s="14">
        <f>IFERROR(__xludf.DUMMYFUNCTION("""COMPUTED_VALUE"""),1.71)</f>
        <v>1.71</v>
      </c>
      <c r="AM635" s="14">
        <f>IFERROR(__xludf.DUMMYFUNCTION("""COMPUTED_VALUE"""),1.56)</f>
        <v>1.56</v>
      </c>
      <c r="AN635" s="14">
        <f>IFERROR(__xludf.DUMMYFUNCTION("""COMPUTED_VALUE"""),1.11)</f>
        <v>1.11</v>
      </c>
      <c r="AO635" s="14">
        <f>IFERROR(__xludf.DUMMYFUNCTION("""COMPUTED_VALUE"""),1.6279999999999997)</f>
        <v>1.628</v>
      </c>
      <c r="AP635" s="14">
        <f>IFERROR(__xludf.DUMMYFUNCTION("""COMPUTED_VALUE"""),64.0)</f>
        <v>64</v>
      </c>
      <c r="AQ635" s="14">
        <f>IFERROR(__xludf.DUMMYFUNCTION("""COMPUTED_VALUE"""),108.0)</f>
        <v>108</v>
      </c>
      <c r="AR635" s="14">
        <f>IFERROR(__xludf.DUMMYFUNCTION("""COMPUTED_VALUE"""),51.0)</f>
        <v>51</v>
      </c>
      <c r="AS635" s="14">
        <f>IFERROR(__xludf.DUMMYFUNCTION("""COMPUTED_VALUE"""),38.0)</f>
        <v>38</v>
      </c>
      <c r="AT635" s="14">
        <f>IFERROR(__xludf.DUMMYFUNCTION("""COMPUTED_VALUE"""),1.66)</f>
        <v>1.66</v>
      </c>
      <c r="AU635" s="14">
        <f>IFERROR(__xludf.DUMMYFUNCTION("""COMPUTED_VALUE"""),8050000.0)</f>
        <v>8050000</v>
      </c>
      <c r="AV635" s="14">
        <f>IFERROR(__xludf.DUMMYFUNCTION("""COMPUTED_VALUE"""),2.66)</f>
        <v>2.66</v>
      </c>
      <c r="AW635" s="14">
        <f>IFERROR(__xludf.DUMMYFUNCTION("""COMPUTED_VALUE"""),26.0)</f>
        <v>26</v>
      </c>
      <c r="AX635" s="14">
        <f>IFERROR(__xludf.DUMMYFUNCTION("""COMPUTED_VALUE"""),7280000.0)</f>
        <v>7280000</v>
      </c>
      <c r="AY635" s="14">
        <f>IFERROR(__xludf.DUMMYFUNCTION("""COMPUTED_VALUE"""),0.9)</f>
        <v>0.9</v>
      </c>
      <c r="AZ635" s="14">
        <f>IFERROR(__xludf.DUMMYFUNCTION("""COMPUTED_VALUE"""),0.007)</f>
        <v>0.007</v>
      </c>
      <c r="BA635" s="14">
        <f t="shared" si="1"/>
        <v>26.907</v>
      </c>
    </row>
    <row r="636" ht="14.25" customHeight="1">
      <c r="A636" s="10" t="str">
        <f>IFERROR(__xludf.DUMMYFUNCTION("""COMPUTED_VALUE"""),"300322MO01")</f>
        <v>300322MO01</v>
      </c>
      <c r="B636" s="12" t="str">
        <f>IFERROR(__xludf.DUMMYFUNCTION("""COMPUTED_VALUE"""),"CMO-Cantón Norte")</f>
        <v>CMO-Cantón Norte</v>
      </c>
      <c r="C636" s="12"/>
      <c r="D636" s="12"/>
      <c r="E636" s="44">
        <f>IFERROR(__xludf.DUMMYFUNCTION("""COMPUTED_VALUE"""),44650.0)</f>
        <v>44650</v>
      </c>
      <c r="F636" s="12" t="str">
        <f>IFERROR(__xludf.DUMMYFUNCTION("""COMPUTED_VALUE"""),"TIPO I")</f>
        <v>TIPO I</v>
      </c>
      <c r="G636" s="12" t="str">
        <f>IFERROR(__xludf.DUMMYFUNCTION("""COMPUTED_VALUE"""),"El flujo de agua es conducido por un canal en concreto. Aguas arriba del punto se encuentra un vertimiento con flujo continuo durante todo el monitoreo. 
Altitud: 2586 msnm ")</f>
        <v>El flujo de agua es conducido por un canal en concreto. Aguas arriba del punto se encuentra un vertimiento con flujo continuo durante todo el monitoreo. 
Altitud: 2586 msnm </v>
      </c>
      <c r="H636" s="45">
        <f>IFERROR(__xludf.DUMMYFUNCTION("""COMPUTED_VALUE"""),0.3333333333321207)</f>
        <v>0.3333333333</v>
      </c>
      <c r="I636" s="45">
        <f>IFERROR(__xludf.DUMMYFUNCTION("""COMPUTED_VALUE"""),0.4166666666678793)</f>
        <v>0.4166666667</v>
      </c>
      <c r="J636" s="12">
        <f>IFERROR(__xludf.DUMMYFUNCTION("""COMPUTED_VALUE"""),1.8)</f>
        <v>1.8</v>
      </c>
      <c r="K636" s="12">
        <f>IFERROR(__xludf.DUMMYFUNCTION("""COMPUTED_VALUE"""),0.14)</f>
        <v>0.14</v>
      </c>
      <c r="L636" s="14">
        <f>IFERROR(__xludf.DUMMYFUNCTION("""COMPUTED_VALUE"""),124.091)</f>
        <v>124.091</v>
      </c>
      <c r="M636" s="14">
        <f>IFERROR(__xludf.DUMMYFUNCTION("""COMPUTED_VALUE"""),123.836)</f>
        <v>123.836</v>
      </c>
      <c r="N636" s="14">
        <f>IFERROR(__xludf.DUMMYFUNCTION("""COMPUTED_VALUE"""),120.665)</f>
        <v>120.665</v>
      </c>
      <c r="O636" s="14">
        <f>IFERROR(__xludf.DUMMYFUNCTION("""COMPUTED_VALUE"""),125.136)</f>
        <v>125.136</v>
      </c>
      <c r="P636" s="14">
        <f>IFERROR(__xludf.DUMMYFUNCTION("""COMPUTED_VALUE"""),124.87)</f>
        <v>124.87</v>
      </c>
      <c r="Q636" s="14">
        <f>IFERROR(__xludf.DUMMYFUNCTION("""COMPUTED_VALUE"""),123.719)</f>
        <v>123.719</v>
      </c>
      <c r="R636" s="48">
        <f>IFERROR(__xludf.DUMMYFUNCTION("""COMPUTED_VALUE"""),7.53)</f>
        <v>7.53</v>
      </c>
      <c r="S636" s="48">
        <f>IFERROR(__xludf.DUMMYFUNCTION("""COMPUTED_VALUE"""),7.81)</f>
        <v>7.81</v>
      </c>
      <c r="T636" s="48">
        <f>IFERROR(__xludf.DUMMYFUNCTION("""COMPUTED_VALUE"""),7.83)</f>
        <v>7.83</v>
      </c>
      <c r="U636" s="48">
        <f>IFERROR(__xludf.DUMMYFUNCTION("""COMPUTED_VALUE"""),7.83)</f>
        <v>7.83</v>
      </c>
      <c r="V636" s="48">
        <f>IFERROR(__xludf.DUMMYFUNCTION("""COMPUTED_VALUE"""),7.82)</f>
        <v>7.82</v>
      </c>
      <c r="W636" s="14">
        <f>IFERROR(__xludf.DUMMYFUNCTION("""COMPUTED_VALUE"""),7.764)</f>
        <v>7.764</v>
      </c>
      <c r="X636" s="14">
        <f>IFERROR(__xludf.DUMMYFUNCTION("""COMPUTED_VALUE"""),12.7)</f>
        <v>12.7</v>
      </c>
      <c r="Y636" s="14">
        <f>IFERROR(__xludf.DUMMYFUNCTION("""COMPUTED_VALUE"""),12.9)</f>
        <v>12.9</v>
      </c>
      <c r="Z636" s="14">
        <f>IFERROR(__xludf.DUMMYFUNCTION("""COMPUTED_VALUE"""),13.1)</f>
        <v>13.1</v>
      </c>
      <c r="AA636" s="14">
        <f>IFERROR(__xludf.DUMMYFUNCTION("""COMPUTED_VALUE"""),13.0)</f>
        <v>13</v>
      </c>
      <c r="AB636" s="14">
        <f>IFERROR(__xludf.DUMMYFUNCTION("""COMPUTED_VALUE"""),13.3)</f>
        <v>13.3</v>
      </c>
      <c r="AC636" s="14">
        <f>IFERROR(__xludf.DUMMYFUNCTION("""COMPUTED_VALUE"""),13.0)</f>
        <v>13</v>
      </c>
      <c r="AD636" s="48">
        <f>IFERROR(__xludf.DUMMYFUNCTION("""COMPUTED_VALUE"""),261.0)</f>
        <v>261</v>
      </c>
      <c r="AE636" s="48">
        <f>IFERROR(__xludf.DUMMYFUNCTION("""COMPUTED_VALUE"""),267.0)</f>
        <v>267</v>
      </c>
      <c r="AF636" s="48">
        <f>IFERROR(__xludf.DUMMYFUNCTION("""COMPUTED_VALUE"""),263.0)</f>
        <v>263</v>
      </c>
      <c r="AG636" s="48">
        <f>IFERROR(__xludf.DUMMYFUNCTION("""COMPUTED_VALUE"""),248.0)</f>
        <v>248</v>
      </c>
      <c r="AH636" s="48">
        <f>IFERROR(__xludf.DUMMYFUNCTION("""COMPUTED_VALUE"""),238.0)</f>
        <v>238</v>
      </c>
      <c r="AI636" s="14">
        <f>IFERROR(__xludf.DUMMYFUNCTION("""COMPUTED_VALUE"""),255.4)</f>
        <v>255.4</v>
      </c>
      <c r="AJ636" s="14">
        <f>IFERROR(__xludf.DUMMYFUNCTION("""COMPUTED_VALUE"""),6.87)</f>
        <v>6.87</v>
      </c>
      <c r="AK636" s="14">
        <f>IFERROR(__xludf.DUMMYFUNCTION("""COMPUTED_VALUE"""),6.79)</f>
        <v>6.79</v>
      </c>
      <c r="AL636" s="14">
        <f>IFERROR(__xludf.DUMMYFUNCTION("""COMPUTED_VALUE"""),6.89)</f>
        <v>6.89</v>
      </c>
      <c r="AM636" s="14">
        <f>IFERROR(__xludf.DUMMYFUNCTION("""COMPUTED_VALUE"""),7.07)</f>
        <v>7.07</v>
      </c>
      <c r="AN636" s="14">
        <f>IFERROR(__xludf.DUMMYFUNCTION("""COMPUTED_VALUE"""),7.04)</f>
        <v>7.04</v>
      </c>
      <c r="AO636" s="14">
        <f>IFERROR(__xludf.DUMMYFUNCTION("""COMPUTED_VALUE"""),6.932)</f>
        <v>6.932</v>
      </c>
      <c r="AP636" s="14">
        <f>IFERROR(__xludf.DUMMYFUNCTION("""COMPUTED_VALUE"""),21.0)</f>
        <v>21</v>
      </c>
      <c r="AQ636" s="14">
        <f>IFERROR(__xludf.DUMMYFUNCTION("""COMPUTED_VALUE"""),32.0)</f>
        <v>32</v>
      </c>
      <c r="AR636" s="14">
        <f>IFERROR(__xludf.DUMMYFUNCTION("""COMPUTED_VALUE"""),16.0)</f>
        <v>16</v>
      </c>
      <c r="AS636" s="14">
        <f>IFERROR(__xludf.DUMMYFUNCTION("""COMPUTED_VALUE"""),1.2)</f>
        <v>1.2</v>
      </c>
      <c r="AT636" s="14">
        <f>IFERROR(__xludf.DUMMYFUNCTION("""COMPUTED_VALUE"""),0.36)</f>
        <v>0.36</v>
      </c>
      <c r="AU636" s="14">
        <f>IFERROR(__xludf.DUMMYFUNCTION("""COMPUTED_VALUE"""),1.336E7)</f>
        <v>13360000</v>
      </c>
      <c r="AV636" s="14">
        <f>IFERROR(__xludf.DUMMYFUNCTION("""COMPUTED_VALUE"""),1.23)</f>
        <v>1.23</v>
      </c>
      <c r="AW636" s="14">
        <f>IFERROR(__xludf.DUMMYFUNCTION("""COMPUTED_VALUE"""),9.0)</f>
        <v>9</v>
      </c>
      <c r="AX636" s="14">
        <f>IFERROR(__xludf.DUMMYFUNCTION("""COMPUTED_VALUE"""),1.222E7)</f>
        <v>12220000</v>
      </c>
      <c r="AY636" s="14">
        <f>IFERROR(__xludf.DUMMYFUNCTION("""COMPUTED_VALUE"""),5.9)</f>
        <v>5.9</v>
      </c>
      <c r="AZ636" s="14">
        <f>IFERROR(__xludf.DUMMYFUNCTION("""COMPUTED_VALUE"""),0.016)</f>
        <v>0.016</v>
      </c>
      <c r="BA636" s="14">
        <f t="shared" si="1"/>
        <v>14.916</v>
      </c>
    </row>
    <row r="637" ht="14.25" customHeight="1">
      <c r="A637" s="10" t="str">
        <f>IFERROR(__xludf.DUMMYFUNCTION("""COMPUTED_VALUE"""),"300322CA01")</f>
        <v>300322CA01</v>
      </c>
      <c r="B637" s="12" t="str">
        <f>IFERROR(__xludf.DUMMYFUNCTION("""COMPUTED_VALUE"""),"CMO-Alhambra")</f>
        <v>CMO-Alhambra</v>
      </c>
      <c r="C637" s="12"/>
      <c r="D637" s="12"/>
      <c r="E637" s="44">
        <f>IFERROR(__xludf.DUMMYFUNCTION("""COMPUTED_VALUE"""),44650.0)</f>
        <v>44650</v>
      </c>
      <c r="F637" s="12" t="str">
        <f>IFERROR(__xludf.DUMMYFUNCTION("""COMPUTED_VALUE"""),"TIPO I")</f>
        <v>TIPO I</v>
      </c>
      <c r="G637" s="12" t="str">
        <f>IFERROR(__xludf.DUMMYFUNCTION("""COMPUTED_VALUE"""),"Se observa coloración y material flotante. Se percibe olor. Después de la tercera alícuota se evidencia aumento del caudal y cambio de color.
Altura: 2654 msnm")</f>
        <v>Se observa coloración y material flotante. Se percibe olor. Después de la tercera alícuota se evidencia aumento del caudal y cambio de color.
Altura: 2654 msnm</v>
      </c>
      <c r="H637" s="45">
        <f>IFERROR(__xludf.DUMMYFUNCTION("""COMPUTED_VALUE"""),0.25)</f>
        <v>0.25</v>
      </c>
      <c r="I637" s="45">
        <f>IFERROR(__xludf.DUMMYFUNCTION("""COMPUTED_VALUE"""),0.3333333333321207)</f>
        <v>0.3333333333</v>
      </c>
      <c r="J637" s="12">
        <f>IFERROR(__xludf.DUMMYFUNCTION("""COMPUTED_VALUE"""),5.4)</f>
        <v>5.4</v>
      </c>
      <c r="K637" s="12">
        <f>IFERROR(__xludf.DUMMYFUNCTION("""COMPUTED_VALUE"""),0.19)</f>
        <v>0.19</v>
      </c>
      <c r="L637" s="14">
        <f>IFERROR(__xludf.DUMMYFUNCTION("""COMPUTED_VALUE"""),199.43)</f>
        <v>199.43</v>
      </c>
      <c r="M637" s="14">
        <f>IFERROR(__xludf.DUMMYFUNCTION("""COMPUTED_VALUE"""),201.36)</f>
        <v>201.36</v>
      </c>
      <c r="N637" s="14">
        <f>IFERROR(__xludf.DUMMYFUNCTION("""COMPUTED_VALUE"""),218.533)</f>
        <v>218.533</v>
      </c>
      <c r="O637" s="14">
        <f>IFERROR(__xludf.DUMMYFUNCTION("""COMPUTED_VALUE"""),247.233)</f>
        <v>247.233</v>
      </c>
      <c r="P637" s="14">
        <f>IFERROR(__xludf.DUMMYFUNCTION("""COMPUTED_VALUE"""),249.729)</f>
        <v>249.729</v>
      </c>
      <c r="Q637" s="14">
        <f>IFERROR(__xludf.DUMMYFUNCTION("""COMPUTED_VALUE"""),223.257)</f>
        <v>223.257</v>
      </c>
      <c r="R637" s="48">
        <f>IFERROR(__xludf.DUMMYFUNCTION("""COMPUTED_VALUE"""),6.3)</f>
        <v>6.3</v>
      </c>
      <c r="S637" s="48">
        <f>IFERROR(__xludf.DUMMYFUNCTION("""COMPUTED_VALUE"""),6.8)</f>
        <v>6.8</v>
      </c>
      <c r="T637" s="48">
        <f>IFERROR(__xludf.DUMMYFUNCTION("""COMPUTED_VALUE"""),6.51)</f>
        <v>6.51</v>
      </c>
      <c r="U637" s="48">
        <f>IFERROR(__xludf.DUMMYFUNCTION("""COMPUTED_VALUE"""),6.6)</f>
        <v>6.6</v>
      </c>
      <c r="V637" s="48">
        <f>IFERROR(__xludf.DUMMYFUNCTION("""COMPUTED_VALUE"""),6.66)</f>
        <v>6.66</v>
      </c>
      <c r="W637" s="14">
        <f>IFERROR(__xludf.DUMMYFUNCTION("""COMPUTED_VALUE"""),6.574000000000001)</f>
        <v>6.574</v>
      </c>
      <c r="X637" s="14">
        <f>IFERROR(__xludf.DUMMYFUNCTION("""COMPUTED_VALUE"""),14.3)</f>
        <v>14.3</v>
      </c>
      <c r="Y637" s="14">
        <f>IFERROR(__xludf.DUMMYFUNCTION("""COMPUTED_VALUE"""),13.9)</f>
        <v>13.9</v>
      </c>
      <c r="Z637" s="14">
        <f>IFERROR(__xludf.DUMMYFUNCTION("""COMPUTED_VALUE"""),13.7)</f>
        <v>13.7</v>
      </c>
      <c r="AA637" s="14">
        <f>IFERROR(__xludf.DUMMYFUNCTION("""COMPUTED_VALUE"""),14.3)</f>
        <v>14.3</v>
      </c>
      <c r="AB637" s="14">
        <f>IFERROR(__xludf.DUMMYFUNCTION("""COMPUTED_VALUE"""),14.7)</f>
        <v>14.7</v>
      </c>
      <c r="AC637" s="14">
        <f>IFERROR(__xludf.DUMMYFUNCTION("""COMPUTED_VALUE"""),14.180000000000001)</f>
        <v>14.18</v>
      </c>
      <c r="AD637" s="48">
        <f>IFERROR(__xludf.DUMMYFUNCTION("""COMPUTED_VALUE"""),290.0)</f>
        <v>290</v>
      </c>
      <c r="AE637" s="48">
        <f>IFERROR(__xludf.DUMMYFUNCTION("""COMPUTED_VALUE"""),315.0)</f>
        <v>315</v>
      </c>
      <c r="AF637" s="48">
        <f>IFERROR(__xludf.DUMMYFUNCTION("""COMPUTED_VALUE"""),318.0)</f>
        <v>318</v>
      </c>
      <c r="AG637" s="48">
        <f>IFERROR(__xludf.DUMMYFUNCTION("""COMPUTED_VALUE"""),349.0)</f>
        <v>349</v>
      </c>
      <c r="AH637" s="48">
        <f>IFERROR(__xludf.DUMMYFUNCTION("""COMPUTED_VALUE"""),325.0)</f>
        <v>325</v>
      </c>
      <c r="AI637" s="14">
        <f>IFERROR(__xludf.DUMMYFUNCTION("""COMPUTED_VALUE"""),319.4)</f>
        <v>319.4</v>
      </c>
      <c r="AJ637" s="14">
        <f>IFERROR(__xludf.DUMMYFUNCTION("""COMPUTED_VALUE"""),1.22)</f>
        <v>1.22</v>
      </c>
      <c r="AK637" s="14">
        <f>IFERROR(__xludf.DUMMYFUNCTION("""COMPUTED_VALUE"""),1.04)</f>
        <v>1.04</v>
      </c>
      <c r="AL637" s="14">
        <f>IFERROR(__xludf.DUMMYFUNCTION("""COMPUTED_VALUE"""),1.6)</f>
        <v>1.6</v>
      </c>
      <c r="AM637" s="14">
        <f>IFERROR(__xludf.DUMMYFUNCTION("""COMPUTED_VALUE"""),1.26)</f>
        <v>1.26</v>
      </c>
      <c r="AN637" s="14">
        <f>IFERROR(__xludf.DUMMYFUNCTION("""COMPUTED_VALUE"""),1.06)</f>
        <v>1.06</v>
      </c>
      <c r="AO637" s="14">
        <f>IFERROR(__xludf.DUMMYFUNCTION("""COMPUTED_VALUE"""),1.236)</f>
        <v>1.236</v>
      </c>
      <c r="AP637" s="14">
        <f>IFERROR(__xludf.DUMMYFUNCTION("""COMPUTED_VALUE"""),62.0)</f>
        <v>62</v>
      </c>
      <c r="AQ637" s="14">
        <f>IFERROR(__xludf.DUMMYFUNCTION("""COMPUTED_VALUE"""),88.0)</f>
        <v>88</v>
      </c>
      <c r="AR637" s="14">
        <f>IFERROR(__xludf.DUMMYFUNCTION("""COMPUTED_VALUE"""),24.0)</f>
        <v>24</v>
      </c>
      <c r="AS637" s="14">
        <f>IFERROR(__xludf.DUMMYFUNCTION("""COMPUTED_VALUE"""),26.0)</f>
        <v>26</v>
      </c>
      <c r="AT637" s="14">
        <f>IFERROR(__xludf.DUMMYFUNCTION("""COMPUTED_VALUE"""),1.66)</f>
        <v>1.66</v>
      </c>
      <c r="AU637" s="14">
        <f>IFERROR(__xludf.DUMMYFUNCTION("""COMPUTED_VALUE"""),9820000.0)</f>
        <v>9820000</v>
      </c>
      <c r="AV637" s="14">
        <f>IFERROR(__xludf.DUMMYFUNCTION("""COMPUTED_VALUE"""),2.28)</f>
        <v>2.28</v>
      </c>
      <c r="AW637" s="14">
        <f>IFERROR(__xludf.DUMMYFUNCTION("""COMPUTED_VALUE"""),23.0)</f>
        <v>23</v>
      </c>
      <c r="AX637" s="14">
        <f>IFERROR(__xludf.DUMMYFUNCTION("""COMPUTED_VALUE"""),8470000.0)</f>
        <v>8470000</v>
      </c>
      <c r="AY637" s="14">
        <f>IFERROR(__xludf.DUMMYFUNCTION("""COMPUTED_VALUE"""),0.7)</f>
        <v>0.7</v>
      </c>
      <c r="AZ637" s="14">
        <f>IFERROR(__xludf.DUMMYFUNCTION("""COMPUTED_VALUE"""),0.007)</f>
        <v>0.007</v>
      </c>
      <c r="BA637" s="14">
        <f t="shared" si="1"/>
        <v>23.707</v>
      </c>
    </row>
    <row r="638" ht="14.25" customHeight="1">
      <c r="A638" s="10" t="str">
        <f>IFERROR(__xludf.DUMMYFUNCTION("""COMPUTED_VALUE"""),"300322MO02")</f>
        <v>300322MO02</v>
      </c>
      <c r="B638" s="12" t="str">
        <f>IFERROR(__xludf.DUMMYFUNCTION("""COMPUTED_VALUE"""),"CMO-Santa Ana")</f>
        <v>CMO-Santa Ana</v>
      </c>
      <c r="C638" s="12"/>
      <c r="D638" s="12"/>
      <c r="E638" s="44">
        <f>IFERROR(__xludf.DUMMYFUNCTION("""COMPUTED_VALUE"""),44650.0)</f>
        <v>44650</v>
      </c>
      <c r="F638" s="12" t="str">
        <f>IFERROR(__xludf.DUMMYFUNCTION("""COMPUTED_VALUE"""),"TIPO I")</f>
        <v>TIPO I</v>
      </c>
      <c r="G638" s="12" t="str">
        <f>IFERROR(__xludf.DUMMYFUNCTION("""COMPUTED_VALUE"""),"Se observa color y arrastre de material. Se percibe olor.
Altura: 2582 msnm")</f>
        <v>Se observa color y arrastre de material. Se percibe olor.
Altura: 2582 msnm</v>
      </c>
      <c r="H638" s="45">
        <f>IFERROR(__xludf.DUMMYFUNCTION("""COMPUTED_VALUE"""),0.5)</f>
        <v>0.5</v>
      </c>
      <c r="I638" s="45">
        <f>IFERROR(__xludf.DUMMYFUNCTION("""COMPUTED_VALUE"""),0.5833333333321207)</f>
        <v>0.5833333333</v>
      </c>
      <c r="J638" s="12">
        <f>IFERROR(__xludf.DUMMYFUNCTION("""COMPUTED_VALUE"""),3.3)</f>
        <v>3.3</v>
      </c>
      <c r="K638" s="12">
        <f>IFERROR(__xludf.DUMMYFUNCTION("""COMPUTED_VALUE"""),0.15)</f>
        <v>0.15</v>
      </c>
      <c r="L638" s="14">
        <f>IFERROR(__xludf.DUMMYFUNCTION("""COMPUTED_VALUE"""),231.17)</f>
        <v>231.17</v>
      </c>
      <c r="M638" s="14">
        <f>IFERROR(__xludf.DUMMYFUNCTION("""COMPUTED_VALUE"""),235.596)</f>
        <v>235.596</v>
      </c>
      <c r="N638" s="14">
        <f>IFERROR(__xludf.DUMMYFUNCTION("""COMPUTED_VALUE"""),236.699)</f>
        <v>236.699</v>
      </c>
      <c r="O638" s="14">
        <f>IFERROR(__xludf.DUMMYFUNCTION("""COMPUTED_VALUE"""),235.916)</f>
        <v>235.916</v>
      </c>
      <c r="P638" s="14">
        <f>IFERROR(__xludf.DUMMYFUNCTION("""COMPUTED_VALUE"""),231.238)</f>
        <v>231.238</v>
      </c>
      <c r="Q638" s="14">
        <f>IFERROR(__xludf.DUMMYFUNCTION("""COMPUTED_VALUE"""),234.124)</f>
        <v>234.124</v>
      </c>
      <c r="R638" s="48">
        <f>IFERROR(__xludf.DUMMYFUNCTION("""COMPUTED_VALUE"""),7.14)</f>
        <v>7.14</v>
      </c>
      <c r="S638" s="48">
        <f>IFERROR(__xludf.DUMMYFUNCTION("""COMPUTED_VALUE"""),7.19)</f>
        <v>7.19</v>
      </c>
      <c r="T638" s="48">
        <f>IFERROR(__xludf.DUMMYFUNCTION("""COMPUTED_VALUE"""),7.26)</f>
        <v>7.26</v>
      </c>
      <c r="U638" s="48">
        <f>IFERROR(__xludf.DUMMYFUNCTION("""COMPUTED_VALUE"""),7.38)</f>
        <v>7.38</v>
      </c>
      <c r="V638" s="48">
        <f>IFERROR(__xludf.DUMMYFUNCTION("""COMPUTED_VALUE"""),7.29)</f>
        <v>7.29</v>
      </c>
      <c r="W638" s="14">
        <f>IFERROR(__xludf.DUMMYFUNCTION("""COMPUTED_VALUE"""),7.252)</f>
        <v>7.252</v>
      </c>
      <c r="X638" s="14">
        <f>IFERROR(__xludf.DUMMYFUNCTION("""COMPUTED_VALUE"""),17.2)</f>
        <v>17.2</v>
      </c>
      <c r="Y638" s="14">
        <f>IFERROR(__xludf.DUMMYFUNCTION("""COMPUTED_VALUE"""),17.4)</f>
        <v>17.4</v>
      </c>
      <c r="Z638" s="14">
        <f>IFERROR(__xludf.DUMMYFUNCTION("""COMPUTED_VALUE"""),17.8)</f>
        <v>17.8</v>
      </c>
      <c r="AA638" s="14">
        <f>IFERROR(__xludf.DUMMYFUNCTION("""COMPUTED_VALUE"""),17.7)</f>
        <v>17.7</v>
      </c>
      <c r="AB638" s="14">
        <f>IFERROR(__xludf.DUMMYFUNCTION("""COMPUTED_VALUE"""),17.8)</f>
        <v>17.8</v>
      </c>
      <c r="AC638" s="14">
        <f>IFERROR(__xludf.DUMMYFUNCTION("""COMPUTED_VALUE"""),17.58)</f>
        <v>17.58</v>
      </c>
      <c r="AD638" s="48">
        <f>IFERROR(__xludf.DUMMYFUNCTION("""COMPUTED_VALUE"""),279.0)</f>
        <v>279</v>
      </c>
      <c r="AE638" s="48">
        <f>IFERROR(__xludf.DUMMYFUNCTION("""COMPUTED_VALUE"""),278.0)</f>
        <v>278</v>
      </c>
      <c r="AF638" s="48">
        <f>IFERROR(__xludf.DUMMYFUNCTION("""COMPUTED_VALUE"""),280.0)</f>
        <v>280</v>
      </c>
      <c r="AG638" s="48">
        <f>IFERROR(__xludf.DUMMYFUNCTION("""COMPUTED_VALUE"""),293.0)</f>
        <v>293</v>
      </c>
      <c r="AH638" s="48">
        <f>IFERROR(__xludf.DUMMYFUNCTION("""COMPUTED_VALUE"""),308.0)</f>
        <v>308</v>
      </c>
      <c r="AI638" s="14">
        <f>IFERROR(__xludf.DUMMYFUNCTION("""COMPUTED_VALUE"""),287.6)</f>
        <v>287.6</v>
      </c>
      <c r="AJ638" s="14">
        <f>IFERROR(__xludf.DUMMYFUNCTION("""COMPUTED_VALUE"""),1.87)</f>
        <v>1.87</v>
      </c>
      <c r="AK638" s="14">
        <f>IFERROR(__xludf.DUMMYFUNCTION("""COMPUTED_VALUE"""),1.68)</f>
        <v>1.68</v>
      </c>
      <c r="AL638" s="14">
        <f>IFERROR(__xludf.DUMMYFUNCTION("""COMPUTED_VALUE"""),1.76)</f>
        <v>1.76</v>
      </c>
      <c r="AM638" s="14">
        <f>IFERROR(__xludf.DUMMYFUNCTION("""COMPUTED_VALUE"""),1.79)</f>
        <v>1.79</v>
      </c>
      <c r="AN638" s="14">
        <f>IFERROR(__xludf.DUMMYFUNCTION("""COMPUTED_VALUE"""),1.58)</f>
        <v>1.58</v>
      </c>
      <c r="AO638" s="14">
        <f>IFERROR(__xludf.DUMMYFUNCTION("""COMPUTED_VALUE"""),1.736)</f>
        <v>1.736</v>
      </c>
      <c r="AP638" s="14">
        <f>IFERROR(__xludf.DUMMYFUNCTION("""COMPUTED_VALUE"""),49.0)</f>
        <v>49</v>
      </c>
      <c r="AQ638" s="14">
        <f>IFERROR(__xludf.DUMMYFUNCTION("""COMPUTED_VALUE"""),80.0)</f>
        <v>80</v>
      </c>
      <c r="AR638" s="14">
        <f>IFERROR(__xludf.DUMMYFUNCTION("""COMPUTED_VALUE"""),33.0)</f>
        <v>33</v>
      </c>
      <c r="AS638" s="14">
        <f>IFERROR(__xludf.DUMMYFUNCTION("""COMPUTED_VALUE"""),1.2)</f>
        <v>1.2</v>
      </c>
      <c r="AT638" s="14">
        <f>IFERROR(__xludf.DUMMYFUNCTION("""COMPUTED_VALUE"""),0.27)</f>
        <v>0.27</v>
      </c>
      <c r="AU638" s="14">
        <f>IFERROR(__xludf.DUMMYFUNCTION("""COMPUTED_VALUE"""),9100000.0)</f>
        <v>9100000</v>
      </c>
      <c r="AV638" s="14">
        <f>IFERROR(__xludf.DUMMYFUNCTION("""COMPUTED_VALUE"""),1.49)</f>
        <v>1.49</v>
      </c>
      <c r="AW638" s="14">
        <f>IFERROR(__xludf.DUMMYFUNCTION("""COMPUTED_VALUE"""),16.0)</f>
        <v>16</v>
      </c>
      <c r="AX638" s="14">
        <f>IFERROR(__xludf.DUMMYFUNCTION("""COMPUTED_VALUE"""),86700.0)</f>
        <v>86700</v>
      </c>
      <c r="AY638" s="14">
        <f>IFERROR(__xludf.DUMMYFUNCTION("""COMPUTED_VALUE"""),0.5)</f>
        <v>0.5</v>
      </c>
      <c r="AZ638" s="14">
        <f>IFERROR(__xludf.DUMMYFUNCTION("""COMPUTED_VALUE"""),0.013)</f>
        <v>0.013</v>
      </c>
      <c r="BA638" s="14">
        <f t="shared" si="1"/>
        <v>16.513</v>
      </c>
    </row>
    <row r="639" ht="14.25" customHeight="1">
      <c r="A639" s="10" t="str">
        <f>IFERROR(__xludf.DUMMYFUNCTION("""COMPUTED_VALUE"""),"060422FE02")</f>
        <v>060422FE02</v>
      </c>
      <c r="B639" s="12" t="str">
        <f>IFERROR(__xludf.DUMMYFUNCTION("""COMPUTED_VALUE"""),"CRN-La Castellana")</f>
        <v>CRN-La Castellana</v>
      </c>
      <c r="C639" s="12"/>
      <c r="D639" s="12"/>
      <c r="E639" s="44">
        <f>IFERROR(__xludf.DUMMYFUNCTION("""COMPUTED_VALUE"""),44657.0)</f>
        <v>44657</v>
      </c>
      <c r="F639" s="12" t="str">
        <f>IFERROR(__xludf.DUMMYFUNCTION("""COMPUTED_VALUE"""),"TIPO I")</f>
        <v>TIPO I</v>
      </c>
      <c r="G639" s="12" t="str">
        <f>IFERROR(__xludf.DUMMYFUNCTION("""COMPUTED_VALUE"""),"Se presenta un canal en concreto, el punto de monitoreo se ubica dentro del perímetro urbano. Se percibe olor y se observa color, además de material flotante y materia orgánica. ")</f>
        <v>Se presenta un canal en concreto, el punto de monitoreo se ubica dentro del perímetro urbano. Se percibe olor y se observa color, además de material flotante y materia orgánica. </v>
      </c>
      <c r="H639" s="45">
        <f>IFERROR(__xludf.DUMMYFUNCTION("""COMPUTED_VALUE"""),0.4166666666678793)</f>
        <v>0.4166666667</v>
      </c>
      <c r="I639" s="45">
        <f>IFERROR(__xludf.DUMMYFUNCTION("""COMPUTED_VALUE"""),0.5)</f>
        <v>0.5</v>
      </c>
      <c r="J639" s="12">
        <f>IFERROR(__xludf.DUMMYFUNCTION("""COMPUTED_VALUE"""),5.7)</f>
        <v>5.7</v>
      </c>
      <c r="K639" s="12">
        <f>IFERROR(__xludf.DUMMYFUNCTION("""COMPUTED_VALUE"""),0.2)</f>
        <v>0.2</v>
      </c>
      <c r="L639" s="14">
        <f>IFERROR(__xludf.DUMMYFUNCTION("""COMPUTED_VALUE"""),314.125)</f>
        <v>314.125</v>
      </c>
      <c r="M639" s="14">
        <f>IFERROR(__xludf.DUMMYFUNCTION("""COMPUTED_VALUE"""),311.555)</f>
        <v>311.555</v>
      </c>
      <c r="N639" s="14">
        <f>IFERROR(__xludf.DUMMYFUNCTION("""COMPUTED_VALUE"""),316.573)</f>
        <v>316.573</v>
      </c>
      <c r="O639" s="14">
        <f>IFERROR(__xludf.DUMMYFUNCTION("""COMPUTED_VALUE"""),315.078)</f>
        <v>315.078</v>
      </c>
      <c r="P639" s="14">
        <f>IFERROR(__xludf.DUMMYFUNCTION("""COMPUTED_VALUE"""),306.013)</f>
        <v>306.013</v>
      </c>
      <c r="Q639" s="14">
        <f>IFERROR(__xludf.DUMMYFUNCTION("""COMPUTED_VALUE"""),312.669)</f>
        <v>312.669</v>
      </c>
      <c r="R639" s="48">
        <f>IFERROR(__xludf.DUMMYFUNCTION("""COMPUTED_VALUE"""),7.68)</f>
        <v>7.68</v>
      </c>
      <c r="S639" s="48">
        <f>IFERROR(__xludf.DUMMYFUNCTION("""COMPUTED_VALUE"""),7.46)</f>
        <v>7.46</v>
      </c>
      <c r="T639" s="48">
        <f>IFERROR(__xludf.DUMMYFUNCTION("""COMPUTED_VALUE"""),7.41)</f>
        <v>7.41</v>
      </c>
      <c r="U639" s="48">
        <f>IFERROR(__xludf.DUMMYFUNCTION("""COMPUTED_VALUE"""),7.41)</f>
        <v>7.41</v>
      </c>
      <c r="V639" s="48">
        <f>IFERROR(__xludf.DUMMYFUNCTION("""COMPUTED_VALUE"""),7.44)</f>
        <v>7.44</v>
      </c>
      <c r="W639" s="14">
        <f>IFERROR(__xludf.DUMMYFUNCTION("""COMPUTED_VALUE"""),7.4799999999999995)</f>
        <v>7.48</v>
      </c>
      <c r="X639" s="14">
        <f>IFERROR(__xludf.DUMMYFUNCTION("""COMPUTED_VALUE"""),19.3)</f>
        <v>19.3</v>
      </c>
      <c r="Y639" s="14">
        <f>IFERROR(__xludf.DUMMYFUNCTION("""COMPUTED_VALUE"""),20.9)</f>
        <v>20.9</v>
      </c>
      <c r="Z639" s="14">
        <f>IFERROR(__xludf.DUMMYFUNCTION("""COMPUTED_VALUE"""),19.9)</f>
        <v>19.9</v>
      </c>
      <c r="AA639" s="14">
        <f>IFERROR(__xludf.DUMMYFUNCTION("""COMPUTED_VALUE"""),20.7)</f>
        <v>20.7</v>
      </c>
      <c r="AB639" s="14">
        <f>IFERROR(__xludf.DUMMYFUNCTION("""COMPUTED_VALUE"""),20.1)</f>
        <v>20.1</v>
      </c>
      <c r="AC639" s="14">
        <f>IFERROR(__xludf.DUMMYFUNCTION("""COMPUTED_VALUE"""),20.18)</f>
        <v>20.18</v>
      </c>
      <c r="AD639" s="48">
        <f>IFERROR(__xludf.DUMMYFUNCTION("""COMPUTED_VALUE"""),484.0)</f>
        <v>484</v>
      </c>
      <c r="AE639" s="48">
        <f>IFERROR(__xludf.DUMMYFUNCTION("""COMPUTED_VALUE"""),502.0)</f>
        <v>502</v>
      </c>
      <c r="AF639" s="48">
        <f>IFERROR(__xludf.DUMMYFUNCTION("""COMPUTED_VALUE"""),483.0)</f>
        <v>483</v>
      </c>
      <c r="AG639" s="48">
        <f>IFERROR(__xludf.DUMMYFUNCTION("""COMPUTED_VALUE"""),519.0)</f>
        <v>519</v>
      </c>
      <c r="AH639" s="48">
        <f>IFERROR(__xludf.DUMMYFUNCTION("""COMPUTED_VALUE"""),505.0)</f>
        <v>505</v>
      </c>
      <c r="AI639" s="14">
        <f>IFERROR(__xludf.DUMMYFUNCTION("""COMPUTED_VALUE"""),498.6)</f>
        <v>498.6</v>
      </c>
      <c r="AJ639" s="14">
        <f>IFERROR(__xludf.DUMMYFUNCTION("""COMPUTED_VALUE"""),1.39)</f>
        <v>1.39</v>
      </c>
      <c r="AK639" s="14">
        <f>IFERROR(__xludf.DUMMYFUNCTION("""COMPUTED_VALUE"""),1.63)</f>
        <v>1.63</v>
      </c>
      <c r="AL639" s="14">
        <f>IFERROR(__xludf.DUMMYFUNCTION("""COMPUTED_VALUE"""),1.77)</f>
        <v>1.77</v>
      </c>
      <c r="AM639" s="14">
        <f>IFERROR(__xludf.DUMMYFUNCTION("""COMPUTED_VALUE"""),1.53)</f>
        <v>1.53</v>
      </c>
      <c r="AN639" s="14">
        <f>IFERROR(__xludf.DUMMYFUNCTION("""COMPUTED_VALUE"""),1.47)</f>
        <v>1.47</v>
      </c>
      <c r="AO639" s="14">
        <f>IFERROR(__xludf.DUMMYFUNCTION("""COMPUTED_VALUE"""),1.5579999999999998)</f>
        <v>1.558</v>
      </c>
      <c r="AP639" s="14">
        <f>IFERROR(__xludf.DUMMYFUNCTION("""COMPUTED_VALUE"""),221.0)</f>
        <v>221</v>
      </c>
      <c r="AQ639" s="14">
        <f>IFERROR(__xludf.DUMMYFUNCTION("""COMPUTED_VALUE"""),316.0)</f>
        <v>316</v>
      </c>
      <c r="AR639" s="14">
        <f>IFERROR(__xludf.DUMMYFUNCTION("""COMPUTED_VALUE"""),99.0)</f>
        <v>99</v>
      </c>
      <c r="AS639" s="14">
        <f>IFERROR(__xludf.DUMMYFUNCTION("""COMPUTED_VALUE"""),65.0)</f>
        <v>65</v>
      </c>
      <c r="AT639" s="14">
        <f>IFERROR(__xludf.DUMMYFUNCTION("""COMPUTED_VALUE"""),8.61)</f>
        <v>8.61</v>
      </c>
      <c r="AU639" s="14">
        <f>IFERROR(__xludf.DUMMYFUNCTION("""COMPUTED_VALUE"""),1.576E7)</f>
        <v>15760000</v>
      </c>
      <c r="AV639" s="14">
        <f>IFERROR(__xludf.DUMMYFUNCTION("""COMPUTED_VALUE"""),3.81)</f>
        <v>3.81</v>
      </c>
      <c r="AW639" s="14">
        <f>IFERROR(__xludf.DUMMYFUNCTION("""COMPUTED_VALUE"""),37.2)</f>
        <v>37.2</v>
      </c>
      <c r="AX639" s="14">
        <f>IFERROR(__xludf.DUMMYFUNCTION("""COMPUTED_VALUE"""),1414000.0)</f>
        <v>1414000</v>
      </c>
      <c r="AY639" s="14">
        <f>IFERROR(__xludf.DUMMYFUNCTION("""COMPUTED_VALUE"""),0.4)</f>
        <v>0.4</v>
      </c>
      <c r="AZ639" s="14">
        <f>IFERROR(__xludf.DUMMYFUNCTION("""COMPUTED_VALUE"""),0.007)</f>
        <v>0.007</v>
      </c>
      <c r="BA639" s="14">
        <f t="shared" si="1"/>
        <v>37.607</v>
      </c>
    </row>
    <row r="640" ht="14.25" customHeight="1">
      <c r="A640" s="10" t="str">
        <f>IFERROR(__xludf.DUMMYFUNCTION("""COMPUTED_VALUE"""),"060422FE01")</f>
        <v>060422FE01</v>
      </c>
      <c r="B640" s="12" t="str">
        <f>IFERROR(__xludf.DUMMYFUNCTION("""COMPUTED_VALUE"""),"CRN-Entre Ríos")</f>
        <v>CRN-Entre Ríos</v>
      </c>
      <c r="C640" s="12"/>
      <c r="D640" s="12"/>
      <c r="E640" s="44">
        <f>IFERROR(__xludf.DUMMYFUNCTION("""COMPUTED_VALUE"""),44657.0)</f>
        <v>44657</v>
      </c>
      <c r="F640" s="12" t="str">
        <f>IFERROR(__xludf.DUMMYFUNCTION("""COMPUTED_VALUE"""),"TIPO I")</f>
        <v>TIPO I</v>
      </c>
      <c r="G640" s="12" t="str">
        <f>IFERROR(__xludf.DUMMYFUNCTION("""COMPUTED_VALUE"""),"Canal en concreto, dentro del perímetro urbano, durante la toma de la alícuota 3 se evidencio material flotante y materia orgánica. 
Altitud: 2565 msnm ")</f>
        <v>Canal en concreto, dentro del perímetro urbano, durante la toma de la alícuota 3 se evidencio material flotante y materia orgánica. 
Altitud: 2565 msnm </v>
      </c>
      <c r="H640" s="45">
        <f>IFERROR(__xludf.DUMMYFUNCTION("""COMPUTED_VALUE"""),0.25)</f>
        <v>0.25</v>
      </c>
      <c r="I640" s="45">
        <f>IFERROR(__xludf.DUMMYFUNCTION("""COMPUTED_VALUE"""),0.3333333333321207)</f>
        <v>0.3333333333</v>
      </c>
      <c r="J640" s="12">
        <f>IFERROR(__xludf.DUMMYFUNCTION("""COMPUTED_VALUE"""),7.8)</f>
        <v>7.8</v>
      </c>
      <c r="K640" s="12">
        <f>IFERROR(__xludf.DUMMYFUNCTION("""COMPUTED_VALUE"""),0.23)</f>
        <v>0.23</v>
      </c>
      <c r="L640" s="14">
        <f>IFERROR(__xludf.DUMMYFUNCTION("""COMPUTED_VALUE"""),245.853)</f>
        <v>245.853</v>
      </c>
      <c r="M640" s="14">
        <f>IFERROR(__xludf.DUMMYFUNCTION("""COMPUTED_VALUE"""),250.032)</f>
        <v>250.032</v>
      </c>
      <c r="N640" s="14">
        <f>IFERROR(__xludf.DUMMYFUNCTION("""COMPUTED_VALUE"""),290.169)</f>
        <v>290.169</v>
      </c>
      <c r="O640" s="14">
        <f>IFERROR(__xludf.DUMMYFUNCTION("""COMPUTED_VALUE"""),296.751)</f>
        <v>296.751</v>
      </c>
      <c r="P640" s="14">
        <f>IFERROR(__xludf.DUMMYFUNCTION("""COMPUTED_VALUE"""),373.545)</f>
        <v>373.545</v>
      </c>
      <c r="Q640" s="14">
        <f>IFERROR(__xludf.DUMMYFUNCTION("""COMPUTED_VALUE"""),291.27)</f>
        <v>291.27</v>
      </c>
      <c r="R640" s="48">
        <f>IFERROR(__xludf.DUMMYFUNCTION("""COMPUTED_VALUE"""),6.91)</f>
        <v>6.91</v>
      </c>
      <c r="S640" s="48">
        <f>IFERROR(__xludf.DUMMYFUNCTION("""COMPUTED_VALUE"""),6.95)</f>
        <v>6.95</v>
      </c>
      <c r="T640" s="48">
        <f>IFERROR(__xludf.DUMMYFUNCTION("""COMPUTED_VALUE"""),7.06)</f>
        <v>7.06</v>
      </c>
      <c r="U640" s="48">
        <f>IFERROR(__xludf.DUMMYFUNCTION("""COMPUTED_VALUE"""),7.21)</f>
        <v>7.21</v>
      </c>
      <c r="V640" s="48">
        <f>IFERROR(__xludf.DUMMYFUNCTION("""COMPUTED_VALUE"""),7.42)</f>
        <v>7.42</v>
      </c>
      <c r="W640" s="14">
        <f>IFERROR(__xludf.DUMMYFUNCTION("""COMPUTED_VALUE"""),7.109999999999999)</f>
        <v>7.11</v>
      </c>
      <c r="X640" s="14">
        <f>IFERROR(__xludf.DUMMYFUNCTION("""COMPUTED_VALUE"""),16.3)</f>
        <v>16.3</v>
      </c>
      <c r="Y640" s="14">
        <f>IFERROR(__xludf.DUMMYFUNCTION("""COMPUTED_VALUE"""),16.0)</f>
        <v>16</v>
      </c>
      <c r="Z640" s="14">
        <f>IFERROR(__xludf.DUMMYFUNCTION("""COMPUTED_VALUE"""),16.1)</f>
        <v>16.1</v>
      </c>
      <c r="AA640" s="14">
        <f>IFERROR(__xludf.DUMMYFUNCTION("""COMPUTED_VALUE"""),16.5)</f>
        <v>16.5</v>
      </c>
      <c r="AB640" s="14">
        <f>IFERROR(__xludf.DUMMYFUNCTION("""COMPUTED_VALUE"""),16.9)</f>
        <v>16.9</v>
      </c>
      <c r="AC640" s="14">
        <f>IFERROR(__xludf.DUMMYFUNCTION("""COMPUTED_VALUE"""),16.360000000000003)</f>
        <v>16.36</v>
      </c>
      <c r="AD640" s="48">
        <f>IFERROR(__xludf.DUMMYFUNCTION("""COMPUTED_VALUE"""),193.9)</f>
        <v>193.9</v>
      </c>
      <c r="AE640" s="48">
        <f>IFERROR(__xludf.DUMMYFUNCTION("""COMPUTED_VALUE"""),198.0)</f>
        <v>198</v>
      </c>
      <c r="AF640" s="48">
        <f>IFERROR(__xludf.DUMMYFUNCTION("""COMPUTED_VALUE"""),222.0)</f>
        <v>222</v>
      </c>
      <c r="AG640" s="48">
        <f>IFERROR(__xludf.DUMMYFUNCTION("""COMPUTED_VALUE"""),260.0)</f>
        <v>260</v>
      </c>
      <c r="AH640" s="48">
        <f>IFERROR(__xludf.DUMMYFUNCTION("""COMPUTED_VALUE"""),351.0)</f>
        <v>351</v>
      </c>
      <c r="AI640" s="14">
        <f>IFERROR(__xludf.DUMMYFUNCTION("""COMPUTED_VALUE"""),244.98000000000002)</f>
        <v>244.98</v>
      </c>
      <c r="AJ640" s="14">
        <f>IFERROR(__xludf.DUMMYFUNCTION("""COMPUTED_VALUE"""),2.08)</f>
        <v>2.08</v>
      </c>
      <c r="AK640" s="14">
        <f>IFERROR(__xludf.DUMMYFUNCTION("""COMPUTED_VALUE"""),2.35)</f>
        <v>2.35</v>
      </c>
      <c r="AL640" s="14">
        <f>IFERROR(__xludf.DUMMYFUNCTION("""COMPUTED_VALUE"""),2.12)</f>
        <v>2.12</v>
      </c>
      <c r="AM640" s="14">
        <f>IFERROR(__xludf.DUMMYFUNCTION("""COMPUTED_VALUE"""),2.06)</f>
        <v>2.06</v>
      </c>
      <c r="AN640" s="14">
        <f>IFERROR(__xludf.DUMMYFUNCTION("""COMPUTED_VALUE"""),1.73)</f>
        <v>1.73</v>
      </c>
      <c r="AO640" s="14">
        <f>IFERROR(__xludf.DUMMYFUNCTION("""COMPUTED_VALUE"""),2.068)</f>
        <v>2.068</v>
      </c>
      <c r="AP640" s="14">
        <f>IFERROR(__xludf.DUMMYFUNCTION("""COMPUTED_VALUE"""),30.0)</f>
        <v>30</v>
      </c>
      <c r="AQ640" s="14">
        <f>IFERROR(__xludf.DUMMYFUNCTION("""COMPUTED_VALUE"""),52.0)</f>
        <v>52</v>
      </c>
      <c r="AR640" s="14">
        <f>IFERROR(__xludf.DUMMYFUNCTION("""COMPUTED_VALUE"""),17.0)</f>
        <v>17</v>
      </c>
      <c r="AS640" s="14">
        <f>IFERROR(__xludf.DUMMYFUNCTION("""COMPUTED_VALUE"""),1.2)</f>
        <v>1.2</v>
      </c>
      <c r="AT640" s="14">
        <f>IFERROR(__xludf.DUMMYFUNCTION("""COMPUTED_VALUE"""),0.07)</f>
        <v>0.07</v>
      </c>
      <c r="AU640" s="14">
        <f>IFERROR(__xludf.DUMMYFUNCTION("""COMPUTED_VALUE"""),8470000.0)</f>
        <v>8470000</v>
      </c>
      <c r="AV640" s="14">
        <f>IFERROR(__xludf.DUMMYFUNCTION("""COMPUTED_VALUE"""),1.14)</f>
        <v>1.14</v>
      </c>
      <c r="AW640" s="14">
        <f>IFERROR(__xludf.DUMMYFUNCTION("""COMPUTED_VALUE"""),12.0)</f>
        <v>12</v>
      </c>
      <c r="AX640" s="14">
        <f>IFERROR(__xludf.DUMMYFUNCTION("""COMPUTED_VALUE"""),595000.0)</f>
        <v>595000</v>
      </c>
      <c r="AY640" s="14">
        <f>IFERROR(__xludf.DUMMYFUNCTION("""COMPUTED_VALUE"""),0.3)</f>
        <v>0.3</v>
      </c>
      <c r="AZ640" s="14">
        <f>IFERROR(__xludf.DUMMYFUNCTION("""COMPUTED_VALUE"""),0.023)</f>
        <v>0.023</v>
      </c>
      <c r="BA640" s="14">
        <f t="shared" si="1"/>
        <v>12.323</v>
      </c>
    </row>
    <row r="641" ht="14.25" customHeight="1">
      <c r="A641" s="10" t="str">
        <f>IFERROR(__xludf.DUMMYFUNCTION("""COMPUTED_VALUE"""),"060422DI01")</f>
        <v>060422DI01</v>
      </c>
      <c r="B641" s="12" t="str">
        <f>IFERROR(__xludf.DUMMYFUNCTION("""COMPUTED_VALUE"""),"CRN-El Virrey")</f>
        <v>CRN-El Virrey</v>
      </c>
      <c r="C641" s="12"/>
      <c r="D641" s="12"/>
      <c r="E641" s="44">
        <f>IFERROR(__xludf.DUMMYFUNCTION("""COMPUTED_VALUE"""),44657.0)</f>
        <v>44657</v>
      </c>
      <c r="F641" s="12" t="str">
        <f>IFERROR(__xludf.DUMMYFUNCTION("""COMPUTED_VALUE"""),"TIPO I")</f>
        <v>TIPO I</v>
      </c>
      <c r="G641" s="12" t="str">
        <f>IFERROR(__xludf.DUMMYFUNCTION("""COMPUTED_VALUE"""),"Lecho en mampostería, durante el monitoreo se presenta color y olor, durante la toma de la tercera alícuota se presenta aumento del caudal y material flotante.")</f>
        <v>Lecho en mampostería, durante el monitoreo se presenta color y olor, durante la toma de la tercera alícuota se presenta aumento del caudal y material flotante.</v>
      </c>
      <c r="H641" s="45">
        <f>IFERROR(__xludf.DUMMYFUNCTION("""COMPUTED_VALUE"""),0.25)</f>
        <v>0.25</v>
      </c>
      <c r="I641" s="45">
        <f>IFERROR(__xludf.DUMMYFUNCTION("""COMPUTED_VALUE"""),0.3333333333321207)</f>
        <v>0.3333333333</v>
      </c>
      <c r="J641" s="12">
        <f>IFERROR(__xludf.DUMMYFUNCTION("""COMPUTED_VALUE"""),2.4)</f>
        <v>2.4</v>
      </c>
      <c r="K641" s="12">
        <f>IFERROR(__xludf.DUMMYFUNCTION("""COMPUTED_VALUE"""),0.17)</f>
        <v>0.17</v>
      </c>
      <c r="L641" s="14">
        <f>IFERROR(__xludf.DUMMYFUNCTION("""COMPUTED_VALUE"""),134.575)</f>
        <v>134.575</v>
      </c>
      <c r="M641" s="14">
        <f>IFERROR(__xludf.DUMMYFUNCTION("""COMPUTED_VALUE"""),133.572)</f>
        <v>133.572</v>
      </c>
      <c r="N641" s="14">
        <f>IFERROR(__xludf.DUMMYFUNCTION("""COMPUTED_VALUE"""),165.066)</f>
        <v>165.066</v>
      </c>
      <c r="O641" s="14">
        <f>IFERROR(__xludf.DUMMYFUNCTION("""COMPUTED_VALUE"""),168.177)</f>
        <v>168.177</v>
      </c>
      <c r="P641" s="14">
        <f>IFERROR(__xludf.DUMMYFUNCTION("""COMPUTED_VALUE"""),172.731)</f>
        <v>172.731</v>
      </c>
      <c r="Q641" s="14">
        <f>IFERROR(__xludf.DUMMYFUNCTION("""COMPUTED_VALUE"""),154.824)</f>
        <v>154.824</v>
      </c>
      <c r="R641" s="48">
        <f>IFERROR(__xludf.DUMMYFUNCTION("""COMPUTED_VALUE"""),6.9)</f>
        <v>6.9</v>
      </c>
      <c r="S641" s="48">
        <f>IFERROR(__xludf.DUMMYFUNCTION("""COMPUTED_VALUE"""),6.22)</f>
        <v>6.22</v>
      </c>
      <c r="T641" s="48">
        <f>IFERROR(__xludf.DUMMYFUNCTION("""COMPUTED_VALUE"""),6.46)</f>
        <v>6.46</v>
      </c>
      <c r="U641" s="48">
        <f>IFERROR(__xludf.DUMMYFUNCTION("""COMPUTED_VALUE"""),6.72)</f>
        <v>6.72</v>
      </c>
      <c r="V641" s="48">
        <f>IFERROR(__xludf.DUMMYFUNCTION("""COMPUTED_VALUE"""),6.95)</f>
        <v>6.95</v>
      </c>
      <c r="W641" s="14">
        <f>IFERROR(__xludf.DUMMYFUNCTION("""COMPUTED_VALUE"""),6.65)</f>
        <v>6.65</v>
      </c>
      <c r="X641" s="14">
        <f>IFERROR(__xludf.DUMMYFUNCTION("""COMPUTED_VALUE"""),15.8)</f>
        <v>15.8</v>
      </c>
      <c r="Y641" s="14">
        <f>IFERROR(__xludf.DUMMYFUNCTION("""COMPUTED_VALUE"""),15.7)</f>
        <v>15.7</v>
      </c>
      <c r="Z641" s="14">
        <f>IFERROR(__xludf.DUMMYFUNCTION("""COMPUTED_VALUE"""),16.7)</f>
        <v>16.7</v>
      </c>
      <c r="AA641" s="14">
        <f>IFERROR(__xludf.DUMMYFUNCTION("""COMPUTED_VALUE"""),17.1)</f>
        <v>17.1</v>
      </c>
      <c r="AB641" s="14">
        <f>IFERROR(__xludf.DUMMYFUNCTION("""COMPUTED_VALUE"""),17.5)</f>
        <v>17.5</v>
      </c>
      <c r="AC641" s="14">
        <f>IFERROR(__xludf.DUMMYFUNCTION("""COMPUTED_VALUE"""),16.560000000000002)</f>
        <v>16.56</v>
      </c>
      <c r="AD641" s="48">
        <f>IFERROR(__xludf.DUMMYFUNCTION("""COMPUTED_VALUE"""),176.6)</f>
        <v>176.6</v>
      </c>
      <c r="AE641" s="48">
        <f>IFERROR(__xludf.DUMMYFUNCTION("""COMPUTED_VALUE"""),212.0)</f>
        <v>212</v>
      </c>
      <c r="AF641" s="48">
        <f>IFERROR(__xludf.DUMMYFUNCTION("""COMPUTED_VALUE"""),344.0)</f>
        <v>344</v>
      </c>
      <c r="AG641" s="48">
        <f>IFERROR(__xludf.DUMMYFUNCTION("""COMPUTED_VALUE"""),425.0)</f>
        <v>425</v>
      </c>
      <c r="AH641" s="48">
        <f>IFERROR(__xludf.DUMMYFUNCTION("""COMPUTED_VALUE"""),429.0)</f>
        <v>429</v>
      </c>
      <c r="AI641" s="14">
        <f>IFERROR(__xludf.DUMMYFUNCTION("""COMPUTED_VALUE"""),317.32)</f>
        <v>317.32</v>
      </c>
      <c r="AJ641" s="14">
        <f>IFERROR(__xludf.DUMMYFUNCTION("""COMPUTED_VALUE"""),3.33)</f>
        <v>3.33</v>
      </c>
      <c r="AK641" s="14">
        <f>IFERROR(__xludf.DUMMYFUNCTION("""COMPUTED_VALUE"""),2.04)</f>
        <v>2.04</v>
      </c>
      <c r="AL641" s="14">
        <f>IFERROR(__xludf.DUMMYFUNCTION("""COMPUTED_VALUE"""),2.22)</f>
        <v>2.22</v>
      </c>
      <c r="AM641" s="14">
        <f>IFERROR(__xludf.DUMMYFUNCTION("""COMPUTED_VALUE"""),2.26)</f>
        <v>2.26</v>
      </c>
      <c r="AN641" s="14">
        <f>IFERROR(__xludf.DUMMYFUNCTION("""COMPUTED_VALUE"""),1.97)</f>
        <v>1.97</v>
      </c>
      <c r="AO641" s="14">
        <f>IFERROR(__xludf.DUMMYFUNCTION("""COMPUTED_VALUE"""),2.364)</f>
        <v>2.364</v>
      </c>
      <c r="AP641" s="14">
        <f>IFERROR(__xludf.DUMMYFUNCTION("""COMPUTED_VALUE"""),94.0)</f>
        <v>94</v>
      </c>
      <c r="AQ641" s="14">
        <f>IFERROR(__xludf.DUMMYFUNCTION("""COMPUTED_VALUE"""),144.0)</f>
        <v>144</v>
      </c>
      <c r="AR641" s="14">
        <f>IFERROR(__xludf.DUMMYFUNCTION("""COMPUTED_VALUE"""),36.0)</f>
        <v>36</v>
      </c>
      <c r="AS641" s="14">
        <f>IFERROR(__xludf.DUMMYFUNCTION("""COMPUTED_VALUE"""),28.0)</f>
        <v>28</v>
      </c>
      <c r="AT641" s="14">
        <f>IFERROR(__xludf.DUMMYFUNCTION("""COMPUTED_VALUE"""),1.39)</f>
        <v>1.39</v>
      </c>
      <c r="AU641" s="14">
        <f>IFERROR(__xludf.DUMMYFUNCTION("""COMPUTED_VALUE"""),1.529E7)</f>
        <v>15290000</v>
      </c>
      <c r="AV641" s="14">
        <f>IFERROR(__xludf.DUMMYFUNCTION("""COMPUTED_VALUE"""),2.84)</f>
        <v>2.84</v>
      </c>
      <c r="AW641" s="14">
        <f>IFERROR(__xludf.DUMMYFUNCTION("""COMPUTED_VALUE"""),21.0)</f>
        <v>21</v>
      </c>
      <c r="AX641" s="14">
        <f>IFERROR(__xludf.DUMMYFUNCTION("""COMPUTED_VALUE"""),1039000.0)</f>
        <v>1039000</v>
      </c>
      <c r="AY641" s="14">
        <f>IFERROR(__xludf.DUMMYFUNCTION("""COMPUTED_VALUE"""),0.5)</f>
        <v>0.5</v>
      </c>
      <c r="AZ641" s="14">
        <f>IFERROR(__xludf.DUMMYFUNCTION("""COMPUTED_VALUE"""),0.007)</f>
        <v>0.007</v>
      </c>
      <c r="BA641" s="14">
        <f t="shared" si="1"/>
        <v>21.507</v>
      </c>
    </row>
    <row r="642" ht="14.25" customHeight="1">
      <c r="A642" s="10" t="str">
        <f>IFERROR(__xludf.DUMMYFUNCTION("""COMPUTED_VALUE"""),"060422DI02")</f>
        <v>060422DI02</v>
      </c>
      <c r="B642" s="12" t="str">
        <f>IFERROR(__xludf.DUMMYFUNCTION("""COMPUTED_VALUE"""),"CRN-Quebrada Chicó")</f>
        <v>CRN-Quebrada Chicó</v>
      </c>
      <c r="C642" s="12"/>
      <c r="D642" s="12"/>
      <c r="E642" s="44">
        <f>IFERROR(__xludf.DUMMYFUNCTION("""COMPUTED_VALUE"""),44657.0)</f>
        <v>44657</v>
      </c>
      <c r="F642" s="12" t="str">
        <f>IFERROR(__xludf.DUMMYFUNCTION("""COMPUTED_VALUE"""),"TIPO I")</f>
        <v>TIPO I</v>
      </c>
      <c r="G642" s="12" t="str">
        <f>IFERROR(__xludf.DUMMYFUNCTION("""COMPUTED_VALUE"""),"Durante el monitoreo se evidencio color y olor, presencia de espuma, tubería en concreto.")</f>
        <v>Durante el monitoreo se evidencio color y olor, presencia de espuma, tubería en concreto.</v>
      </c>
      <c r="H642" s="45">
        <f>IFERROR(__xludf.DUMMYFUNCTION("""COMPUTED_VALUE"""),0.4166666666678793)</f>
        <v>0.4166666667</v>
      </c>
      <c r="I642" s="45">
        <f>IFERROR(__xludf.DUMMYFUNCTION("""COMPUTED_VALUE"""),0.5)</f>
        <v>0.5</v>
      </c>
      <c r="J642" s="12">
        <f>IFERROR(__xludf.DUMMYFUNCTION("""COMPUTED_VALUE"""),0.25)</f>
        <v>0.25</v>
      </c>
      <c r="K642" s="12"/>
      <c r="L642" s="14">
        <f>IFERROR(__xludf.DUMMYFUNCTION("""COMPUTED_VALUE"""),1.33)</f>
        <v>1.33</v>
      </c>
      <c r="M642" s="14">
        <f>IFERROR(__xludf.DUMMYFUNCTION("""COMPUTED_VALUE"""),2.303)</f>
        <v>2.303</v>
      </c>
      <c r="N642" s="14">
        <f>IFERROR(__xludf.DUMMYFUNCTION("""COMPUTED_VALUE"""),2.391)</f>
        <v>2.391</v>
      </c>
      <c r="O642" s="14">
        <f>IFERROR(__xludf.DUMMYFUNCTION("""COMPUTED_VALUE"""),2.961)</f>
        <v>2.961</v>
      </c>
      <c r="P642" s="14">
        <f>IFERROR(__xludf.DUMMYFUNCTION("""COMPUTED_VALUE"""),3.444)</f>
        <v>3.444</v>
      </c>
      <c r="Q642" s="14">
        <f>IFERROR(__xludf.DUMMYFUNCTION("""COMPUTED_VALUE"""),2.486)</f>
        <v>2.486</v>
      </c>
      <c r="R642" s="48">
        <f>IFERROR(__xludf.DUMMYFUNCTION("""COMPUTED_VALUE"""),7.1)</f>
        <v>7.1</v>
      </c>
      <c r="S642" s="48">
        <f>IFERROR(__xludf.DUMMYFUNCTION("""COMPUTED_VALUE"""),7.05)</f>
        <v>7.05</v>
      </c>
      <c r="T642" s="48">
        <f>IFERROR(__xludf.DUMMYFUNCTION("""COMPUTED_VALUE"""),6.46)</f>
        <v>6.46</v>
      </c>
      <c r="U642" s="48">
        <f>IFERROR(__xludf.DUMMYFUNCTION("""COMPUTED_VALUE"""),7.03)</f>
        <v>7.03</v>
      </c>
      <c r="V642" s="48">
        <f>IFERROR(__xludf.DUMMYFUNCTION("""COMPUTED_VALUE"""),7.13)</f>
        <v>7.13</v>
      </c>
      <c r="W642" s="14">
        <f>IFERROR(__xludf.DUMMYFUNCTION("""COMPUTED_VALUE"""),6.954000000000001)</f>
        <v>6.954</v>
      </c>
      <c r="X642" s="14">
        <f>IFERROR(__xludf.DUMMYFUNCTION("""COMPUTED_VALUE"""),15.8)</f>
        <v>15.8</v>
      </c>
      <c r="Y642" s="14">
        <f>IFERROR(__xludf.DUMMYFUNCTION("""COMPUTED_VALUE"""),15.6)</f>
        <v>15.6</v>
      </c>
      <c r="Z642" s="14">
        <f>IFERROR(__xludf.DUMMYFUNCTION("""COMPUTED_VALUE"""),15.9)</f>
        <v>15.9</v>
      </c>
      <c r="AA642" s="14">
        <f>IFERROR(__xludf.DUMMYFUNCTION("""COMPUTED_VALUE"""),15.6)</f>
        <v>15.6</v>
      </c>
      <c r="AB642" s="14">
        <f>IFERROR(__xludf.DUMMYFUNCTION("""COMPUTED_VALUE"""),16.3)</f>
        <v>16.3</v>
      </c>
      <c r="AC642" s="14">
        <f>IFERROR(__xludf.DUMMYFUNCTION("""COMPUTED_VALUE"""),15.84)</f>
        <v>15.84</v>
      </c>
      <c r="AD642" s="48">
        <f>IFERROR(__xludf.DUMMYFUNCTION("""COMPUTED_VALUE"""),274.0)</f>
        <v>274</v>
      </c>
      <c r="AE642" s="48">
        <f>IFERROR(__xludf.DUMMYFUNCTION("""COMPUTED_VALUE"""),239.0)</f>
        <v>239</v>
      </c>
      <c r="AF642" s="48">
        <f>IFERROR(__xludf.DUMMYFUNCTION("""COMPUTED_VALUE"""),238.0)</f>
        <v>238</v>
      </c>
      <c r="AG642" s="48">
        <f>IFERROR(__xludf.DUMMYFUNCTION("""COMPUTED_VALUE"""),431.0)</f>
        <v>431</v>
      </c>
      <c r="AH642" s="48">
        <f>IFERROR(__xludf.DUMMYFUNCTION("""COMPUTED_VALUE"""),375.0)</f>
        <v>375</v>
      </c>
      <c r="AI642" s="14">
        <f>IFERROR(__xludf.DUMMYFUNCTION("""COMPUTED_VALUE"""),311.4)</f>
        <v>311.4</v>
      </c>
      <c r="AJ642" s="14">
        <f>IFERROR(__xludf.DUMMYFUNCTION("""COMPUTED_VALUE"""),2.86)</f>
        <v>2.86</v>
      </c>
      <c r="AK642" s="14">
        <f>IFERROR(__xludf.DUMMYFUNCTION("""COMPUTED_VALUE"""),3.02)</f>
        <v>3.02</v>
      </c>
      <c r="AL642" s="14">
        <f>IFERROR(__xludf.DUMMYFUNCTION("""COMPUTED_VALUE"""),2.76)</f>
        <v>2.76</v>
      </c>
      <c r="AM642" s="14">
        <f>IFERROR(__xludf.DUMMYFUNCTION("""COMPUTED_VALUE"""),2.97)</f>
        <v>2.97</v>
      </c>
      <c r="AN642" s="14">
        <f>IFERROR(__xludf.DUMMYFUNCTION("""COMPUTED_VALUE"""),3.06)</f>
        <v>3.06</v>
      </c>
      <c r="AO642" s="14">
        <f>IFERROR(__xludf.DUMMYFUNCTION("""COMPUTED_VALUE"""),2.934)</f>
        <v>2.934</v>
      </c>
      <c r="AP642" s="14">
        <f>IFERROR(__xludf.DUMMYFUNCTION("""COMPUTED_VALUE"""),74.0)</f>
        <v>74</v>
      </c>
      <c r="AQ642" s="14">
        <f>IFERROR(__xludf.DUMMYFUNCTION("""COMPUTED_VALUE"""),124.0)</f>
        <v>124</v>
      </c>
      <c r="AR642" s="14">
        <f>IFERROR(__xludf.DUMMYFUNCTION("""COMPUTED_VALUE"""),31.0)</f>
        <v>31</v>
      </c>
      <c r="AS642" s="14">
        <f>IFERROR(__xludf.DUMMYFUNCTION("""COMPUTED_VALUE"""),18.0)</f>
        <v>18</v>
      </c>
      <c r="AT642" s="14">
        <f>IFERROR(__xludf.DUMMYFUNCTION("""COMPUTED_VALUE"""),5.32)</f>
        <v>5.32</v>
      </c>
      <c r="AU642" s="14">
        <f>IFERROR(__xludf.DUMMYFUNCTION("""COMPUTED_VALUE"""),9830000.0)</f>
        <v>9830000</v>
      </c>
      <c r="AV642" s="14">
        <f>IFERROR(__xludf.DUMMYFUNCTION("""COMPUTED_VALUE"""),1.28)</f>
        <v>1.28</v>
      </c>
      <c r="AW642" s="14">
        <f>IFERROR(__xludf.DUMMYFUNCTION("""COMPUTED_VALUE"""),40.3)</f>
        <v>40.3</v>
      </c>
      <c r="AX642" s="14">
        <f>IFERROR(__xludf.DUMMYFUNCTION("""COMPUTED_VALUE"""),768000.0)</f>
        <v>768000</v>
      </c>
      <c r="AY642" s="14">
        <f>IFERROR(__xludf.DUMMYFUNCTION("""COMPUTED_VALUE"""),1.0)</f>
        <v>1</v>
      </c>
      <c r="AZ642" s="14">
        <f>IFERROR(__xludf.DUMMYFUNCTION("""COMPUTED_VALUE"""),0.007)</f>
        <v>0.007</v>
      </c>
      <c r="BA642" s="14">
        <f t="shared" si="1"/>
        <v>41.307</v>
      </c>
    </row>
    <row r="643" ht="14.25" customHeight="1">
      <c r="A643" s="10" t="str">
        <f>IFERROR(__xludf.DUMMYFUNCTION("""COMPUTED_VALUE"""),"090522CA01")</f>
        <v>090522CA01</v>
      </c>
      <c r="B643" s="12" t="str">
        <f>IFERROR(__xludf.DUMMYFUNCTION("""COMPUTED_VALUE"""),"QTR-Quiba")</f>
        <v>QTR-Quiba</v>
      </c>
      <c r="C643" s="12"/>
      <c r="D643" s="12"/>
      <c r="E643" s="44">
        <f>IFERROR(__xludf.DUMMYFUNCTION("""COMPUTED_VALUE"""),44690.0)</f>
        <v>44690</v>
      </c>
      <c r="F643" s="12" t="str">
        <f>IFERROR(__xludf.DUMMYFUNCTION("""COMPUTED_VALUE"""),"TIPO I")</f>
        <v>TIPO I</v>
      </c>
      <c r="G643" s="12" t="str">
        <f>IFERROR(__xludf.DUMMYFUNCTION("""COMPUTED_VALUE"""),"Se percibe olor y se observa color y escombro en el lecho.
Altura: 2673 msnm")</f>
        <v>Se percibe olor y se observa color y escombro en el lecho.
Altura: 2673 msnm</v>
      </c>
      <c r="H643" s="45">
        <f>IFERROR(__xludf.DUMMYFUNCTION("""COMPUTED_VALUE"""),0.25)</f>
        <v>0.25</v>
      </c>
      <c r="I643" s="45">
        <f>IFERROR(__xludf.DUMMYFUNCTION("""COMPUTED_VALUE"""),0.3333333333321207)</f>
        <v>0.3333333333</v>
      </c>
      <c r="J643" s="12">
        <f>IFERROR(__xludf.DUMMYFUNCTION("""COMPUTED_VALUE"""),1.0)</f>
        <v>1</v>
      </c>
      <c r="K643" s="12">
        <f>IFERROR(__xludf.DUMMYFUNCTION("""COMPUTED_VALUE"""),0.1)</f>
        <v>0.1</v>
      </c>
      <c r="L643" s="14">
        <f>IFERROR(__xludf.DUMMYFUNCTION("""COMPUTED_VALUE"""),31.523)</f>
        <v>31.523</v>
      </c>
      <c r="M643" s="14">
        <f>IFERROR(__xludf.DUMMYFUNCTION("""COMPUTED_VALUE"""),31.195)</f>
        <v>31.195</v>
      </c>
      <c r="N643" s="14">
        <f>IFERROR(__xludf.DUMMYFUNCTION("""COMPUTED_VALUE"""),38.116)</f>
        <v>38.116</v>
      </c>
      <c r="O643" s="14">
        <f>IFERROR(__xludf.DUMMYFUNCTION("""COMPUTED_VALUE"""),39.164)</f>
        <v>39.164</v>
      </c>
      <c r="P643" s="14">
        <f>IFERROR(__xludf.DUMMYFUNCTION("""COMPUTED_VALUE"""),39.028)</f>
        <v>39.028</v>
      </c>
      <c r="Q643" s="14">
        <f>IFERROR(__xludf.DUMMYFUNCTION("""COMPUTED_VALUE"""),35.805)</f>
        <v>35.805</v>
      </c>
      <c r="R643" s="48">
        <f>IFERROR(__xludf.DUMMYFUNCTION("""COMPUTED_VALUE"""),6.47)</f>
        <v>6.47</v>
      </c>
      <c r="S643" s="48">
        <f>IFERROR(__xludf.DUMMYFUNCTION("""COMPUTED_VALUE"""),7.08)</f>
        <v>7.08</v>
      </c>
      <c r="T643" s="48">
        <f>IFERROR(__xludf.DUMMYFUNCTION("""COMPUTED_VALUE"""),6.85)</f>
        <v>6.85</v>
      </c>
      <c r="U643" s="48">
        <f>IFERROR(__xludf.DUMMYFUNCTION("""COMPUTED_VALUE"""),7.05)</f>
        <v>7.05</v>
      </c>
      <c r="V643" s="48">
        <f>IFERROR(__xludf.DUMMYFUNCTION("""COMPUTED_VALUE"""),6.96)</f>
        <v>6.96</v>
      </c>
      <c r="W643" s="14">
        <f>IFERROR(__xludf.DUMMYFUNCTION("""COMPUTED_VALUE"""),6.882)</f>
        <v>6.882</v>
      </c>
      <c r="X643" s="14">
        <f>IFERROR(__xludf.DUMMYFUNCTION("""COMPUTED_VALUE"""),12.7)</f>
        <v>12.7</v>
      </c>
      <c r="Y643" s="14">
        <f>IFERROR(__xludf.DUMMYFUNCTION("""COMPUTED_VALUE"""),11.9)</f>
        <v>11.9</v>
      </c>
      <c r="Z643" s="14">
        <f>IFERROR(__xludf.DUMMYFUNCTION("""COMPUTED_VALUE"""),12.2)</f>
        <v>12.2</v>
      </c>
      <c r="AA643" s="14">
        <f>IFERROR(__xludf.DUMMYFUNCTION("""COMPUTED_VALUE"""),12.2)</f>
        <v>12.2</v>
      </c>
      <c r="AB643" s="14">
        <f>IFERROR(__xludf.DUMMYFUNCTION("""COMPUTED_VALUE"""),12.5)</f>
        <v>12.5</v>
      </c>
      <c r="AC643" s="14">
        <f>IFERROR(__xludf.DUMMYFUNCTION("""COMPUTED_VALUE"""),12.3)</f>
        <v>12.3</v>
      </c>
      <c r="AD643" s="48">
        <f>IFERROR(__xludf.DUMMYFUNCTION("""COMPUTED_VALUE"""),506.0)</f>
        <v>506</v>
      </c>
      <c r="AE643" s="48">
        <f>IFERROR(__xludf.DUMMYFUNCTION("""COMPUTED_VALUE"""),502.0)</f>
        <v>502</v>
      </c>
      <c r="AF643" s="48">
        <f>IFERROR(__xludf.DUMMYFUNCTION("""COMPUTED_VALUE"""),541.0)</f>
        <v>541</v>
      </c>
      <c r="AG643" s="48">
        <f>IFERROR(__xludf.DUMMYFUNCTION("""COMPUTED_VALUE"""),496.0)</f>
        <v>496</v>
      </c>
      <c r="AH643" s="48">
        <f>IFERROR(__xludf.DUMMYFUNCTION("""COMPUTED_VALUE"""),571.0)</f>
        <v>571</v>
      </c>
      <c r="AI643" s="14">
        <f>IFERROR(__xludf.DUMMYFUNCTION("""COMPUTED_VALUE"""),523.2)</f>
        <v>523.2</v>
      </c>
      <c r="AJ643" s="14">
        <f>IFERROR(__xludf.DUMMYFUNCTION("""COMPUTED_VALUE"""),5.4)</f>
        <v>5.4</v>
      </c>
      <c r="AK643" s="14">
        <f>IFERROR(__xludf.DUMMYFUNCTION("""COMPUTED_VALUE"""),4.9)</f>
        <v>4.9</v>
      </c>
      <c r="AL643" s="14">
        <f>IFERROR(__xludf.DUMMYFUNCTION("""COMPUTED_VALUE"""),5.2)</f>
        <v>5.2</v>
      </c>
      <c r="AM643" s="14">
        <f>IFERROR(__xludf.DUMMYFUNCTION("""COMPUTED_VALUE"""),5.0)</f>
        <v>5</v>
      </c>
      <c r="AN643" s="14">
        <f>IFERROR(__xludf.DUMMYFUNCTION("""COMPUTED_VALUE"""),4.8)</f>
        <v>4.8</v>
      </c>
      <c r="AO643" s="14">
        <f>IFERROR(__xludf.DUMMYFUNCTION("""COMPUTED_VALUE"""),5.0600000000000005)</f>
        <v>5.06</v>
      </c>
      <c r="AP643" s="14">
        <f>IFERROR(__xludf.DUMMYFUNCTION("""COMPUTED_VALUE"""),69.0)</f>
        <v>69</v>
      </c>
      <c r="AQ643" s="14">
        <f>IFERROR(__xludf.DUMMYFUNCTION("""COMPUTED_VALUE"""),104.0)</f>
        <v>104</v>
      </c>
      <c r="AR643" s="14">
        <f>IFERROR(__xludf.DUMMYFUNCTION("""COMPUTED_VALUE"""),103.0)</f>
        <v>103</v>
      </c>
      <c r="AS643" s="14">
        <f>IFERROR(__xludf.DUMMYFUNCTION("""COMPUTED_VALUE"""),1.2)</f>
        <v>1.2</v>
      </c>
      <c r="AT643" s="14">
        <f>IFERROR(__xludf.DUMMYFUNCTION("""COMPUTED_VALUE"""),0.07)</f>
        <v>0.07</v>
      </c>
      <c r="AU643" s="14">
        <f>IFERROR(__xludf.DUMMYFUNCTION("""COMPUTED_VALUE"""),1.722E7)</f>
        <v>17220000</v>
      </c>
      <c r="AV643" s="14">
        <f>IFERROR(__xludf.DUMMYFUNCTION("""COMPUTED_VALUE"""),2.36)</f>
        <v>2.36</v>
      </c>
      <c r="AW643" s="14">
        <f>IFERROR(__xludf.DUMMYFUNCTION("""COMPUTED_VALUE"""),20.7)</f>
        <v>20.7</v>
      </c>
      <c r="AX643" s="14">
        <f>IFERROR(__xludf.DUMMYFUNCTION("""COMPUTED_VALUE"""),137400.0)</f>
        <v>137400</v>
      </c>
      <c r="AY643" s="14">
        <f>IFERROR(__xludf.DUMMYFUNCTION("""COMPUTED_VALUE"""),0.7)</f>
        <v>0.7</v>
      </c>
      <c r="AZ643" s="14">
        <f>IFERROR(__xludf.DUMMYFUNCTION("""COMPUTED_VALUE"""),0.007)</f>
        <v>0.007</v>
      </c>
      <c r="BA643" s="14">
        <f t="shared" si="1"/>
        <v>21.407</v>
      </c>
    </row>
    <row r="644" ht="14.25" customHeight="1">
      <c r="A644" s="10" t="str">
        <f>IFERROR(__xludf.DUMMYFUNCTION("""COMPUTED_VALUE"""),"090522CA02")</f>
        <v>090522CA02</v>
      </c>
      <c r="B644" s="12" t="str">
        <f>IFERROR(__xludf.DUMMYFUNCTION("""COMPUTED_VALUE"""),"QTR-Acapulco")</f>
        <v>QTR-Acapulco</v>
      </c>
      <c r="C644" s="12"/>
      <c r="D644" s="12"/>
      <c r="E644" s="44">
        <f>IFERROR(__xludf.DUMMYFUNCTION("""COMPUTED_VALUE"""),44690.0)</f>
        <v>44690</v>
      </c>
      <c r="F644" s="12" t="str">
        <f>IFERROR(__xludf.DUMMYFUNCTION("""COMPUTED_VALUE"""),"TIPO I")</f>
        <v>TIPO I</v>
      </c>
      <c r="G644" s="12" t="str">
        <f>IFERROR(__xludf.DUMMYFUNCTION("""COMPUTED_VALUE"""),"Se observa color y se percibe olor.
Después de la segunda alícuota se evidencia el incremento de la lamina de agua
Altura: 2594 msnm")</f>
        <v>Se observa color y se percibe olor.
Después de la segunda alícuota se evidencia el incremento de la lamina de agua
Altura: 2594 msnm</v>
      </c>
      <c r="H644" s="45">
        <f>IFERROR(__xludf.DUMMYFUNCTION("""COMPUTED_VALUE"""),0.4166666666678793)</f>
        <v>0.4166666667</v>
      </c>
      <c r="I644" s="45">
        <f>IFERROR(__xludf.DUMMYFUNCTION("""COMPUTED_VALUE"""),0.5)</f>
        <v>0.5</v>
      </c>
      <c r="J644" s="12">
        <f>IFERROR(__xludf.DUMMYFUNCTION("""COMPUTED_VALUE"""),1.4)</f>
        <v>1.4</v>
      </c>
      <c r="K644" s="12">
        <f>IFERROR(__xludf.DUMMYFUNCTION("""COMPUTED_VALUE"""),0.16)</f>
        <v>0.16</v>
      </c>
      <c r="L644" s="14">
        <f>IFERROR(__xludf.DUMMYFUNCTION("""COMPUTED_VALUE"""),55.859)</f>
        <v>55.859</v>
      </c>
      <c r="M644" s="14">
        <f>IFERROR(__xludf.DUMMYFUNCTION("""COMPUTED_VALUE"""),56.864)</f>
        <v>56.864</v>
      </c>
      <c r="N644" s="14">
        <f>IFERROR(__xludf.DUMMYFUNCTION("""COMPUTED_VALUE"""),68.838)</f>
        <v>68.838</v>
      </c>
      <c r="O644" s="14">
        <f>IFERROR(__xludf.DUMMYFUNCTION("""COMPUTED_VALUE"""),70.324)</f>
        <v>70.324</v>
      </c>
      <c r="P644" s="14">
        <f>IFERROR(__xludf.DUMMYFUNCTION("""COMPUTED_VALUE"""),69.208)</f>
        <v>69.208</v>
      </c>
      <c r="Q644" s="14">
        <f>IFERROR(__xludf.DUMMYFUNCTION("""COMPUTED_VALUE"""),64.219)</f>
        <v>64.219</v>
      </c>
      <c r="R644" s="48">
        <f>IFERROR(__xludf.DUMMYFUNCTION("""COMPUTED_VALUE"""),6.69)</f>
        <v>6.69</v>
      </c>
      <c r="S644" s="48">
        <f>IFERROR(__xludf.DUMMYFUNCTION("""COMPUTED_VALUE"""),7.52)</f>
        <v>7.52</v>
      </c>
      <c r="T644" s="48">
        <f>IFERROR(__xludf.DUMMYFUNCTION("""COMPUTED_VALUE"""),6.5)</f>
        <v>6.5</v>
      </c>
      <c r="U644" s="48">
        <f>IFERROR(__xludf.DUMMYFUNCTION("""COMPUTED_VALUE"""),7.09)</f>
        <v>7.09</v>
      </c>
      <c r="V644" s="48">
        <f>IFERROR(__xludf.DUMMYFUNCTION("""COMPUTED_VALUE"""),6.65)</f>
        <v>6.65</v>
      </c>
      <c r="W644" s="14">
        <f>IFERROR(__xludf.DUMMYFUNCTION("""COMPUTED_VALUE"""),6.890000000000001)</f>
        <v>6.89</v>
      </c>
      <c r="X644" s="14">
        <f>IFERROR(__xludf.DUMMYFUNCTION("""COMPUTED_VALUE"""),15.1)</f>
        <v>15.1</v>
      </c>
      <c r="Y644" s="14">
        <f>IFERROR(__xludf.DUMMYFUNCTION("""COMPUTED_VALUE"""),20.6)</f>
        <v>20.6</v>
      </c>
      <c r="Z644" s="14">
        <f>IFERROR(__xludf.DUMMYFUNCTION("""COMPUTED_VALUE"""),21.0)</f>
        <v>21</v>
      </c>
      <c r="AA644" s="14">
        <f>IFERROR(__xludf.DUMMYFUNCTION("""COMPUTED_VALUE"""),20.0)</f>
        <v>20</v>
      </c>
      <c r="AB644" s="14">
        <f>IFERROR(__xludf.DUMMYFUNCTION("""COMPUTED_VALUE"""),20.0)</f>
        <v>20</v>
      </c>
      <c r="AC644" s="14">
        <f>IFERROR(__xludf.DUMMYFUNCTION("""COMPUTED_VALUE"""),19.34)</f>
        <v>19.34</v>
      </c>
      <c r="AD644" s="48">
        <f>IFERROR(__xludf.DUMMYFUNCTION("""COMPUTED_VALUE"""),596.0)</f>
        <v>596</v>
      </c>
      <c r="AE644" s="48">
        <f>IFERROR(__xludf.DUMMYFUNCTION("""COMPUTED_VALUE"""),677.0)</f>
        <v>677</v>
      </c>
      <c r="AF644" s="48">
        <f>IFERROR(__xludf.DUMMYFUNCTION("""COMPUTED_VALUE"""),681.0)</f>
        <v>681</v>
      </c>
      <c r="AG644" s="48">
        <f>IFERROR(__xludf.DUMMYFUNCTION("""COMPUTED_VALUE"""),679.0)</f>
        <v>679</v>
      </c>
      <c r="AH644" s="48">
        <f>IFERROR(__xludf.DUMMYFUNCTION("""COMPUTED_VALUE"""),684.0)</f>
        <v>684</v>
      </c>
      <c r="AI644" s="14">
        <f>IFERROR(__xludf.DUMMYFUNCTION("""COMPUTED_VALUE"""),663.4)</f>
        <v>663.4</v>
      </c>
      <c r="AJ644" s="14">
        <f>IFERROR(__xludf.DUMMYFUNCTION("""COMPUTED_VALUE"""),4.4)</f>
        <v>4.4</v>
      </c>
      <c r="AK644" s="14">
        <f>IFERROR(__xludf.DUMMYFUNCTION("""COMPUTED_VALUE"""),2.9)</f>
        <v>2.9</v>
      </c>
      <c r="AL644" s="14">
        <f>IFERROR(__xludf.DUMMYFUNCTION("""COMPUTED_VALUE"""),3.0)</f>
        <v>3</v>
      </c>
      <c r="AM644" s="14">
        <f>IFERROR(__xludf.DUMMYFUNCTION("""COMPUTED_VALUE"""),2.7)</f>
        <v>2.7</v>
      </c>
      <c r="AN644" s="14">
        <f>IFERROR(__xludf.DUMMYFUNCTION("""COMPUTED_VALUE"""),2.8)</f>
        <v>2.8</v>
      </c>
      <c r="AO644" s="14">
        <f>IFERROR(__xludf.DUMMYFUNCTION("""COMPUTED_VALUE"""),3.16)</f>
        <v>3.16</v>
      </c>
      <c r="AP644" s="14">
        <f>IFERROR(__xludf.DUMMYFUNCTION("""COMPUTED_VALUE"""),146.0)</f>
        <v>146</v>
      </c>
      <c r="AQ644" s="14">
        <f>IFERROR(__xludf.DUMMYFUNCTION("""COMPUTED_VALUE"""),285.0)</f>
        <v>285</v>
      </c>
      <c r="AR644" s="14">
        <f>IFERROR(__xludf.DUMMYFUNCTION("""COMPUTED_VALUE"""),1576.0)</f>
        <v>1576</v>
      </c>
      <c r="AS644" s="14">
        <f>IFERROR(__xludf.DUMMYFUNCTION("""COMPUTED_VALUE"""),1.2)</f>
        <v>1.2</v>
      </c>
      <c r="AT644" s="14">
        <f>IFERROR(__xludf.DUMMYFUNCTION("""COMPUTED_VALUE"""),0.76)</f>
        <v>0.76</v>
      </c>
      <c r="AU644" s="14">
        <f>IFERROR(__xludf.DUMMYFUNCTION("""COMPUTED_VALUE"""),1483000.0)</f>
        <v>1483000</v>
      </c>
      <c r="AV644" s="14">
        <f>IFERROR(__xludf.DUMMYFUNCTION("""COMPUTED_VALUE"""),5.12)</f>
        <v>5.12</v>
      </c>
      <c r="AW644" s="14">
        <f>IFERROR(__xludf.DUMMYFUNCTION("""COMPUTED_VALUE"""),20.2)</f>
        <v>20.2</v>
      </c>
      <c r="AX644" s="14">
        <f>IFERROR(__xludf.DUMMYFUNCTION("""COMPUTED_VALUE"""),1162000.0)</f>
        <v>1162000</v>
      </c>
      <c r="AY644" s="14">
        <f>IFERROR(__xludf.DUMMYFUNCTION("""COMPUTED_VALUE"""),0.1)</f>
        <v>0.1</v>
      </c>
      <c r="AZ644" s="14">
        <f>IFERROR(__xludf.DUMMYFUNCTION("""COMPUTED_VALUE"""),0.007)</f>
        <v>0.007</v>
      </c>
      <c r="BA644" s="14">
        <f t="shared" si="1"/>
        <v>20.307</v>
      </c>
    </row>
    <row r="645" ht="14.25" customHeight="1">
      <c r="A645" s="10" t="str">
        <f>IFERROR(__xludf.DUMMYFUNCTION("""COMPUTED_VALUE"""),"060522MI01")</f>
        <v>060522MI01</v>
      </c>
      <c r="B645" s="12" t="str">
        <f>IFERROR(__xludf.DUMMYFUNCTION("""COMPUTED_VALUE"""),"HCO-Los Lagartos")</f>
        <v>HCO-Los Lagartos</v>
      </c>
      <c r="C645" s="12"/>
      <c r="D645" s="12"/>
      <c r="E645" s="44">
        <f>IFERROR(__xludf.DUMMYFUNCTION("""COMPUTED_VALUE"""),44687.0)</f>
        <v>44687</v>
      </c>
      <c r="F645" s="12" t="str">
        <f>IFERROR(__xludf.DUMMYFUNCTION("""COMPUTED_VALUE"""),"TIPO I")</f>
        <v>TIPO I</v>
      </c>
      <c r="G645" s="12" t="str">
        <f>IFERROR(__xludf.DUMMYFUNCTION("""COMPUTED_VALUE"""),"Se percibe olor, se observa color y sólidos suspendidos.")</f>
        <v>Se percibe olor, se observa color y sólidos suspendidos.</v>
      </c>
      <c r="H645" s="45">
        <f>IFERROR(__xludf.DUMMYFUNCTION("""COMPUTED_VALUE"""),0.4166666666678793)</f>
        <v>0.4166666667</v>
      </c>
      <c r="I645" s="45">
        <f>IFERROR(__xludf.DUMMYFUNCTION("""COMPUTED_VALUE"""),0.5)</f>
        <v>0.5</v>
      </c>
      <c r="J645" s="12">
        <f>IFERROR(__xludf.DUMMYFUNCTION("""COMPUTED_VALUE"""),6.3)</f>
        <v>6.3</v>
      </c>
      <c r="K645" s="12">
        <f>IFERROR(__xludf.DUMMYFUNCTION("""COMPUTED_VALUE"""),0.57)</f>
        <v>0.57</v>
      </c>
      <c r="L645" s="14">
        <f>IFERROR(__xludf.DUMMYFUNCTION("""COMPUTED_VALUE"""),456.667)</f>
        <v>456.667</v>
      </c>
      <c r="M645" s="14">
        <f>IFERROR(__xludf.DUMMYFUNCTION("""COMPUTED_VALUE"""),448.532)</f>
        <v>448.532</v>
      </c>
      <c r="N645" s="14">
        <f>IFERROR(__xludf.DUMMYFUNCTION("""COMPUTED_VALUE"""),460.649)</f>
        <v>460.649</v>
      </c>
      <c r="O645" s="14">
        <f>IFERROR(__xludf.DUMMYFUNCTION("""COMPUTED_VALUE"""),461.95)</f>
        <v>461.95</v>
      </c>
      <c r="P645" s="14">
        <f>IFERROR(__xludf.DUMMYFUNCTION("""COMPUTED_VALUE"""),452.59)</f>
        <v>452.59</v>
      </c>
      <c r="Q645" s="14">
        <f>IFERROR(__xludf.DUMMYFUNCTION("""COMPUTED_VALUE"""),456.078)</f>
        <v>456.078</v>
      </c>
      <c r="R645" s="48">
        <f>IFERROR(__xludf.DUMMYFUNCTION("""COMPUTED_VALUE"""),7.09)</f>
        <v>7.09</v>
      </c>
      <c r="S645" s="48">
        <f>IFERROR(__xludf.DUMMYFUNCTION("""COMPUTED_VALUE"""),7.07)</f>
        <v>7.07</v>
      </c>
      <c r="T645" s="48">
        <f>IFERROR(__xludf.DUMMYFUNCTION("""COMPUTED_VALUE"""),7.2)</f>
        <v>7.2</v>
      </c>
      <c r="U645" s="48">
        <f>IFERROR(__xludf.DUMMYFUNCTION("""COMPUTED_VALUE"""),7.16)</f>
        <v>7.16</v>
      </c>
      <c r="V645" s="48">
        <f>IFERROR(__xludf.DUMMYFUNCTION("""COMPUTED_VALUE"""),7.27)</f>
        <v>7.27</v>
      </c>
      <c r="W645" s="14">
        <f>IFERROR(__xludf.DUMMYFUNCTION("""COMPUTED_VALUE"""),7.1579999999999995)</f>
        <v>7.158</v>
      </c>
      <c r="X645" s="14">
        <f>IFERROR(__xludf.DUMMYFUNCTION("""COMPUTED_VALUE"""),15.1)</f>
        <v>15.1</v>
      </c>
      <c r="Y645" s="14">
        <f>IFERROR(__xludf.DUMMYFUNCTION("""COMPUTED_VALUE"""),15.1)</f>
        <v>15.1</v>
      </c>
      <c r="Z645" s="14">
        <f>IFERROR(__xludf.DUMMYFUNCTION("""COMPUTED_VALUE"""),15.1)</f>
        <v>15.1</v>
      </c>
      <c r="AA645" s="14">
        <f>IFERROR(__xludf.DUMMYFUNCTION("""COMPUTED_VALUE"""),15.1)</f>
        <v>15.1</v>
      </c>
      <c r="AB645" s="14">
        <f>IFERROR(__xludf.DUMMYFUNCTION("""COMPUTED_VALUE"""),15.1)</f>
        <v>15.1</v>
      </c>
      <c r="AC645" s="14">
        <f>IFERROR(__xludf.DUMMYFUNCTION("""COMPUTED_VALUE"""),15.1)</f>
        <v>15.1</v>
      </c>
      <c r="AD645" s="48">
        <f>IFERROR(__xludf.DUMMYFUNCTION("""COMPUTED_VALUE"""),293.0)</f>
        <v>293</v>
      </c>
      <c r="AE645" s="48">
        <f>IFERROR(__xludf.DUMMYFUNCTION("""COMPUTED_VALUE"""),293.0)</f>
        <v>293</v>
      </c>
      <c r="AF645" s="48">
        <f>IFERROR(__xludf.DUMMYFUNCTION("""COMPUTED_VALUE"""),296.0)</f>
        <v>296</v>
      </c>
      <c r="AG645" s="48">
        <f>IFERROR(__xludf.DUMMYFUNCTION("""COMPUTED_VALUE"""),296.0)</f>
        <v>296</v>
      </c>
      <c r="AH645" s="48">
        <f>IFERROR(__xludf.DUMMYFUNCTION("""COMPUTED_VALUE"""),298.0)</f>
        <v>298</v>
      </c>
      <c r="AI645" s="14">
        <f>IFERROR(__xludf.DUMMYFUNCTION("""COMPUTED_VALUE"""),295.2)</f>
        <v>295.2</v>
      </c>
      <c r="AJ645" s="14">
        <f>IFERROR(__xludf.DUMMYFUNCTION("""COMPUTED_VALUE"""),0.4)</f>
        <v>0.4</v>
      </c>
      <c r="AK645" s="14">
        <f>IFERROR(__xludf.DUMMYFUNCTION("""COMPUTED_VALUE"""),0.76)</f>
        <v>0.76</v>
      </c>
      <c r="AL645" s="14">
        <f>IFERROR(__xludf.DUMMYFUNCTION("""COMPUTED_VALUE"""),0.92)</f>
        <v>0.92</v>
      </c>
      <c r="AM645" s="14">
        <f>IFERROR(__xludf.DUMMYFUNCTION("""COMPUTED_VALUE"""),0.54)</f>
        <v>0.54</v>
      </c>
      <c r="AN645" s="14">
        <f>IFERROR(__xludf.DUMMYFUNCTION("""COMPUTED_VALUE"""),0.31)</f>
        <v>0.31</v>
      </c>
      <c r="AO645" s="14">
        <f>IFERROR(__xludf.DUMMYFUNCTION("""COMPUTED_VALUE"""),0.5860000000000001)</f>
        <v>0.586</v>
      </c>
      <c r="AP645" s="14">
        <f>IFERROR(__xludf.DUMMYFUNCTION("""COMPUTED_VALUE"""),15.0)</f>
        <v>15</v>
      </c>
      <c r="AQ645" s="14">
        <f>IFERROR(__xludf.DUMMYFUNCTION("""COMPUTED_VALUE"""),33.0)</f>
        <v>33</v>
      </c>
      <c r="AR645" s="14">
        <f>IFERROR(__xludf.DUMMYFUNCTION("""COMPUTED_VALUE"""),10.0)</f>
        <v>10</v>
      </c>
      <c r="AS645" s="14">
        <f>IFERROR(__xludf.DUMMYFUNCTION("""COMPUTED_VALUE"""),1.2)</f>
        <v>1.2</v>
      </c>
      <c r="AT645" s="14">
        <f>IFERROR(__xludf.DUMMYFUNCTION("""COMPUTED_VALUE"""),0.07)</f>
        <v>0.07</v>
      </c>
      <c r="AU645" s="14">
        <f>IFERROR(__xludf.DUMMYFUNCTION("""COMPUTED_VALUE"""),910000.0)</f>
        <v>910000</v>
      </c>
      <c r="AV645" s="14">
        <f>IFERROR(__xludf.DUMMYFUNCTION("""COMPUTED_VALUE"""),1.07)</f>
        <v>1.07</v>
      </c>
      <c r="AW645" s="14">
        <f>IFERROR(__xludf.DUMMYFUNCTION("""COMPUTED_VALUE"""),17.6)</f>
        <v>17.6</v>
      </c>
      <c r="AX645" s="14">
        <f>IFERROR(__xludf.DUMMYFUNCTION("""COMPUTED_VALUE"""),10190.0)</f>
        <v>10190</v>
      </c>
      <c r="AY645" s="14">
        <f>IFERROR(__xludf.DUMMYFUNCTION("""COMPUTED_VALUE"""),0.3)</f>
        <v>0.3</v>
      </c>
      <c r="AZ645" s="14">
        <f>IFERROR(__xludf.DUMMYFUNCTION("""COMPUTED_VALUE"""),0.007)</f>
        <v>0.007</v>
      </c>
      <c r="BA645" s="14">
        <f t="shared" si="1"/>
        <v>17.907</v>
      </c>
    </row>
    <row r="646" ht="14.25" customHeight="1">
      <c r="A646" s="10" t="str">
        <f>IFERROR(__xludf.DUMMYFUNCTION("""COMPUTED_VALUE"""),"060522MI02")</f>
        <v>060522MI02</v>
      </c>
      <c r="B646" s="12" t="str">
        <f>IFERROR(__xludf.DUMMYFUNCTION("""COMPUTED_VALUE"""),"COR-Humedal Córdoba")</f>
        <v>COR-Humedal Córdoba</v>
      </c>
      <c r="C646" s="12"/>
      <c r="D646" s="12"/>
      <c r="E646" s="44">
        <f>IFERROR(__xludf.DUMMYFUNCTION("""COMPUTED_VALUE"""),44687.0)</f>
        <v>44687</v>
      </c>
      <c r="F646" s="12" t="str">
        <f>IFERROR(__xludf.DUMMYFUNCTION("""COMPUTED_VALUE"""),"TIPO I")</f>
        <v>TIPO I</v>
      </c>
      <c r="G646" s="12" t="str">
        <f>IFERROR(__xludf.DUMMYFUNCTION("""COMPUTED_VALUE"""),"Se presenta un canal natural, se percibe olor y se observa color además de material flotante y residuos sólidos en la orilla del cauce. ")</f>
        <v>Se presenta un canal natural, se percibe olor y se observa color además de material flotante y residuos sólidos en la orilla del cauce. </v>
      </c>
      <c r="H646" s="45">
        <f>IFERROR(__xludf.DUMMYFUNCTION("""COMPUTED_VALUE"""),0.5833333333321207)</f>
        <v>0.5833333333</v>
      </c>
      <c r="I646" s="45">
        <f>IFERROR(__xludf.DUMMYFUNCTION("""COMPUTED_VALUE"""),0.6666666666678793)</f>
        <v>0.6666666667</v>
      </c>
      <c r="J646" s="12">
        <f>IFERROR(__xludf.DUMMYFUNCTION("""COMPUTED_VALUE"""),7.7)</f>
        <v>7.7</v>
      </c>
      <c r="K646" s="12">
        <f>IFERROR(__xludf.DUMMYFUNCTION("""COMPUTED_VALUE"""),0.55)</f>
        <v>0.55</v>
      </c>
      <c r="L646" s="14">
        <f>IFERROR(__xludf.DUMMYFUNCTION("""COMPUTED_VALUE"""),665.121)</f>
        <v>665.121</v>
      </c>
      <c r="M646" s="14">
        <f>IFERROR(__xludf.DUMMYFUNCTION("""COMPUTED_VALUE"""),668.154)</f>
        <v>668.154</v>
      </c>
      <c r="N646" s="14">
        <f>IFERROR(__xludf.DUMMYFUNCTION("""COMPUTED_VALUE"""),676.576)</f>
        <v>676.576</v>
      </c>
      <c r="O646" s="14">
        <f>IFERROR(__xludf.DUMMYFUNCTION("""COMPUTED_VALUE"""),661.859)</f>
        <v>661.859</v>
      </c>
      <c r="P646" s="14">
        <f>IFERROR(__xludf.DUMMYFUNCTION("""COMPUTED_VALUE"""),669.31)</f>
        <v>669.31</v>
      </c>
      <c r="Q646" s="14">
        <f>IFERROR(__xludf.DUMMYFUNCTION("""COMPUTED_VALUE"""),668.204)</f>
        <v>668.204</v>
      </c>
      <c r="R646" s="48">
        <f>IFERROR(__xludf.DUMMYFUNCTION("""COMPUTED_VALUE"""),7.11)</f>
        <v>7.11</v>
      </c>
      <c r="S646" s="48">
        <f>IFERROR(__xludf.DUMMYFUNCTION("""COMPUTED_VALUE"""),7.13)</f>
        <v>7.13</v>
      </c>
      <c r="T646" s="48">
        <f>IFERROR(__xludf.DUMMYFUNCTION("""COMPUTED_VALUE"""),7.17)</f>
        <v>7.17</v>
      </c>
      <c r="U646" s="48">
        <f>IFERROR(__xludf.DUMMYFUNCTION("""COMPUTED_VALUE"""),7.26)</f>
        <v>7.26</v>
      </c>
      <c r="V646" s="48">
        <f>IFERROR(__xludf.DUMMYFUNCTION("""COMPUTED_VALUE"""),7.29)</f>
        <v>7.29</v>
      </c>
      <c r="W646" s="14">
        <f>IFERROR(__xludf.DUMMYFUNCTION("""COMPUTED_VALUE"""),7.192)</f>
        <v>7.192</v>
      </c>
      <c r="X646" s="14">
        <f>IFERROR(__xludf.DUMMYFUNCTION("""COMPUTED_VALUE"""),16.7)</f>
        <v>16.7</v>
      </c>
      <c r="Y646" s="14">
        <f>IFERROR(__xludf.DUMMYFUNCTION("""COMPUTED_VALUE"""),16.7)</f>
        <v>16.7</v>
      </c>
      <c r="Z646" s="14">
        <f>IFERROR(__xludf.DUMMYFUNCTION("""COMPUTED_VALUE"""),16.7)</f>
        <v>16.7</v>
      </c>
      <c r="AA646" s="14">
        <f>IFERROR(__xludf.DUMMYFUNCTION("""COMPUTED_VALUE"""),16.8)</f>
        <v>16.8</v>
      </c>
      <c r="AB646" s="14">
        <f>IFERROR(__xludf.DUMMYFUNCTION("""COMPUTED_VALUE"""),16.9)</f>
        <v>16.9</v>
      </c>
      <c r="AC646" s="14">
        <f>IFERROR(__xludf.DUMMYFUNCTION("""COMPUTED_VALUE"""),16.759999999999998)</f>
        <v>16.76</v>
      </c>
      <c r="AD646" s="48">
        <f>IFERROR(__xludf.DUMMYFUNCTION("""COMPUTED_VALUE"""),342.0)</f>
        <v>342</v>
      </c>
      <c r="AE646" s="48">
        <f>IFERROR(__xludf.DUMMYFUNCTION("""COMPUTED_VALUE"""),343.0)</f>
        <v>343</v>
      </c>
      <c r="AF646" s="48">
        <f>IFERROR(__xludf.DUMMYFUNCTION("""COMPUTED_VALUE"""),344.0)</f>
        <v>344</v>
      </c>
      <c r="AG646" s="48">
        <f>IFERROR(__xludf.DUMMYFUNCTION("""COMPUTED_VALUE"""),346.0)</f>
        <v>346</v>
      </c>
      <c r="AH646" s="48">
        <f>IFERROR(__xludf.DUMMYFUNCTION("""COMPUTED_VALUE"""),344.0)</f>
        <v>344</v>
      </c>
      <c r="AI646" s="14">
        <f>IFERROR(__xludf.DUMMYFUNCTION("""COMPUTED_VALUE"""),343.8)</f>
        <v>343.8</v>
      </c>
      <c r="AJ646" s="14">
        <f>IFERROR(__xludf.DUMMYFUNCTION("""COMPUTED_VALUE"""),1.8)</f>
        <v>1.8</v>
      </c>
      <c r="AK646" s="14">
        <f>IFERROR(__xludf.DUMMYFUNCTION("""COMPUTED_VALUE"""),1.94)</f>
        <v>1.94</v>
      </c>
      <c r="AL646" s="14">
        <f>IFERROR(__xludf.DUMMYFUNCTION("""COMPUTED_VALUE"""),1.68)</f>
        <v>1.68</v>
      </c>
      <c r="AM646" s="14">
        <f>IFERROR(__xludf.DUMMYFUNCTION("""COMPUTED_VALUE"""),1.04)</f>
        <v>1.04</v>
      </c>
      <c r="AN646" s="14">
        <f>IFERROR(__xludf.DUMMYFUNCTION("""COMPUTED_VALUE"""),0.73)</f>
        <v>0.73</v>
      </c>
      <c r="AO646" s="14">
        <f>IFERROR(__xludf.DUMMYFUNCTION("""COMPUTED_VALUE"""),1.438)</f>
        <v>1.438</v>
      </c>
      <c r="AP646" s="14">
        <f>IFERROR(__xludf.DUMMYFUNCTION("""COMPUTED_VALUE"""),30.0)</f>
        <v>30</v>
      </c>
      <c r="AQ646" s="14">
        <f>IFERROR(__xludf.DUMMYFUNCTION("""COMPUTED_VALUE"""),48.0)</f>
        <v>48</v>
      </c>
      <c r="AR646" s="14">
        <f>IFERROR(__xludf.DUMMYFUNCTION("""COMPUTED_VALUE"""),13.0)</f>
        <v>13</v>
      </c>
      <c r="AS646" s="14">
        <f>IFERROR(__xludf.DUMMYFUNCTION("""COMPUTED_VALUE"""),11.0)</f>
        <v>11</v>
      </c>
      <c r="AT646" s="14">
        <f>IFERROR(__xludf.DUMMYFUNCTION("""COMPUTED_VALUE"""),0.07)</f>
        <v>0.07</v>
      </c>
      <c r="AU646" s="14">
        <f>IFERROR(__xludf.DUMMYFUNCTION("""COMPUTED_VALUE"""),1210000.0)</f>
        <v>1210000</v>
      </c>
      <c r="AV646" s="14">
        <f>IFERROR(__xludf.DUMMYFUNCTION("""COMPUTED_VALUE"""),2.97)</f>
        <v>2.97</v>
      </c>
      <c r="AW646" s="14">
        <f>IFERROR(__xludf.DUMMYFUNCTION("""COMPUTED_VALUE"""),18.2)</f>
        <v>18.2</v>
      </c>
      <c r="AX646" s="14">
        <f>IFERROR(__xludf.DUMMYFUNCTION("""COMPUTED_VALUE"""),114300.0)</f>
        <v>114300</v>
      </c>
      <c r="AY646" s="14">
        <f>IFERROR(__xludf.DUMMYFUNCTION("""COMPUTED_VALUE"""),0.3)</f>
        <v>0.3</v>
      </c>
      <c r="AZ646" s="14">
        <f>IFERROR(__xludf.DUMMYFUNCTION("""COMPUTED_VALUE"""),0.007)</f>
        <v>0.007</v>
      </c>
      <c r="BA646" s="14">
        <f t="shared" si="1"/>
        <v>18.507</v>
      </c>
    </row>
    <row r="647" ht="14.25" customHeight="1">
      <c r="A647" s="10" t="str">
        <f>IFERROR(__xludf.DUMMYFUNCTION("""COMPUTED_VALUE"""),"090522CA03")</f>
        <v>090522CA03</v>
      </c>
      <c r="B647" s="12" t="str">
        <f>IFERROR(__xludf.DUMMYFUNCTION("""COMPUTED_VALUE"""),"QTR-Mochuelo Bajo")</f>
        <v>QTR-Mochuelo Bajo</v>
      </c>
      <c r="C647" s="12"/>
      <c r="D647" s="12"/>
      <c r="E647" s="44">
        <f>IFERROR(__xludf.DUMMYFUNCTION("""COMPUTED_VALUE"""),44690.0)</f>
        <v>44690</v>
      </c>
      <c r="F647" s="12" t="str">
        <f>IFERROR(__xludf.DUMMYFUNCTION("""COMPUTED_VALUE"""),"TIPO I")</f>
        <v>TIPO I</v>
      </c>
      <c r="G647" s="12" t="str">
        <f>IFERROR(__xludf.DUMMYFUNCTION("""COMPUTED_VALUE"""),"Durante el monitoreo se evidencio color y olor, presencia de espuma, lecho rocoso - arenoso. ")</f>
        <v>Durante el monitoreo se evidencio color y olor, presencia de espuma, lecho rocoso - arenoso. </v>
      </c>
      <c r="H647" s="45">
        <f>IFERROR(__xludf.DUMMYFUNCTION("""COMPUTED_VALUE"""),0.5833333333321207)</f>
        <v>0.5833333333</v>
      </c>
      <c r="I647" s="45">
        <f>IFERROR(__xludf.DUMMYFUNCTION("""COMPUTED_VALUE"""),0.6666666666678793)</f>
        <v>0.6666666667</v>
      </c>
      <c r="J647" s="12">
        <f>IFERROR(__xludf.DUMMYFUNCTION("""COMPUTED_VALUE"""),1.0)</f>
        <v>1</v>
      </c>
      <c r="K647" s="12">
        <f>IFERROR(__xludf.DUMMYFUNCTION("""COMPUTED_VALUE"""),0.25)</f>
        <v>0.25</v>
      </c>
      <c r="L647" s="14">
        <f>IFERROR(__xludf.DUMMYFUNCTION("""COMPUTED_VALUE"""),32.105)</f>
        <v>32.105</v>
      </c>
      <c r="M647" s="14">
        <f>IFERROR(__xludf.DUMMYFUNCTION("""COMPUTED_VALUE"""),32.925)</f>
        <v>32.925</v>
      </c>
      <c r="N647" s="14">
        <f>IFERROR(__xludf.DUMMYFUNCTION("""COMPUTED_VALUE"""),31.14)</f>
        <v>31.14</v>
      </c>
      <c r="O647" s="14">
        <f>IFERROR(__xludf.DUMMYFUNCTION("""COMPUTED_VALUE"""),29.867)</f>
        <v>29.867</v>
      </c>
      <c r="P647" s="14">
        <f>IFERROR(__xludf.DUMMYFUNCTION("""COMPUTED_VALUE"""),28.898)</f>
        <v>28.898</v>
      </c>
      <c r="Q647" s="14">
        <f>IFERROR(__xludf.DUMMYFUNCTION("""COMPUTED_VALUE"""),30.987)</f>
        <v>30.987</v>
      </c>
      <c r="R647" s="48">
        <f>IFERROR(__xludf.DUMMYFUNCTION("""COMPUTED_VALUE"""),6.52)</f>
        <v>6.52</v>
      </c>
      <c r="S647" s="48">
        <f>IFERROR(__xludf.DUMMYFUNCTION("""COMPUTED_VALUE"""),6.45)</f>
        <v>6.45</v>
      </c>
      <c r="T647" s="48">
        <f>IFERROR(__xludf.DUMMYFUNCTION("""COMPUTED_VALUE"""),6.94)</f>
        <v>6.94</v>
      </c>
      <c r="U647" s="48">
        <f>IFERROR(__xludf.DUMMYFUNCTION("""COMPUTED_VALUE"""),6.43)</f>
        <v>6.43</v>
      </c>
      <c r="V647" s="48">
        <f>IFERROR(__xludf.DUMMYFUNCTION("""COMPUTED_VALUE"""),6.5)</f>
        <v>6.5</v>
      </c>
      <c r="W647" s="14">
        <f>IFERROR(__xludf.DUMMYFUNCTION("""COMPUTED_VALUE"""),6.5680000000000005)</f>
        <v>6.568</v>
      </c>
      <c r="X647" s="14">
        <f>IFERROR(__xludf.DUMMYFUNCTION("""COMPUTED_VALUE"""),20.8)</f>
        <v>20.8</v>
      </c>
      <c r="Y647" s="14">
        <f>IFERROR(__xludf.DUMMYFUNCTION("""COMPUTED_VALUE"""),19.1)</f>
        <v>19.1</v>
      </c>
      <c r="Z647" s="14">
        <f>IFERROR(__xludf.DUMMYFUNCTION("""COMPUTED_VALUE"""),19.1)</f>
        <v>19.1</v>
      </c>
      <c r="AA647" s="14">
        <f>IFERROR(__xludf.DUMMYFUNCTION("""COMPUTED_VALUE"""),18.8)</f>
        <v>18.8</v>
      </c>
      <c r="AB647" s="14">
        <f>IFERROR(__xludf.DUMMYFUNCTION("""COMPUTED_VALUE"""),18.9)</f>
        <v>18.9</v>
      </c>
      <c r="AC647" s="14">
        <f>IFERROR(__xludf.DUMMYFUNCTION("""COMPUTED_VALUE"""),19.340000000000003)</f>
        <v>19.34</v>
      </c>
      <c r="AD647" s="48">
        <f>IFERROR(__xludf.DUMMYFUNCTION("""COMPUTED_VALUE"""),330.0)</f>
        <v>330</v>
      </c>
      <c r="AE647" s="48">
        <f>IFERROR(__xludf.DUMMYFUNCTION("""COMPUTED_VALUE"""),700.0)</f>
        <v>700</v>
      </c>
      <c r="AF647" s="48">
        <f>IFERROR(__xludf.DUMMYFUNCTION("""COMPUTED_VALUE"""),692.0)</f>
        <v>692</v>
      </c>
      <c r="AG647" s="48">
        <f>IFERROR(__xludf.DUMMYFUNCTION("""COMPUTED_VALUE"""),697.0)</f>
        <v>697</v>
      </c>
      <c r="AH647" s="48">
        <f>IFERROR(__xludf.DUMMYFUNCTION("""COMPUTED_VALUE"""),677.0)</f>
        <v>677</v>
      </c>
      <c r="AI647" s="14">
        <f>IFERROR(__xludf.DUMMYFUNCTION("""COMPUTED_VALUE"""),619.2)</f>
        <v>619.2</v>
      </c>
      <c r="AJ647" s="14">
        <f>IFERROR(__xludf.DUMMYFUNCTION("""COMPUTED_VALUE"""),4.3)</f>
        <v>4.3</v>
      </c>
      <c r="AK647" s="14">
        <f>IFERROR(__xludf.DUMMYFUNCTION("""COMPUTED_VALUE"""),3.2)</f>
        <v>3.2</v>
      </c>
      <c r="AL647" s="14">
        <f>IFERROR(__xludf.DUMMYFUNCTION("""COMPUTED_VALUE"""),3.0)</f>
        <v>3</v>
      </c>
      <c r="AM647" s="14">
        <f>IFERROR(__xludf.DUMMYFUNCTION("""COMPUTED_VALUE"""),3.4)</f>
        <v>3.4</v>
      </c>
      <c r="AN647" s="14">
        <f>IFERROR(__xludf.DUMMYFUNCTION("""COMPUTED_VALUE"""),3.3)</f>
        <v>3.3</v>
      </c>
      <c r="AO647" s="14">
        <f>IFERROR(__xludf.DUMMYFUNCTION("""COMPUTED_VALUE"""),3.44)</f>
        <v>3.44</v>
      </c>
      <c r="AP647" s="14">
        <f>IFERROR(__xludf.DUMMYFUNCTION("""COMPUTED_VALUE"""),77.0)</f>
        <v>77</v>
      </c>
      <c r="AQ647" s="14">
        <f>IFERROR(__xludf.DUMMYFUNCTION("""COMPUTED_VALUE"""),129.0)</f>
        <v>129</v>
      </c>
      <c r="AR647" s="14">
        <f>IFERROR(__xludf.DUMMYFUNCTION("""COMPUTED_VALUE"""),153.0)</f>
        <v>153</v>
      </c>
      <c r="AS647" s="14">
        <f>IFERROR(__xludf.DUMMYFUNCTION("""COMPUTED_VALUE"""),1.2)</f>
        <v>1.2</v>
      </c>
      <c r="AT647" s="14">
        <f>IFERROR(__xludf.DUMMYFUNCTION("""COMPUTED_VALUE"""),4.46)</f>
        <v>4.46</v>
      </c>
      <c r="AU647" s="14">
        <f>IFERROR(__xludf.DUMMYFUNCTION("""COMPUTED_VALUE"""),9850000.0)</f>
        <v>9850000</v>
      </c>
      <c r="AV647" s="14">
        <f>IFERROR(__xludf.DUMMYFUNCTION("""COMPUTED_VALUE"""),1.62)</f>
        <v>1.62</v>
      </c>
      <c r="AW647" s="14">
        <f>IFERROR(__xludf.DUMMYFUNCTION("""COMPUTED_VALUE"""),20.2)</f>
        <v>20.2</v>
      </c>
      <c r="AX647" s="14">
        <f>IFERROR(__xludf.DUMMYFUNCTION("""COMPUTED_VALUE"""),131400.0)</f>
        <v>131400</v>
      </c>
      <c r="AY647" s="14">
        <f>IFERROR(__xludf.DUMMYFUNCTION("""COMPUTED_VALUE"""),1.1)</f>
        <v>1.1</v>
      </c>
      <c r="AZ647" s="14">
        <f>IFERROR(__xludf.DUMMYFUNCTION("""COMPUTED_VALUE"""),0.007)</f>
        <v>0.007</v>
      </c>
      <c r="BA647" s="14">
        <f t="shared" si="1"/>
        <v>21.307</v>
      </c>
    </row>
    <row r="648" ht="14.25" customHeight="1">
      <c r="A648" s="10" t="str">
        <f>IFERROR(__xludf.DUMMYFUNCTION("""COMPUTED_VALUE"""),"090522WI02")</f>
        <v>090522WI02</v>
      </c>
      <c r="B648" s="12" t="str">
        <f>IFERROR(__xludf.DUMMYFUNCTION("""COMPUTED_VALUE"""),"QYO-Monte Blanco")</f>
        <v>QYO-Monte Blanco</v>
      </c>
      <c r="C648" s="12"/>
      <c r="D648" s="12"/>
      <c r="E648" s="44">
        <f>IFERROR(__xludf.DUMMYFUNCTION("""COMPUTED_VALUE"""),44690.0)</f>
        <v>44690</v>
      </c>
      <c r="F648" s="12" t="str">
        <f>IFERROR(__xludf.DUMMYFUNCTION("""COMPUTED_VALUE"""),"TIPO I")</f>
        <v>TIPO I</v>
      </c>
      <c r="G648" s="12" t="str">
        <f>IFERROR(__xludf.DUMMYFUNCTION("""COMPUTED_VALUE"""),"Se presenta un lecho natural rocoso, se percibe olor y se observa color. ")</f>
        <v>Se presenta un lecho natural rocoso, se percibe olor y se observa color. </v>
      </c>
      <c r="H648" s="45">
        <f>IFERROR(__xludf.DUMMYFUNCTION("""COMPUTED_VALUE"""),0.4166666666678793)</f>
        <v>0.4166666667</v>
      </c>
      <c r="I648" s="45">
        <f>IFERROR(__xludf.DUMMYFUNCTION("""COMPUTED_VALUE"""),0.5)</f>
        <v>0.5</v>
      </c>
      <c r="J648" s="12">
        <f>IFERROR(__xludf.DUMMYFUNCTION("""COMPUTED_VALUE"""),2.6)</f>
        <v>2.6</v>
      </c>
      <c r="K648" s="12">
        <f>IFERROR(__xludf.DUMMYFUNCTION("""COMPUTED_VALUE"""),0.45)</f>
        <v>0.45</v>
      </c>
      <c r="L648" s="14">
        <f>IFERROR(__xludf.DUMMYFUNCTION("""COMPUTED_VALUE"""),461.222)</f>
        <v>461.222</v>
      </c>
      <c r="M648" s="14">
        <f>IFERROR(__xludf.DUMMYFUNCTION("""COMPUTED_VALUE"""),465.232)</f>
        <v>465.232</v>
      </c>
      <c r="N648" s="14">
        <f>IFERROR(__xludf.DUMMYFUNCTION("""COMPUTED_VALUE"""),464.809)</f>
        <v>464.809</v>
      </c>
      <c r="O648" s="14">
        <f>IFERROR(__xludf.DUMMYFUNCTION("""COMPUTED_VALUE"""),466.388)</f>
        <v>466.388</v>
      </c>
      <c r="P648" s="14">
        <f>IFERROR(__xludf.DUMMYFUNCTION("""COMPUTED_VALUE"""),467.239)</f>
        <v>467.239</v>
      </c>
      <c r="Q648" s="14">
        <f>IFERROR(__xludf.DUMMYFUNCTION("""COMPUTED_VALUE"""),464.978)</f>
        <v>464.978</v>
      </c>
      <c r="R648" s="48">
        <f>IFERROR(__xludf.DUMMYFUNCTION("""COMPUTED_VALUE"""),7.42)</f>
        <v>7.42</v>
      </c>
      <c r="S648" s="48">
        <f>IFERROR(__xludf.DUMMYFUNCTION("""COMPUTED_VALUE"""),7.47)</f>
        <v>7.47</v>
      </c>
      <c r="T648" s="48">
        <f>IFERROR(__xludf.DUMMYFUNCTION("""COMPUTED_VALUE"""),7.42)</f>
        <v>7.42</v>
      </c>
      <c r="U648" s="48">
        <f>IFERROR(__xludf.DUMMYFUNCTION("""COMPUTED_VALUE"""),7.47)</f>
        <v>7.47</v>
      </c>
      <c r="V648" s="48">
        <f>IFERROR(__xludf.DUMMYFUNCTION("""COMPUTED_VALUE"""),7.46)</f>
        <v>7.46</v>
      </c>
      <c r="W648" s="14">
        <f>IFERROR(__xludf.DUMMYFUNCTION("""COMPUTED_VALUE"""),7.448)</f>
        <v>7.448</v>
      </c>
      <c r="X648" s="14">
        <f>IFERROR(__xludf.DUMMYFUNCTION("""COMPUTED_VALUE"""),13.0)</f>
        <v>13</v>
      </c>
      <c r="Y648" s="14">
        <f>IFERROR(__xludf.DUMMYFUNCTION("""COMPUTED_VALUE"""),13.6)</f>
        <v>13.6</v>
      </c>
      <c r="Z648" s="14">
        <f>IFERROR(__xludf.DUMMYFUNCTION("""COMPUTED_VALUE"""),13.8)</f>
        <v>13.8</v>
      </c>
      <c r="AA648" s="14">
        <f>IFERROR(__xludf.DUMMYFUNCTION("""COMPUTED_VALUE"""),14.1)</f>
        <v>14.1</v>
      </c>
      <c r="AB648" s="14">
        <f>IFERROR(__xludf.DUMMYFUNCTION("""COMPUTED_VALUE"""),14.1)</f>
        <v>14.1</v>
      </c>
      <c r="AC648" s="14">
        <f>IFERROR(__xludf.DUMMYFUNCTION("""COMPUTED_VALUE"""),13.720000000000002)</f>
        <v>13.72</v>
      </c>
      <c r="AD648" s="48">
        <f>IFERROR(__xludf.DUMMYFUNCTION("""COMPUTED_VALUE"""),167.0)</f>
        <v>167</v>
      </c>
      <c r="AE648" s="48">
        <f>IFERROR(__xludf.DUMMYFUNCTION("""COMPUTED_VALUE"""),167.0)</f>
        <v>167</v>
      </c>
      <c r="AF648" s="48">
        <f>IFERROR(__xludf.DUMMYFUNCTION("""COMPUTED_VALUE"""),169.0)</f>
        <v>169</v>
      </c>
      <c r="AG648" s="48">
        <f>IFERROR(__xludf.DUMMYFUNCTION("""COMPUTED_VALUE"""),173.0)</f>
        <v>173</v>
      </c>
      <c r="AH648" s="48">
        <f>IFERROR(__xludf.DUMMYFUNCTION("""COMPUTED_VALUE"""),173.0)</f>
        <v>173</v>
      </c>
      <c r="AI648" s="14">
        <f>IFERROR(__xludf.DUMMYFUNCTION("""COMPUTED_VALUE"""),169.8)</f>
        <v>169.8</v>
      </c>
      <c r="AJ648" s="14">
        <f>IFERROR(__xludf.DUMMYFUNCTION("""COMPUTED_VALUE"""),6.78)</f>
        <v>6.78</v>
      </c>
      <c r="AK648" s="14">
        <f>IFERROR(__xludf.DUMMYFUNCTION("""COMPUTED_VALUE"""),6.57)</f>
        <v>6.57</v>
      </c>
      <c r="AL648" s="14">
        <f>IFERROR(__xludf.DUMMYFUNCTION("""COMPUTED_VALUE"""),6.65)</f>
        <v>6.65</v>
      </c>
      <c r="AM648" s="14">
        <f>IFERROR(__xludf.DUMMYFUNCTION("""COMPUTED_VALUE"""),6.6)</f>
        <v>6.6</v>
      </c>
      <c r="AN648" s="14">
        <f>IFERROR(__xludf.DUMMYFUNCTION("""COMPUTED_VALUE"""),6.53)</f>
        <v>6.53</v>
      </c>
      <c r="AO648" s="14">
        <f>IFERROR(__xludf.DUMMYFUNCTION("""COMPUTED_VALUE"""),6.626)</f>
        <v>6.626</v>
      </c>
      <c r="AP648" s="14">
        <f>IFERROR(__xludf.DUMMYFUNCTION("""COMPUTED_VALUE"""),24.0)</f>
        <v>24</v>
      </c>
      <c r="AQ648" s="14">
        <f>IFERROR(__xludf.DUMMYFUNCTION("""COMPUTED_VALUE"""),43.0)</f>
        <v>43</v>
      </c>
      <c r="AR648" s="14">
        <f>IFERROR(__xludf.DUMMYFUNCTION("""COMPUTED_VALUE"""),31.0)</f>
        <v>31</v>
      </c>
      <c r="AS648" s="14">
        <f>IFERROR(__xludf.DUMMYFUNCTION("""COMPUTED_VALUE"""),1.2)</f>
        <v>1.2</v>
      </c>
      <c r="AT648" s="14">
        <f>IFERROR(__xludf.DUMMYFUNCTION("""COMPUTED_VALUE"""),0.07)</f>
        <v>0.07</v>
      </c>
      <c r="AU648" s="14">
        <f>IFERROR(__xludf.DUMMYFUNCTION("""COMPUTED_VALUE"""),723000.0)</f>
        <v>723000</v>
      </c>
      <c r="AV648" s="14">
        <f>IFERROR(__xludf.DUMMYFUNCTION("""COMPUTED_VALUE"""),1.06)</f>
        <v>1.06</v>
      </c>
      <c r="AW648" s="14">
        <f>IFERROR(__xludf.DUMMYFUNCTION("""COMPUTED_VALUE"""),9.2)</f>
        <v>9.2</v>
      </c>
      <c r="AX648" s="14">
        <f>IFERROR(__xludf.DUMMYFUNCTION("""COMPUTED_VALUE"""),59800.0)</f>
        <v>59800</v>
      </c>
      <c r="AY648" s="14">
        <f>IFERROR(__xludf.DUMMYFUNCTION("""COMPUTED_VALUE"""),0.5)</f>
        <v>0.5</v>
      </c>
      <c r="AZ648" s="14">
        <f>IFERROR(__xludf.DUMMYFUNCTION("""COMPUTED_VALUE"""),0.011)</f>
        <v>0.011</v>
      </c>
      <c r="BA648" s="14">
        <f t="shared" si="1"/>
        <v>9.711</v>
      </c>
    </row>
    <row r="649" ht="14.25" customHeight="1">
      <c r="A649" s="10" t="str">
        <f>IFERROR(__xludf.DUMMYFUNCTION("""COMPUTED_VALUE"""),"090522WI01")</f>
        <v>090522WI01</v>
      </c>
      <c r="B649" s="12" t="str">
        <f>IFERROR(__xludf.DUMMYFUNCTION("""COMPUTED_VALUE"""),"QYO-Bolonia")</f>
        <v>QYO-Bolonia</v>
      </c>
      <c r="C649" s="12"/>
      <c r="D649" s="12"/>
      <c r="E649" s="44">
        <f>IFERROR(__xludf.DUMMYFUNCTION("""COMPUTED_VALUE"""),44690.0)</f>
        <v>44690</v>
      </c>
      <c r="F649" s="12" t="str">
        <f>IFERROR(__xludf.DUMMYFUNCTION("""COMPUTED_VALUE"""),"TIPO I")</f>
        <v>TIPO I</v>
      </c>
      <c r="G649" s="12" t="str">
        <f>IFERROR(__xludf.DUMMYFUNCTION("""COMPUTED_VALUE"""),"Durante el monitoreo se evidencio color y olor, presencia de residuos solidos agua abajo en la margen izquierda del punto de monitoreo, la estructura del canal natural, lecho rocoso.
Altitud: 2745 msnm. ")</f>
        <v>Durante el monitoreo se evidencio color y olor, presencia de residuos solidos agua abajo en la margen izquierda del punto de monitoreo, la estructura del canal natural, lecho rocoso.
Altitud: 2745 msnm. </v>
      </c>
      <c r="H649" s="45">
        <f>IFERROR(__xludf.DUMMYFUNCTION("""COMPUTED_VALUE"""),0.25)</f>
        <v>0.25</v>
      </c>
      <c r="I649" s="45">
        <f>IFERROR(__xludf.DUMMYFUNCTION("""COMPUTED_VALUE"""),0.3333333333321207)</f>
        <v>0.3333333333</v>
      </c>
      <c r="J649" s="12">
        <f>IFERROR(__xludf.DUMMYFUNCTION("""COMPUTED_VALUE"""),3.5)</f>
        <v>3.5</v>
      </c>
      <c r="K649" s="12">
        <f>IFERROR(__xludf.DUMMYFUNCTION("""COMPUTED_VALUE"""),0.59)</f>
        <v>0.59</v>
      </c>
      <c r="L649" s="14">
        <f>IFERROR(__xludf.DUMMYFUNCTION("""COMPUTED_VALUE"""),351.388)</f>
        <v>351.388</v>
      </c>
      <c r="M649" s="14">
        <f>IFERROR(__xludf.DUMMYFUNCTION("""COMPUTED_VALUE"""),351.085)</f>
        <v>351.085</v>
      </c>
      <c r="N649" s="14">
        <f>IFERROR(__xludf.DUMMYFUNCTION("""COMPUTED_VALUE"""),359.477)</f>
        <v>359.477</v>
      </c>
      <c r="O649" s="14">
        <f>IFERROR(__xludf.DUMMYFUNCTION("""COMPUTED_VALUE"""),358.046)</f>
        <v>358.046</v>
      </c>
      <c r="P649" s="14">
        <f>IFERROR(__xludf.DUMMYFUNCTION("""COMPUTED_VALUE"""),345.89)</f>
        <v>345.89</v>
      </c>
      <c r="Q649" s="14">
        <f>IFERROR(__xludf.DUMMYFUNCTION("""COMPUTED_VALUE"""),353.177)</f>
        <v>353.177</v>
      </c>
      <c r="R649" s="48">
        <f>IFERROR(__xludf.DUMMYFUNCTION("""COMPUTED_VALUE"""),7.57)</f>
        <v>7.57</v>
      </c>
      <c r="S649" s="48">
        <f>IFERROR(__xludf.DUMMYFUNCTION("""COMPUTED_VALUE"""),6.99)</f>
        <v>6.99</v>
      </c>
      <c r="T649" s="48">
        <f>IFERROR(__xludf.DUMMYFUNCTION("""COMPUTED_VALUE"""),6.93)</f>
        <v>6.93</v>
      </c>
      <c r="U649" s="48">
        <f>IFERROR(__xludf.DUMMYFUNCTION("""COMPUTED_VALUE"""),6.86)</f>
        <v>6.86</v>
      </c>
      <c r="V649" s="48">
        <f>IFERROR(__xludf.DUMMYFUNCTION("""COMPUTED_VALUE"""),6.82)</f>
        <v>6.82</v>
      </c>
      <c r="W649" s="14">
        <f>IFERROR(__xludf.DUMMYFUNCTION("""COMPUTED_VALUE"""),7.034000000000001)</f>
        <v>7.034</v>
      </c>
      <c r="X649" s="14">
        <f>IFERROR(__xludf.DUMMYFUNCTION("""COMPUTED_VALUE"""),11.0)</f>
        <v>11</v>
      </c>
      <c r="Y649" s="14">
        <f>IFERROR(__xludf.DUMMYFUNCTION("""COMPUTED_VALUE"""),11.0)</f>
        <v>11</v>
      </c>
      <c r="Z649" s="14">
        <f>IFERROR(__xludf.DUMMYFUNCTION("""COMPUTED_VALUE"""),11.1)</f>
        <v>11.1</v>
      </c>
      <c r="AA649" s="14">
        <f>IFERROR(__xludf.DUMMYFUNCTION("""COMPUTED_VALUE"""),11.1)</f>
        <v>11.1</v>
      </c>
      <c r="AB649" s="14">
        <f>IFERROR(__xludf.DUMMYFUNCTION("""COMPUTED_VALUE"""),11.1)</f>
        <v>11.1</v>
      </c>
      <c r="AC649" s="14">
        <f>IFERROR(__xludf.DUMMYFUNCTION("""COMPUTED_VALUE"""),11.06)</f>
        <v>11.06</v>
      </c>
      <c r="AD649" s="48">
        <f>IFERROR(__xludf.DUMMYFUNCTION("""COMPUTED_VALUE"""),83.0)</f>
        <v>83</v>
      </c>
      <c r="AE649" s="48">
        <f>IFERROR(__xludf.DUMMYFUNCTION("""COMPUTED_VALUE"""),80.0)</f>
        <v>80</v>
      </c>
      <c r="AF649" s="48">
        <f>IFERROR(__xludf.DUMMYFUNCTION("""COMPUTED_VALUE"""),83.0)</f>
        <v>83</v>
      </c>
      <c r="AG649" s="48">
        <f>IFERROR(__xludf.DUMMYFUNCTION("""COMPUTED_VALUE"""),86.0)</f>
        <v>86</v>
      </c>
      <c r="AH649" s="48">
        <f>IFERROR(__xludf.DUMMYFUNCTION("""COMPUTED_VALUE"""),84.0)</f>
        <v>84</v>
      </c>
      <c r="AI649" s="14">
        <f>IFERROR(__xludf.DUMMYFUNCTION("""COMPUTED_VALUE"""),83.2)</f>
        <v>83.2</v>
      </c>
      <c r="AJ649" s="14">
        <f>IFERROR(__xludf.DUMMYFUNCTION("""COMPUTED_VALUE"""),7.57)</f>
        <v>7.57</v>
      </c>
      <c r="AK649" s="14">
        <f>IFERROR(__xludf.DUMMYFUNCTION("""COMPUTED_VALUE"""),7.46)</f>
        <v>7.46</v>
      </c>
      <c r="AL649" s="14">
        <f>IFERROR(__xludf.DUMMYFUNCTION("""COMPUTED_VALUE"""),7.61)</f>
        <v>7.61</v>
      </c>
      <c r="AM649" s="14">
        <f>IFERROR(__xludf.DUMMYFUNCTION("""COMPUTED_VALUE"""),7.53)</f>
        <v>7.53</v>
      </c>
      <c r="AN649" s="14">
        <f>IFERROR(__xludf.DUMMYFUNCTION("""COMPUTED_VALUE"""),7.53)</f>
        <v>7.53</v>
      </c>
      <c r="AO649" s="14">
        <f>IFERROR(__xludf.DUMMYFUNCTION("""COMPUTED_VALUE"""),7.540000000000001)</f>
        <v>7.54</v>
      </c>
      <c r="AP649" s="14">
        <f>IFERROR(__xludf.DUMMYFUNCTION("""COMPUTED_VALUE"""),10.0)</f>
        <v>10</v>
      </c>
      <c r="AQ649" s="14">
        <f>IFERROR(__xludf.DUMMYFUNCTION("""COMPUTED_VALUE"""),18.0)</f>
        <v>18</v>
      </c>
      <c r="AR649" s="14">
        <f>IFERROR(__xludf.DUMMYFUNCTION("""COMPUTED_VALUE"""),15.0)</f>
        <v>15</v>
      </c>
      <c r="AS649" s="14">
        <f>IFERROR(__xludf.DUMMYFUNCTION("""COMPUTED_VALUE"""),1.2)</f>
        <v>1.2</v>
      </c>
      <c r="AT649" s="14">
        <f>IFERROR(__xludf.DUMMYFUNCTION("""COMPUTED_VALUE"""),0.07)</f>
        <v>0.07</v>
      </c>
      <c r="AU649" s="14">
        <f>IFERROR(__xludf.DUMMYFUNCTION("""COMPUTED_VALUE"""),1850000.0)</f>
        <v>1850000</v>
      </c>
      <c r="AV649" s="14">
        <f>IFERROR(__xludf.DUMMYFUNCTION("""COMPUTED_VALUE"""),0.95)</f>
        <v>0.95</v>
      </c>
      <c r="AW649" s="14">
        <f>IFERROR(__xludf.DUMMYFUNCTION("""COMPUTED_VALUE"""),3.1)</f>
        <v>3.1</v>
      </c>
      <c r="AX649" s="14">
        <f>IFERROR(__xludf.DUMMYFUNCTION("""COMPUTED_VALUE"""),78400.0)</f>
        <v>78400</v>
      </c>
      <c r="AY649" s="14">
        <f>IFERROR(__xludf.DUMMYFUNCTION("""COMPUTED_VALUE"""),1.0)</f>
        <v>1</v>
      </c>
      <c r="AZ649" s="14">
        <f>IFERROR(__xludf.DUMMYFUNCTION("""COMPUTED_VALUE"""),0.053)</f>
        <v>0.053</v>
      </c>
      <c r="BA649" s="14">
        <f t="shared" si="1"/>
        <v>4.153</v>
      </c>
    </row>
    <row r="650" ht="14.25" customHeight="1">
      <c r="A650" s="10" t="str">
        <f>IFERROR(__xludf.DUMMYFUNCTION("""COMPUTED_VALUE"""),"090522WI03")</f>
        <v>090522WI03</v>
      </c>
      <c r="B650" s="12" t="str">
        <f>IFERROR(__xludf.DUMMYFUNCTION("""COMPUTED_VALUE"""),"QYO-Arrayanal")</f>
        <v>QYO-Arrayanal</v>
      </c>
      <c r="C650" s="12"/>
      <c r="D650" s="12"/>
      <c r="E650" s="44">
        <f>IFERROR(__xludf.DUMMYFUNCTION("""COMPUTED_VALUE"""),44690.0)</f>
        <v>44690</v>
      </c>
      <c r="F650" s="12" t="str">
        <f>IFERROR(__xludf.DUMMYFUNCTION("""COMPUTED_VALUE"""),"TIPO I")</f>
        <v>TIPO I</v>
      </c>
      <c r="G650" s="12" t="str">
        <f>IFERROR(__xludf.DUMMYFUNCTION("""COMPUTED_VALUE"""),"Estructura del canal natural, lecho rocoso, durante el monitoreo se evidencio espuma aguas arriba del punto. 
Altitud: 2815 msnm.")</f>
        <v>Estructura del canal natural, lecho rocoso, durante el monitoreo se evidencio espuma aguas arriba del punto. 
Altitud: 2815 msnm.</v>
      </c>
      <c r="H650" s="45">
        <f>IFERROR(__xludf.DUMMYFUNCTION("""COMPUTED_VALUE"""),0.5833333333321207)</f>
        <v>0.5833333333</v>
      </c>
      <c r="I650" s="45">
        <f>IFERROR(__xludf.DUMMYFUNCTION("""COMPUTED_VALUE"""),0.6666666666678793)</f>
        <v>0.6666666667</v>
      </c>
      <c r="J650" s="12">
        <f>IFERROR(__xludf.DUMMYFUNCTION("""COMPUTED_VALUE"""),3.6)</f>
        <v>3.6</v>
      </c>
      <c r="K650" s="12">
        <f>IFERROR(__xludf.DUMMYFUNCTION("""COMPUTED_VALUE"""),0.6)</f>
        <v>0.6</v>
      </c>
      <c r="L650" s="14">
        <f>IFERROR(__xludf.DUMMYFUNCTION("""COMPUTED_VALUE"""),340.143)</f>
        <v>340.143</v>
      </c>
      <c r="M650" s="14">
        <f>IFERROR(__xludf.DUMMYFUNCTION("""COMPUTED_VALUE"""),334.303)</f>
        <v>334.303</v>
      </c>
      <c r="N650" s="14">
        <f>IFERROR(__xludf.DUMMYFUNCTION("""COMPUTED_VALUE"""),338.287)</f>
        <v>338.287</v>
      </c>
      <c r="O650" s="14">
        <f>IFERROR(__xludf.DUMMYFUNCTION("""COMPUTED_VALUE"""),332.279)</f>
        <v>332.279</v>
      </c>
      <c r="P650" s="14">
        <f>IFERROR(__xludf.DUMMYFUNCTION("""COMPUTED_VALUE"""),331.97)</f>
        <v>331.97</v>
      </c>
      <c r="Q650" s="14">
        <f>IFERROR(__xludf.DUMMYFUNCTION("""COMPUTED_VALUE"""),335.397)</f>
        <v>335.397</v>
      </c>
      <c r="R650" s="48">
        <f>IFERROR(__xludf.DUMMYFUNCTION("""COMPUTED_VALUE"""),7.49)</f>
        <v>7.49</v>
      </c>
      <c r="S650" s="48">
        <f>IFERROR(__xludf.DUMMYFUNCTION("""COMPUTED_VALUE"""),7.15)</f>
        <v>7.15</v>
      </c>
      <c r="T650" s="48">
        <f>IFERROR(__xludf.DUMMYFUNCTION("""COMPUTED_VALUE"""),6.96)</f>
        <v>6.96</v>
      </c>
      <c r="U650" s="48">
        <f>IFERROR(__xludf.DUMMYFUNCTION("""COMPUTED_VALUE"""),6.99)</f>
        <v>6.99</v>
      </c>
      <c r="V650" s="48">
        <f>IFERROR(__xludf.DUMMYFUNCTION("""COMPUTED_VALUE"""),6.95)</f>
        <v>6.95</v>
      </c>
      <c r="W650" s="14">
        <f>IFERROR(__xludf.DUMMYFUNCTION("""COMPUTED_VALUE"""),7.108000000000001)</f>
        <v>7.108</v>
      </c>
      <c r="X650" s="14">
        <f>IFERROR(__xludf.DUMMYFUNCTION("""COMPUTED_VALUE"""),13.5)</f>
        <v>13.5</v>
      </c>
      <c r="Y650" s="14">
        <f>IFERROR(__xludf.DUMMYFUNCTION("""COMPUTED_VALUE"""),13.5)</f>
        <v>13.5</v>
      </c>
      <c r="Z650" s="14">
        <f>IFERROR(__xludf.DUMMYFUNCTION("""COMPUTED_VALUE"""),13.5)</f>
        <v>13.5</v>
      </c>
      <c r="AA650" s="14">
        <f>IFERROR(__xludf.DUMMYFUNCTION("""COMPUTED_VALUE"""),13.4)</f>
        <v>13.4</v>
      </c>
      <c r="AB650" s="14">
        <f>IFERROR(__xludf.DUMMYFUNCTION("""COMPUTED_VALUE"""),13.4)</f>
        <v>13.4</v>
      </c>
      <c r="AC650" s="14">
        <f>IFERROR(__xludf.DUMMYFUNCTION("""COMPUTED_VALUE"""),13.459999999999999)</f>
        <v>13.46</v>
      </c>
      <c r="AD650" s="48">
        <f>IFERROR(__xludf.DUMMYFUNCTION("""COMPUTED_VALUE"""),76.0)</f>
        <v>76</v>
      </c>
      <c r="AE650" s="48">
        <f>IFERROR(__xludf.DUMMYFUNCTION("""COMPUTED_VALUE"""),75.0)</f>
        <v>75</v>
      </c>
      <c r="AF650" s="48">
        <f>IFERROR(__xludf.DUMMYFUNCTION("""COMPUTED_VALUE"""),72.0)</f>
        <v>72</v>
      </c>
      <c r="AG650" s="48">
        <f>IFERROR(__xludf.DUMMYFUNCTION("""COMPUTED_VALUE"""),74.0)</f>
        <v>74</v>
      </c>
      <c r="AH650" s="48">
        <f>IFERROR(__xludf.DUMMYFUNCTION("""COMPUTED_VALUE"""),70.0)</f>
        <v>70</v>
      </c>
      <c r="AI650" s="14">
        <f>IFERROR(__xludf.DUMMYFUNCTION("""COMPUTED_VALUE"""),73.4)</f>
        <v>73.4</v>
      </c>
      <c r="AJ650" s="14">
        <f>IFERROR(__xludf.DUMMYFUNCTION("""COMPUTED_VALUE"""),7.85)</f>
        <v>7.85</v>
      </c>
      <c r="AK650" s="14">
        <f>IFERROR(__xludf.DUMMYFUNCTION("""COMPUTED_VALUE"""),7.35)</f>
        <v>7.35</v>
      </c>
      <c r="AL650" s="14">
        <f>IFERROR(__xludf.DUMMYFUNCTION("""COMPUTED_VALUE"""),7.17)</f>
        <v>7.17</v>
      </c>
      <c r="AM650" s="14">
        <f>IFERROR(__xludf.DUMMYFUNCTION("""COMPUTED_VALUE"""),7.0)</f>
        <v>7</v>
      </c>
      <c r="AN650" s="14">
        <f>IFERROR(__xludf.DUMMYFUNCTION("""COMPUTED_VALUE"""),7.09)</f>
        <v>7.09</v>
      </c>
      <c r="AO650" s="14">
        <f>IFERROR(__xludf.DUMMYFUNCTION("""COMPUTED_VALUE"""),7.291999999999999)</f>
        <v>7.292</v>
      </c>
      <c r="AP650" s="14">
        <f>IFERROR(__xludf.DUMMYFUNCTION("""COMPUTED_VALUE"""),12.0)</f>
        <v>12</v>
      </c>
      <c r="AQ650" s="14">
        <f>IFERROR(__xludf.DUMMYFUNCTION("""COMPUTED_VALUE"""),22.0)</f>
        <v>22</v>
      </c>
      <c r="AR650" s="14">
        <f>IFERROR(__xludf.DUMMYFUNCTION("""COMPUTED_VALUE"""),14.0)</f>
        <v>14</v>
      </c>
      <c r="AS650" s="14">
        <f>IFERROR(__xludf.DUMMYFUNCTION("""COMPUTED_VALUE"""),1.2)</f>
        <v>1.2</v>
      </c>
      <c r="AT650" s="14">
        <f>IFERROR(__xludf.DUMMYFUNCTION("""COMPUTED_VALUE"""),0.07)</f>
        <v>0.07</v>
      </c>
      <c r="AU650" s="14">
        <f>IFERROR(__xludf.DUMMYFUNCTION("""COMPUTED_VALUE"""),105400.0)</f>
        <v>105400</v>
      </c>
      <c r="AV650" s="14">
        <f>IFERROR(__xludf.DUMMYFUNCTION("""COMPUTED_VALUE"""),0.29)</f>
        <v>0.29</v>
      </c>
      <c r="AW650" s="14">
        <f>IFERROR(__xludf.DUMMYFUNCTION("""COMPUTED_VALUE"""),1.7)</f>
        <v>1.7</v>
      </c>
      <c r="AX650" s="14">
        <f>IFERROR(__xludf.DUMMYFUNCTION("""COMPUTED_VALUE"""),8160.0)</f>
        <v>8160</v>
      </c>
      <c r="AY650" s="14">
        <f>IFERROR(__xludf.DUMMYFUNCTION("""COMPUTED_VALUE"""),0.9)</f>
        <v>0.9</v>
      </c>
      <c r="AZ650" s="14">
        <f>IFERROR(__xludf.DUMMYFUNCTION("""COMPUTED_VALUE"""),0.034)</f>
        <v>0.034</v>
      </c>
      <c r="BA650" s="14">
        <f t="shared" si="1"/>
        <v>2.634</v>
      </c>
    </row>
    <row r="651" ht="14.25" customHeight="1">
      <c r="A651" s="10" t="str">
        <f>IFERROR(__xludf.DUMMYFUNCTION("""COMPUTED_VALUE"""),"120522FE01")</f>
        <v>120522FE01</v>
      </c>
      <c r="B651" s="12" t="str">
        <f>IFERROR(__xludf.DUMMYFUNCTION("""COMPUTED_VALUE"""),"QCH-Cantarrana")</f>
        <v>QCH-Cantarrana</v>
      </c>
      <c r="C651" s="12"/>
      <c r="D651" s="12"/>
      <c r="E651" s="44">
        <f>IFERROR(__xludf.DUMMYFUNCTION("""COMPUTED_VALUE"""),44693.0)</f>
        <v>44693</v>
      </c>
      <c r="F651" s="12" t="str">
        <f>IFERROR(__xludf.DUMMYFUNCTION("""COMPUTED_VALUE"""),"TIPO I")</f>
        <v>TIPO I</v>
      </c>
      <c r="G651" s="12" t="str">
        <f>IFERROR(__xludf.DUMMYFUNCTION("""COMPUTED_VALUE"""),"Se percibe olor y se observa coloración.
Altura: 2670 msnm")</f>
        <v>Se percibe olor y se observa coloración.
Altura: 2670 msnm</v>
      </c>
      <c r="H651" s="45">
        <f>IFERROR(__xludf.DUMMYFUNCTION("""COMPUTED_VALUE"""),0.25)</f>
        <v>0.25</v>
      </c>
      <c r="I651" s="45">
        <f>IFERROR(__xludf.DUMMYFUNCTION("""COMPUTED_VALUE"""),0.3333333333321207)</f>
        <v>0.3333333333</v>
      </c>
      <c r="J651" s="12">
        <f>IFERROR(__xludf.DUMMYFUNCTION("""COMPUTED_VALUE"""),0.9)</f>
        <v>0.9</v>
      </c>
      <c r="K651" s="12">
        <f>IFERROR(__xludf.DUMMYFUNCTION("""COMPUTED_VALUE"""),0.35)</f>
        <v>0.35</v>
      </c>
      <c r="L651" s="14">
        <f>IFERROR(__xludf.DUMMYFUNCTION("""COMPUTED_VALUE"""),88.742)</f>
        <v>88.742</v>
      </c>
      <c r="M651" s="14">
        <f>IFERROR(__xludf.DUMMYFUNCTION("""COMPUTED_VALUE"""),89.717)</f>
        <v>89.717</v>
      </c>
      <c r="N651" s="14">
        <f>IFERROR(__xludf.DUMMYFUNCTION("""COMPUTED_VALUE"""),92.483)</f>
        <v>92.483</v>
      </c>
      <c r="O651" s="14">
        <f>IFERROR(__xludf.DUMMYFUNCTION("""COMPUTED_VALUE"""),90.673)</f>
        <v>90.673</v>
      </c>
      <c r="P651" s="14">
        <f>IFERROR(__xludf.DUMMYFUNCTION("""COMPUTED_VALUE"""),95.105)</f>
        <v>95.105</v>
      </c>
      <c r="Q651" s="14">
        <f>IFERROR(__xludf.DUMMYFUNCTION("""COMPUTED_VALUE"""),91.344)</f>
        <v>91.344</v>
      </c>
      <c r="R651" s="48">
        <f>IFERROR(__xludf.DUMMYFUNCTION("""COMPUTED_VALUE"""),6.78)</f>
        <v>6.78</v>
      </c>
      <c r="S651" s="48">
        <f>IFERROR(__xludf.DUMMYFUNCTION("""COMPUTED_VALUE"""),6.98)</f>
        <v>6.98</v>
      </c>
      <c r="T651" s="48">
        <f>IFERROR(__xludf.DUMMYFUNCTION("""COMPUTED_VALUE"""),6.72)</f>
        <v>6.72</v>
      </c>
      <c r="U651" s="48">
        <f>IFERROR(__xludf.DUMMYFUNCTION("""COMPUTED_VALUE"""),6.4)</f>
        <v>6.4</v>
      </c>
      <c r="V651" s="48">
        <f>IFERROR(__xludf.DUMMYFUNCTION("""COMPUTED_VALUE"""),6.94)</f>
        <v>6.94</v>
      </c>
      <c r="W651" s="14">
        <f>IFERROR(__xludf.DUMMYFUNCTION("""COMPUTED_VALUE"""),6.764)</f>
        <v>6.764</v>
      </c>
      <c r="X651" s="14">
        <f>IFERROR(__xludf.DUMMYFUNCTION("""COMPUTED_VALUE"""),15.3)</f>
        <v>15.3</v>
      </c>
      <c r="Y651" s="14">
        <f>IFERROR(__xludf.DUMMYFUNCTION("""COMPUTED_VALUE"""),14.6)</f>
        <v>14.6</v>
      </c>
      <c r="Z651" s="14">
        <f>IFERROR(__xludf.DUMMYFUNCTION("""COMPUTED_VALUE"""),15.0)</f>
        <v>15</v>
      </c>
      <c r="AA651" s="14">
        <f>IFERROR(__xludf.DUMMYFUNCTION("""COMPUTED_VALUE"""),15.5)</f>
        <v>15.5</v>
      </c>
      <c r="AB651" s="14">
        <f>IFERROR(__xludf.DUMMYFUNCTION("""COMPUTED_VALUE"""),16.5)</f>
        <v>16.5</v>
      </c>
      <c r="AC651" s="14">
        <f>IFERROR(__xludf.DUMMYFUNCTION("""COMPUTED_VALUE"""),15.38)</f>
        <v>15.38</v>
      </c>
      <c r="AD651" s="48">
        <f>IFERROR(__xludf.DUMMYFUNCTION("""COMPUTED_VALUE"""),896.0)</f>
        <v>896</v>
      </c>
      <c r="AE651" s="48">
        <f>IFERROR(__xludf.DUMMYFUNCTION("""COMPUTED_VALUE"""),900.0)</f>
        <v>900</v>
      </c>
      <c r="AF651" s="48">
        <f>IFERROR(__xludf.DUMMYFUNCTION("""COMPUTED_VALUE"""),989.0)</f>
        <v>989</v>
      </c>
      <c r="AG651" s="48">
        <f>IFERROR(__xludf.DUMMYFUNCTION("""COMPUTED_VALUE"""),994.0)</f>
        <v>994</v>
      </c>
      <c r="AH651" s="48">
        <f>IFERROR(__xludf.DUMMYFUNCTION("""COMPUTED_VALUE"""),979.0)</f>
        <v>979</v>
      </c>
      <c r="AI651" s="14">
        <f>IFERROR(__xludf.DUMMYFUNCTION("""COMPUTED_VALUE"""),951.6)</f>
        <v>951.6</v>
      </c>
      <c r="AJ651" s="14">
        <f>IFERROR(__xludf.DUMMYFUNCTION("""COMPUTED_VALUE"""),4.9)</f>
        <v>4.9</v>
      </c>
      <c r="AK651" s="14">
        <f>IFERROR(__xludf.DUMMYFUNCTION("""COMPUTED_VALUE"""),3.5)</f>
        <v>3.5</v>
      </c>
      <c r="AL651" s="14">
        <f>IFERROR(__xludf.DUMMYFUNCTION("""COMPUTED_VALUE"""),3.6)</f>
        <v>3.6</v>
      </c>
      <c r="AM651" s="14">
        <f>IFERROR(__xludf.DUMMYFUNCTION("""COMPUTED_VALUE"""),3.1)</f>
        <v>3.1</v>
      </c>
      <c r="AN651" s="14">
        <f>IFERROR(__xludf.DUMMYFUNCTION("""COMPUTED_VALUE"""),3.3)</f>
        <v>3.3</v>
      </c>
      <c r="AO651" s="14">
        <f>IFERROR(__xludf.DUMMYFUNCTION("""COMPUTED_VALUE"""),3.6799999999999997)</f>
        <v>3.68</v>
      </c>
      <c r="AP651" s="14">
        <f>IFERROR(__xludf.DUMMYFUNCTION("""COMPUTED_VALUE"""),355.0)</f>
        <v>355</v>
      </c>
      <c r="AQ651" s="14">
        <f>IFERROR(__xludf.DUMMYFUNCTION("""COMPUTED_VALUE"""),486.0)</f>
        <v>486</v>
      </c>
      <c r="AR651" s="14">
        <f>IFERROR(__xludf.DUMMYFUNCTION("""COMPUTED_VALUE"""),190.0)</f>
        <v>190</v>
      </c>
      <c r="AS651" s="14">
        <f>IFERROR(__xludf.DUMMYFUNCTION("""COMPUTED_VALUE"""),77.0)</f>
        <v>77</v>
      </c>
      <c r="AT651" s="14">
        <f>IFERROR(__xludf.DUMMYFUNCTION("""COMPUTED_VALUE"""),2.58)</f>
        <v>2.58</v>
      </c>
      <c r="AU651" s="14">
        <f>IFERROR(__xludf.DUMMYFUNCTION("""COMPUTED_VALUE"""),1.674E7)</f>
        <v>16740000</v>
      </c>
      <c r="AV651" s="14">
        <f>IFERROR(__xludf.DUMMYFUNCTION("""COMPUTED_VALUE"""),13.36)</f>
        <v>13.36</v>
      </c>
      <c r="AW651" s="14">
        <f>IFERROR(__xludf.DUMMYFUNCTION("""COMPUTED_VALUE"""),108.1)</f>
        <v>108.1</v>
      </c>
      <c r="AX651" s="14">
        <f>IFERROR(__xludf.DUMMYFUNCTION("""COMPUTED_VALUE"""),1281000.0)</f>
        <v>1281000</v>
      </c>
      <c r="AY651" s="14">
        <f>IFERROR(__xludf.DUMMYFUNCTION("""COMPUTED_VALUE"""),0.4)</f>
        <v>0.4</v>
      </c>
      <c r="AZ651" s="14">
        <f>IFERROR(__xludf.DUMMYFUNCTION("""COMPUTED_VALUE"""),0.007)</f>
        <v>0.007</v>
      </c>
      <c r="BA651" s="14">
        <f t="shared" si="1"/>
        <v>108.507</v>
      </c>
    </row>
    <row r="652" ht="14.25" customHeight="1">
      <c r="A652" s="10" t="str">
        <f>IFERROR(__xludf.DUMMYFUNCTION("""COMPUTED_VALUE"""),"120522FE02")</f>
        <v>120522FE02</v>
      </c>
      <c r="B652" s="12" t="str">
        <f>IFERROR(__xludf.DUMMYFUNCTION("""COMPUTED_VALUE"""),"QCH-La Orquídea")</f>
        <v>QCH-La Orquídea</v>
      </c>
      <c r="C652" s="12"/>
      <c r="D652" s="12"/>
      <c r="E652" s="44">
        <f>IFERROR(__xludf.DUMMYFUNCTION("""COMPUTED_VALUE"""),44693.0)</f>
        <v>44693</v>
      </c>
      <c r="F652" s="12" t="str">
        <f>IFERROR(__xludf.DUMMYFUNCTION("""COMPUTED_VALUE"""),"TIPO I")</f>
        <v>TIPO I</v>
      </c>
      <c r="G652" s="12" t="str">
        <f>IFERROR(__xludf.DUMMYFUNCTION("""COMPUTED_VALUE"""),"Se percibe olor y se observa coloración.
Altura: 2720 msnm")</f>
        <v>Se percibe olor y se observa coloración.
Altura: 2720 msnm</v>
      </c>
      <c r="H652" s="45">
        <f>IFERROR(__xludf.DUMMYFUNCTION("""COMPUTED_VALUE"""),0.4166666666678793)</f>
        <v>0.4166666667</v>
      </c>
      <c r="I652" s="45">
        <f>IFERROR(__xludf.DUMMYFUNCTION("""COMPUTED_VALUE"""),0.5)</f>
        <v>0.5</v>
      </c>
      <c r="J652" s="12">
        <f>IFERROR(__xludf.DUMMYFUNCTION("""COMPUTED_VALUE"""),0.2)</f>
        <v>0.2</v>
      </c>
      <c r="K652" s="12"/>
      <c r="L652" s="14">
        <f>IFERROR(__xludf.DUMMYFUNCTION("""COMPUTED_VALUE"""),1.061)</f>
        <v>1.061</v>
      </c>
      <c r="M652" s="14">
        <f>IFERROR(__xludf.DUMMYFUNCTION("""COMPUTED_VALUE"""),1.016)</f>
        <v>1.016</v>
      </c>
      <c r="N652" s="14">
        <f>IFERROR(__xludf.DUMMYFUNCTION("""COMPUTED_VALUE"""),1.187)</f>
        <v>1.187</v>
      </c>
      <c r="O652" s="14">
        <f>IFERROR(__xludf.DUMMYFUNCTION("""COMPUTED_VALUE"""),0.961)</f>
        <v>0.961</v>
      </c>
      <c r="P652" s="14">
        <f>IFERROR(__xludf.DUMMYFUNCTION("""COMPUTED_VALUE"""),0.898)</f>
        <v>0.898</v>
      </c>
      <c r="Q652" s="14">
        <f>IFERROR(__xludf.DUMMYFUNCTION("""COMPUTED_VALUE"""),1.024)</f>
        <v>1.024</v>
      </c>
      <c r="R652" s="48">
        <f>IFERROR(__xludf.DUMMYFUNCTION("""COMPUTED_VALUE"""),7.0)</f>
        <v>7</v>
      </c>
      <c r="S652" s="48">
        <f>IFERROR(__xludf.DUMMYFUNCTION("""COMPUTED_VALUE"""),7.13)</f>
        <v>7.13</v>
      </c>
      <c r="T652" s="48">
        <f>IFERROR(__xludf.DUMMYFUNCTION("""COMPUTED_VALUE"""),6.45)</f>
        <v>6.45</v>
      </c>
      <c r="U652" s="48">
        <f>IFERROR(__xludf.DUMMYFUNCTION("""COMPUTED_VALUE"""),6.59)</f>
        <v>6.59</v>
      </c>
      <c r="V652" s="48">
        <f>IFERROR(__xludf.DUMMYFUNCTION("""COMPUTED_VALUE"""),6.69)</f>
        <v>6.69</v>
      </c>
      <c r="W652" s="14">
        <f>IFERROR(__xludf.DUMMYFUNCTION("""COMPUTED_VALUE"""),6.772)</f>
        <v>6.772</v>
      </c>
      <c r="X652" s="14">
        <f>IFERROR(__xludf.DUMMYFUNCTION("""COMPUTED_VALUE"""),14.9)</f>
        <v>14.9</v>
      </c>
      <c r="Y652" s="14">
        <f>IFERROR(__xludf.DUMMYFUNCTION("""COMPUTED_VALUE"""),15.2)</f>
        <v>15.2</v>
      </c>
      <c r="Z652" s="14">
        <f>IFERROR(__xludf.DUMMYFUNCTION("""COMPUTED_VALUE"""),15.7)</f>
        <v>15.7</v>
      </c>
      <c r="AA652" s="14">
        <f>IFERROR(__xludf.DUMMYFUNCTION("""COMPUTED_VALUE"""),16.4)</f>
        <v>16.4</v>
      </c>
      <c r="AB652" s="14">
        <f>IFERROR(__xludf.DUMMYFUNCTION("""COMPUTED_VALUE"""),15.3)</f>
        <v>15.3</v>
      </c>
      <c r="AC652" s="14">
        <f>IFERROR(__xludf.DUMMYFUNCTION("""COMPUTED_VALUE"""),15.5)</f>
        <v>15.5</v>
      </c>
      <c r="AD652" s="48">
        <f>IFERROR(__xludf.DUMMYFUNCTION("""COMPUTED_VALUE"""),651.0)</f>
        <v>651</v>
      </c>
      <c r="AE652" s="48">
        <f>IFERROR(__xludf.DUMMYFUNCTION("""COMPUTED_VALUE"""),637.0)</f>
        <v>637</v>
      </c>
      <c r="AF652" s="48">
        <f>IFERROR(__xludf.DUMMYFUNCTION("""COMPUTED_VALUE"""),616.0)</f>
        <v>616</v>
      </c>
      <c r="AG652" s="48">
        <f>IFERROR(__xludf.DUMMYFUNCTION("""COMPUTED_VALUE"""),685.0)</f>
        <v>685</v>
      </c>
      <c r="AH652" s="48">
        <f>IFERROR(__xludf.DUMMYFUNCTION("""COMPUTED_VALUE"""),746.0)</f>
        <v>746</v>
      </c>
      <c r="AI652" s="14">
        <f>IFERROR(__xludf.DUMMYFUNCTION("""COMPUTED_VALUE"""),667.0)</f>
        <v>667</v>
      </c>
      <c r="AJ652" s="14">
        <f>IFERROR(__xludf.DUMMYFUNCTION("""COMPUTED_VALUE"""),4.76)</f>
        <v>4.76</v>
      </c>
      <c r="AK652" s="14">
        <f>IFERROR(__xludf.DUMMYFUNCTION("""COMPUTED_VALUE"""),4.07)</f>
        <v>4.07</v>
      </c>
      <c r="AL652" s="14">
        <f>IFERROR(__xludf.DUMMYFUNCTION("""COMPUTED_VALUE"""),4.01)</f>
        <v>4.01</v>
      </c>
      <c r="AM652" s="14">
        <f>IFERROR(__xludf.DUMMYFUNCTION("""COMPUTED_VALUE"""),4.32)</f>
        <v>4.32</v>
      </c>
      <c r="AN652" s="14">
        <f>IFERROR(__xludf.DUMMYFUNCTION("""COMPUTED_VALUE"""),4.24)</f>
        <v>4.24</v>
      </c>
      <c r="AO652" s="14">
        <f>IFERROR(__xludf.DUMMYFUNCTION("""COMPUTED_VALUE"""),4.279999999999999)</f>
        <v>4.28</v>
      </c>
      <c r="AP652" s="14">
        <f>IFERROR(__xludf.DUMMYFUNCTION("""COMPUTED_VALUE"""),92.0)</f>
        <v>92</v>
      </c>
      <c r="AQ652" s="14">
        <f>IFERROR(__xludf.DUMMYFUNCTION("""COMPUTED_VALUE"""),131.0)</f>
        <v>131</v>
      </c>
      <c r="AR652" s="14">
        <f>IFERROR(__xludf.DUMMYFUNCTION("""COMPUTED_VALUE"""),68.0)</f>
        <v>68</v>
      </c>
      <c r="AS652" s="14">
        <f>IFERROR(__xludf.DUMMYFUNCTION("""COMPUTED_VALUE"""),1.2)</f>
        <v>1.2</v>
      </c>
      <c r="AT652" s="14">
        <f>IFERROR(__xludf.DUMMYFUNCTION("""COMPUTED_VALUE"""),0.07)</f>
        <v>0.07</v>
      </c>
      <c r="AU652" s="14">
        <f>IFERROR(__xludf.DUMMYFUNCTION("""COMPUTED_VALUE"""),1951000.0)</f>
        <v>1951000</v>
      </c>
      <c r="AV652" s="14">
        <f>IFERROR(__xludf.DUMMYFUNCTION("""COMPUTED_VALUE"""),0.93)</f>
        <v>0.93</v>
      </c>
      <c r="AW652" s="14">
        <f>IFERROR(__xludf.DUMMYFUNCTION("""COMPUTED_VALUE"""),11.8)</f>
        <v>11.8</v>
      </c>
      <c r="AX652" s="14">
        <f>IFERROR(__xludf.DUMMYFUNCTION("""COMPUTED_VALUE"""),98100.0)</f>
        <v>98100</v>
      </c>
      <c r="AY652" s="14">
        <f>IFERROR(__xludf.DUMMYFUNCTION("""COMPUTED_VALUE"""),1.3)</f>
        <v>1.3</v>
      </c>
      <c r="AZ652" s="14">
        <f>IFERROR(__xludf.DUMMYFUNCTION("""COMPUTED_VALUE"""),0.644)</f>
        <v>0.644</v>
      </c>
      <c r="BA652" s="14">
        <f t="shared" si="1"/>
        <v>13.744</v>
      </c>
    </row>
    <row r="653" ht="14.25" customHeight="1">
      <c r="A653" s="10" t="str">
        <f>IFERROR(__xludf.DUMMYFUNCTION("""COMPUTED_VALUE"""),"120522WI01")</f>
        <v>120522WI01</v>
      </c>
      <c r="B653" s="12" t="str">
        <f>IFERROR(__xludf.DUMMYFUNCTION("""COMPUTED_VALUE"""),"QSL-Barranquillita")</f>
        <v>QSL-Barranquillita</v>
      </c>
      <c r="C653" s="12"/>
      <c r="D653" s="12"/>
      <c r="E653" s="44">
        <f>IFERROR(__xludf.DUMMYFUNCTION("""COMPUTED_VALUE"""),44693.0)</f>
        <v>44693</v>
      </c>
      <c r="F653" s="12" t="str">
        <f>IFERROR(__xludf.DUMMYFUNCTION("""COMPUTED_VALUE"""),"TIPO I")</f>
        <v>TIPO I</v>
      </c>
      <c r="G653" s="12" t="str">
        <f>IFERROR(__xludf.DUMMYFUNCTION("""COMPUTED_VALUE"""),"Se presenta un canal natural, se percibe olor y se observa color. ")</f>
        <v>Se presenta un canal natural, se percibe olor y se observa color. </v>
      </c>
      <c r="H653" s="45">
        <f>IFERROR(__xludf.DUMMYFUNCTION("""COMPUTED_VALUE"""),0.25)</f>
        <v>0.25</v>
      </c>
      <c r="I653" s="45">
        <f>IFERROR(__xludf.DUMMYFUNCTION("""COMPUTED_VALUE"""),0.3333333333321207)</f>
        <v>0.3333333333</v>
      </c>
      <c r="J653" s="12">
        <f>IFERROR(__xludf.DUMMYFUNCTION("""COMPUTED_VALUE"""),1.0)</f>
        <v>1</v>
      </c>
      <c r="K653" s="12">
        <f>IFERROR(__xludf.DUMMYFUNCTION("""COMPUTED_VALUE"""),0.31)</f>
        <v>0.31</v>
      </c>
      <c r="L653" s="14">
        <f>IFERROR(__xludf.DUMMYFUNCTION("""COMPUTED_VALUE"""),43.989)</f>
        <v>43.989</v>
      </c>
      <c r="M653" s="14">
        <f>IFERROR(__xludf.DUMMYFUNCTION("""COMPUTED_VALUE"""),46.141)</f>
        <v>46.141</v>
      </c>
      <c r="N653" s="14">
        <f>IFERROR(__xludf.DUMMYFUNCTION("""COMPUTED_VALUE"""),48.641)</f>
        <v>48.641</v>
      </c>
      <c r="O653" s="14">
        <f>IFERROR(__xludf.DUMMYFUNCTION("""COMPUTED_VALUE"""),48.593)</f>
        <v>48.593</v>
      </c>
      <c r="P653" s="14">
        <f>IFERROR(__xludf.DUMMYFUNCTION("""COMPUTED_VALUE"""),48.689)</f>
        <v>48.689</v>
      </c>
      <c r="Q653" s="14">
        <f>IFERROR(__xludf.DUMMYFUNCTION("""COMPUTED_VALUE"""),47.211)</f>
        <v>47.211</v>
      </c>
      <c r="R653" s="48">
        <f>IFERROR(__xludf.DUMMYFUNCTION("""COMPUTED_VALUE"""),7.78)</f>
        <v>7.78</v>
      </c>
      <c r="S653" s="48">
        <f>IFERROR(__xludf.DUMMYFUNCTION("""COMPUTED_VALUE"""),7.14)</f>
        <v>7.14</v>
      </c>
      <c r="T653" s="48">
        <f>IFERROR(__xludf.DUMMYFUNCTION("""COMPUTED_VALUE"""),7.12)</f>
        <v>7.12</v>
      </c>
      <c r="U653" s="48">
        <f>IFERROR(__xludf.DUMMYFUNCTION("""COMPUTED_VALUE"""),7.56)</f>
        <v>7.56</v>
      </c>
      <c r="V653" s="48">
        <f>IFERROR(__xludf.DUMMYFUNCTION("""COMPUTED_VALUE"""),7.59)</f>
        <v>7.59</v>
      </c>
      <c r="W653" s="14">
        <f>IFERROR(__xludf.DUMMYFUNCTION("""COMPUTED_VALUE"""),7.438)</f>
        <v>7.438</v>
      </c>
      <c r="X653" s="14">
        <f>IFERROR(__xludf.DUMMYFUNCTION("""COMPUTED_VALUE"""),13.1)</f>
        <v>13.1</v>
      </c>
      <c r="Y653" s="14">
        <f>IFERROR(__xludf.DUMMYFUNCTION("""COMPUTED_VALUE"""),13.1)</f>
        <v>13.1</v>
      </c>
      <c r="Z653" s="14">
        <f>IFERROR(__xludf.DUMMYFUNCTION("""COMPUTED_VALUE"""),13.1)</f>
        <v>13.1</v>
      </c>
      <c r="AA653" s="14">
        <f>IFERROR(__xludf.DUMMYFUNCTION("""COMPUTED_VALUE"""),13.2)</f>
        <v>13.2</v>
      </c>
      <c r="AB653" s="14">
        <f>IFERROR(__xludf.DUMMYFUNCTION("""COMPUTED_VALUE"""),13.2)</f>
        <v>13.2</v>
      </c>
      <c r="AC653" s="14">
        <f>IFERROR(__xludf.DUMMYFUNCTION("""COMPUTED_VALUE"""),13.14)</f>
        <v>13.14</v>
      </c>
      <c r="AD653" s="48">
        <f>IFERROR(__xludf.DUMMYFUNCTION("""COMPUTED_VALUE"""),232.0)</f>
        <v>232</v>
      </c>
      <c r="AE653" s="48">
        <f>IFERROR(__xludf.DUMMYFUNCTION("""COMPUTED_VALUE"""),241.0)</f>
        <v>241</v>
      </c>
      <c r="AF653" s="48">
        <f>IFERROR(__xludf.DUMMYFUNCTION("""COMPUTED_VALUE"""),242.0)</f>
        <v>242</v>
      </c>
      <c r="AG653" s="48">
        <f>IFERROR(__xludf.DUMMYFUNCTION("""COMPUTED_VALUE"""),256.0)</f>
        <v>256</v>
      </c>
      <c r="AH653" s="48">
        <f>IFERROR(__xludf.DUMMYFUNCTION("""COMPUTED_VALUE"""),257.0)</f>
        <v>257</v>
      </c>
      <c r="AI653" s="14">
        <f>IFERROR(__xludf.DUMMYFUNCTION("""COMPUTED_VALUE"""),245.6)</f>
        <v>245.6</v>
      </c>
      <c r="AJ653" s="14">
        <f>IFERROR(__xludf.DUMMYFUNCTION("""COMPUTED_VALUE"""),7.2)</f>
        <v>7.2</v>
      </c>
      <c r="AK653" s="14">
        <f>IFERROR(__xludf.DUMMYFUNCTION("""COMPUTED_VALUE"""),7.14)</f>
        <v>7.14</v>
      </c>
      <c r="AL653" s="14">
        <f>IFERROR(__xludf.DUMMYFUNCTION("""COMPUTED_VALUE"""),7.19)</f>
        <v>7.19</v>
      </c>
      <c r="AM653" s="14">
        <f>IFERROR(__xludf.DUMMYFUNCTION("""COMPUTED_VALUE"""),7.07)</f>
        <v>7.07</v>
      </c>
      <c r="AN653" s="14">
        <f>IFERROR(__xludf.DUMMYFUNCTION("""COMPUTED_VALUE"""),7.11)</f>
        <v>7.11</v>
      </c>
      <c r="AO653" s="14">
        <f>IFERROR(__xludf.DUMMYFUNCTION("""COMPUTED_VALUE"""),7.142)</f>
        <v>7.142</v>
      </c>
      <c r="AP653" s="14">
        <f>IFERROR(__xludf.DUMMYFUNCTION("""COMPUTED_VALUE"""),22.0)</f>
        <v>22</v>
      </c>
      <c r="AQ653" s="14">
        <f>IFERROR(__xludf.DUMMYFUNCTION("""COMPUTED_VALUE"""),38.0)</f>
        <v>38</v>
      </c>
      <c r="AR653" s="14">
        <f>IFERROR(__xludf.DUMMYFUNCTION("""COMPUTED_VALUE"""),35.0)</f>
        <v>35</v>
      </c>
      <c r="AS653" s="14">
        <f>IFERROR(__xludf.DUMMYFUNCTION("""COMPUTED_VALUE"""),1.2)</f>
        <v>1.2</v>
      </c>
      <c r="AT653" s="14">
        <f>IFERROR(__xludf.DUMMYFUNCTION("""COMPUTED_VALUE"""),0.07)</f>
        <v>0.07</v>
      </c>
      <c r="AU653" s="14">
        <f>IFERROR(__xludf.DUMMYFUNCTION("""COMPUTED_VALUE"""),80800.0)</f>
        <v>80800</v>
      </c>
      <c r="AV653" s="14">
        <f>IFERROR(__xludf.DUMMYFUNCTION("""COMPUTED_VALUE"""),0.86)</f>
        <v>0.86</v>
      </c>
      <c r="AW653" s="14">
        <f>IFERROR(__xludf.DUMMYFUNCTION("""COMPUTED_VALUE"""),10.1)</f>
        <v>10.1</v>
      </c>
      <c r="AX653" s="14">
        <f>IFERROR(__xludf.DUMMYFUNCTION("""COMPUTED_VALUE"""),64000.0)</f>
        <v>64000</v>
      </c>
      <c r="AY653" s="14">
        <f>IFERROR(__xludf.DUMMYFUNCTION("""COMPUTED_VALUE"""),1.8)</f>
        <v>1.8</v>
      </c>
      <c r="AZ653" s="14">
        <f>IFERROR(__xludf.DUMMYFUNCTION("""COMPUTED_VALUE"""),0.083)</f>
        <v>0.083</v>
      </c>
      <c r="BA653" s="14">
        <f t="shared" si="1"/>
        <v>11.983</v>
      </c>
    </row>
    <row r="654" ht="14.25" customHeight="1">
      <c r="A654" s="10" t="str">
        <f>IFERROR(__xludf.DUMMYFUNCTION("""COMPUTED_VALUE"""),"120522WI02")</f>
        <v>120522WI02</v>
      </c>
      <c r="B654" s="12" t="str">
        <f>IFERROR(__xludf.DUMMYFUNCTION("""COMPUTED_VALUE"""),"QSL-Portal Usme")</f>
        <v>QSL-Portal Usme</v>
      </c>
      <c r="C654" s="12"/>
      <c r="D654" s="12"/>
      <c r="E654" s="44">
        <f>IFERROR(__xludf.DUMMYFUNCTION("""COMPUTED_VALUE"""),44693.0)</f>
        <v>44693</v>
      </c>
      <c r="F654" s="12" t="str">
        <f>IFERROR(__xludf.DUMMYFUNCTION("""COMPUTED_VALUE"""),"TIPO I")</f>
        <v>TIPO I</v>
      </c>
      <c r="G654" s="12" t="str">
        <f>IFERROR(__xludf.DUMMYFUNCTION("""COMPUTED_VALUE"""),"Se presenta un canal en concreto. Se percibe olor y se observa color. ")</f>
        <v>Se presenta un canal en concreto. Se percibe olor y se observa color. </v>
      </c>
      <c r="H654" s="45">
        <f>IFERROR(__xludf.DUMMYFUNCTION("""COMPUTED_VALUE"""),0.4166666666678793)</f>
        <v>0.4166666667</v>
      </c>
      <c r="I654" s="45">
        <f>IFERROR(__xludf.DUMMYFUNCTION("""COMPUTED_VALUE"""),0.5)</f>
        <v>0.5</v>
      </c>
      <c r="J654" s="12">
        <f>IFERROR(__xludf.DUMMYFUNCTION("""COMPUTED_VALUE"""),1.7)</f>
        <v>1.7</v>
      </c>
      <c r="K654" s="12">
        <f>IFERROR(__xludf.DUMMYFUNCTION("""COMPUTED_VALUE"""),0.35)</f>
        <v>0.35</v>
      </c>
      <c r="L654" s="14">
        <f>IFERROR(__xludf.DUMMYFUNCTION("""COMPUTED_VALUE"""),112.713)</f>
        <v>112.713</v>
      </c>
      <c r="M654" s="14">
        <f>IFERROR(__xludf.DUMMYFUNCTION("""COMPUTED_VALUE"""),116.386)</f>
        <v>116.386</v>
      </c>
      <c r="N654" s="14">
        <f>IFERROR(__xludf.DUMMYFUNCTION("""COMPUTED_VALUE"""),115.618)</f>
        <v>115.618</v>
      </c>
      <c r="O654" s="14">
        <f>IFERROR(__xludf.DUMMYFUNCTION("""COMPUTED_VALUE"""),113.451)</f>
        <v>113.451</v>
      </c>
      <c r="P654" s="14">
        <f>IFERROR(__xludf.DUMMYFUNCTION("""COMPUTED_VALUE"""),111.85)</f>
        <v>111.85</v>
      </c>
      <c r="Q654" s="14">
        <f>IFERROR(__xludf.DUMMYFUNCTION("""COMPUTED_VALUE"""),114.004)</f>
        <v>114.004</v>
      </c>
      <c r="R654" s="48">
        <f>IFERROR(__xludf.DUMMYFUNCTION("""COMPUTED_VALUE"""),7.65)</f>
        <v>7.65</v>
      </c>
      <c r="S654" s="48">
        <f>IFERROR(__xludf.DUMMYFUNCTION("""COMPUTED_VALUE"""),7.51)</f>
        <v>7.51</v>
      </c>
      <c r="T654" s="48">
        <f>IFERROR(__xludf.DUMMYFUNCTION("""COMPUTED_VALUE"""),7.49)</f>
        <v>7.49</v>
      </c>
      <c r="U654" s="48">
        <f>IFERROR(__xludf.DUMMYFUNCTION("""COMPUTED_VALUE"""),7.49)</f>
        <v>7.49</v>
      </c>
      <c r="V654" s="48">
        <f>IFERROR(__xludf.DUMMYFUNCTION("""COMPUTED_VALUE"""),7.47)</f>
        <v>7.47</v>
      </c>
      <c r="W654" s="14">
        <f>IFERROR(__xludf.DUMMYFUNCTION("""COMPUTED_VALUE"""),7.522)</f>
        <v>7.522</v>
      </c>
      <c r="X654" s="14">
        <f>IFERROR(__xludf.DUMMYFUNCTION("""COMPUTED_VALUE"""),14.7)</f>
        <v>14.7</v>
      </c>
      <c r="Y654" s="14">
        <f>IFERROR(__xludf.DUMMYFUNCTION("""COMPUTED_VALUE"""),15.2)</f>
        <v>15.2</v>
      </c>
      <c r="Z654" s="14">
        <f>IFERROR(__xludf.DUMMYFUNCTION("""COMPUTED_VALUE"""),15.3)</f>
        <v>15.3</v>
      </c>
      <c r="AA654" s="14">
        <f>IFERROR(__xludf.DUMMYFUNCTION("""COMPUTED_VALUE"""),15.3)</f>
        <v>15.3</v>
      </c>
      <c r="AB654" s="14">
        <f>IFERROR(__xludf.DUMMYFUNCTION("""COMPUTED_VALUE"""),15.4)</f>
        <v>15.4</v>
      </c>
      <c r="AC654" s="14">
        <f>IFERROR(__xludf.DUMMYFUNCTION("""COMPUTED_VALUE"""),15.180000000000001)</f>
        <v>15.18</v>
      </c>
      <c r="AD654" s="48">
        <f>IFERROR(__xludf.DUMMYFUNCTION("""COMPUTED_VALUE"""),333.0)</f>
        <v>333</v>
      </c>
      <c r="AE654" s="48">
        <f>IFERROR(__xludf.DUMMYFUNCTION("""COMPUTED_VALUE"""),340.0)</f>
        <v>340</v>
      </c>
      <c r="AF654" s="48">
        <f>IFERROR(__xludf.DUMMYFUNCTION("""COMPUTED_VALUE"""),338.0)</f>
        <v>338</v>
      </c>
      <c r="AG654" s="48">
        <f>IFERROR(__xludf.DUMMYFUNCTION("""COMPUTED_VALUE"""),347.0)</f>
        <v>347</v>
      </c>
      <c r="AH654" s="48">
        <f>IFERROR(__xludf.DUMMYFUNCTION("""COMPUTED_VALUE"""),335.0)</f>
        <v>335</v>
      </c>
      <c r="AI654" s="14">
        <f>IFERROR(__xludf.DUMMYFUNCTION("""COMPUTED_VALUE"""),338.6)</f>
        <v>338.6</v>
      </c>
      <c r="AJ654" s="14">
        <f>IFERROR(__xludf.DUMMYFUNCTION("""COMPUTED_VALUE"""),1.5)</f>
        <v>1.5</v>
      </c>
      <c r="AK654" s="14">
        <f>IFERROR(__xludf.DUMMYFUNCTION("""COMPUTED_VALUE"""),1.66)</f>
        <v>1.66</v>
      </c>
      <c r="AL654" s="14">
        <f>IFERROR(__xludf.DUMMYFUNCTION("""COMPUTED_VALUE"""),1.22)</f>
        <v>1.22</v>
      </c>
      <c r="AM654" s="14">
        <f>IFERROR(__xludf.DUMMYFUNCTION("""COMPUTED_VALUE"""),1.35)</f>
        <v>1.35</v>
      </c>
      <c r="AN654" s="14">
        <f>IFERROR(__xludf.DUMMYFUNCTION("""COMPUTED_VALUE"""),1.22)</f>
        <v>1.22</v>
      </c>
      <c r="AO654" s="14">
        <f>IFERROR(__xludf.DUMMYFUNCTION("""COMPUTED_VALUE"""),1.3900000000000001)</f>
        <v>1.39</v>
      </c>
      <c r="AP654" s="14">
        <f>IFERROR(__xludf.DUMMYFUNCTION("""COMPUTED_VALUE"""),44.0)</f>
        <v>44</v>
      </c>
      <c r="AQ654" s="14">
        <f>IFERROR(__xludf.DUMMYFUNCTION("""COMPUTED_VALUE"""),73.0)</f>
        <v>73</v>
      </c>
      <c r="AR654" s="14">
        <f>IFERROR(__xludf.DUMMYFUNCTION("""COMPUTED_VALUE"""),68.0)</f>
        <v>68</v>
      </c>
      <c r="AS654" s="14">
        <f>IFERROR(__xludf.DUMMYFUNCTION("""COMPUTED_VALUE"""),1.2)</f>
        <v>1.2</v>
      </c>
      <c r="AT654" s="14">
        <f>IFERROR(__xludf.DUMMYFUNCTION("""COMPUTED_VALUE"""),0.91)</f>
        <v>0.91</v>
      </c>
      <c r="AU654" s="14">
        <f>IFERROR(__xludf.DUMMYFUNCTION("""COMPUTED_VALUE"""),826000.0)</f>
        <v>826000</v>
      </c>
      <c r="AV654" s="14">
        <f>IFERROR(__xludf.DUMMYFUNCTION("""COMPUTED_VALUE"""),1.38)</f>
        <v>1.38</v>
      </c>
      <c r="AW654" s="14">
        <f>IFERROR(__xludf.DUMMYFUNCTION("""COMPUTED_VALUE"""),16.5)</f>
        <v>16.5</v>
      </c>
      <c r="AX654" s="14">
        <f>IFERROR(__xludf.DUMMYFUNCTION("""COMPUTED_VALUE"""),59500.0)</f>
        <v>59500</v>
      </c>
      <c r="AY654" s="14">
        <f>IFERROR(__xludf.DUMMYFUNCTION("""COMPUTED_VALUE"""),0.4)</f>
        <v>0.4</v>
      </c>
      <c r="AZ654" s="14">
        <f>IFERROR(__xludf.DUMMYFUNCTION("""COMPUTED_VALUE"""),0.007)</f>
        <v>0.007</v>
      </c>
      <c r="BA654" s="14">
        <f t="shared" si="1"/>
        <v>16.907</v>
      </c>
    </row>
    <row r="655" ht="14.25" customHeight="1">
      <c r="A655" s="10" t="str">
        <f>IFERROR(__xludf.DUMMYFUNCTION("""COMPUTED_VALUE"""),"120522WI03")</f>
        <v>120522WI03</v>
      </c>
      <c r="B655" s="12" t="str">
        <f>IFERROR(__xludf.DUMMYFUNCTION("""COMPUTED_VALUE"""),"QSL-Alfonso López")</f>
        <v>QSL-Alfonso López</v>
      </c>
      <c r="C655" s="12"/>
      <c r="D655" s="12"/>
      <c r="E655" s="44">
        <f>IFERROR(__xludf.DUMMYFUNCTION("""COMPUTED_VALUE"""),44693.0)</f>
        <v>44693</v>
      </c>
      <c r="F655" s="12" t="str">
        <f>IFERROR(__xludf.DUMMYFUNCTION("""COMPUTED_VALUE"""),"TIPO I")</f>
        <v>TIPO I</v>
      </c>
      <c r="G655" s="12" t="str">
        <f>IFERROR(__xludf.DUMMYFUNCTION("""COMPUTED_VALUE"""),"Se presenta un canal natural, se percibe olor y se observa color, además de residuos solidos en la margen izquierda del lecho. ")</f>
        <v>Se presenta un canal natural, se percibe olor y se observa color, además de residuos solidos en la margen izquierda del lecho. </v>
      </c>
      <c r="H655" s="45">
        <f>IFERROR(__xludf.DUMMYFUNCTION("""COMPUTED_VALUE"""),0.5833333333321207)</f>
        <v>0.5833333333</v>
      </c>
      <c r="I655" s="45">
        <f>IFERROR(__xludf.DUMMYFUNCTION("""COMPUTED_VALUE"""),0.6666666666678793)</f>
        <v>0.6666666667</v>
      </c>
      <c r="J655" s="12">
        <f>IFERROR(__xludf.DUMMYFUNCTION("""COMPUTED_VALUE"""),1.3)</f>
        <v>1.3</v>
      </c>
      <c r="K655" s="12">
        <f>IFERROR(__xludf.DUMMYFUNCTION("""COMPUTED_VALUE"""),0.15)</f>
        <v>0.15</v>
      </c>
      <c r="L655" s="14">
        <f>IFERROR(__xludf.DUMMYFUNCTION("""COMPUTED_VALUE"""),28.337)</f>
        <v>28.337</v>
      </c>
      <c r="M655" s="14">
        <f>IFERROR(__xludf.DUMMYFUNCTION("""COMPUTED_VALUE"""),28.687)</f>
        <v>28.687</v>
      </c>
      <c r="N655" s="14">
        <f>IFERROR(__xludf.DUMMYFUNCTION("""COMPUTED_VALUE"""),27.27)</f>
        <v>27.27</v>
      </c>
      <c r="O655" s="14">
        <f>IFERROR(__xludf.DUMMYFUNCTION("""COMPUTED_VALUE"""),29.196)</f>
        <v>29.196</v>
      </c>
      <c r="P655" s="14">
        <f>IFERROR(__xludf.DUMMYFUNCTION("""COMPUTED_VALUE"""),28.319)</f>
        <v>28.319</v>
      </c>
      <c r="Q655" s="14">
        <f>IFERROR(__xludf.DUMMYFUNCTION("""COMPUTED_VALUE"""),28.362)</f>
        <v>28.362</v>
      </c>
      <c r="R655" s="48">
        <f>IFERROR(__xludf.DUMMYFUNCTION("""COMPUTED_VALUE"""),7.63)</f>
        <v>7.63</v>
      </c>
      <c r="S655" s="48">
        <f>IFERROR(__xludf.DUMMYFUNCTION("""COMPUTED_VALUE"""),7.67)</f>
        <v>7.67</v>
      </c>
      <c r="T655" s="48">
        <f>IFERROR(__xludf.DUMMYFUNCTION("""COMPUTED_VALUE"""),7.66)</f>
        <v>7.66</v>
      </c>
      <c r="U655" s="48">
        <f>IFERROR(__xludf.DUMMYFUNCTION("""COMPUTED_VALUE"""),7.75)</f>
        <v>7.75</v>
      </c>
      <c r="V655" s="48">
        <f>IFERROR(__xludf.DUMMYFUNCTION("""COMPUTED_VALUE"""),7.74)</f>
        <v>7.74</v>
      </c>
      <c r="W655" s="14">
        <f>IFERROR(__xludf.DUMMYFUNCTION("""COMPUTED_VALUE"""),7.69)</f>
        <v>7.69</v>
      </c>
      <c r="X655" s="14">
        <f>IFERROR(__xludf.DUMMYFUNCTION("""COMPUTED_VALUE"""),13.4)</f>
        <v>13.4</v>
      </c>
      <c r="Y655" s="14">
        <f>IFERROR(__xludf.DUMMYFUNCTION("""COMPUTED_VALUE"""),13.4)</f>
        <v>13.4</v>
      </c>
      <c r="Z655" s="14">
        <f>IFERROR(__xludf.DUMMYFUNCTION("""COMPUTED_VALUE"""),13.5)</f>
        <v>13.5</v>
      </c>
      <c r="AA655" s="14">
        <f>IFERROR(__xludf.DUMMYFUNCTION("""COMPUTED_VALUE"""),13.5)</f>
        <v>13.5</v>
      </c>
      <c r="AB655" s="14">
        <f>IFERROR(__xludf.DUMMYFUNCTION("""COMPUTED_VALUE"""),13.6)</f>
        <v>13.6</v>
      </c>
      <c r="AC655" s="14">
        <f>IFERROR(__xludf.DUMMYFUNCTION("""COMPUTED_VALUE"""),13.479999999999999)</f>
        <v>13.48</v>
      </c>
      <c r="AD655" s="48">
        <f>IFERROR(__xludf.DUMMYFUNCTION("""COMPUTED_VALUE"""),234.0)</f>
        <v>234</v>
      </c>
      <c r="AE655" s="48">
        <f>IFERROR(__xludf.DUMMYFUNCTION("""COMPUTED_VALUE"""),234.0)</f>
        <v>234</v>
      </c>
      <c r="AF655" s="48">
        <f>IFERROR(__xludf.DUMMYFUNCTION("""COMPUTED_VALUE"""),236.0)</f>
        <v>236</v>
      </c>
      <c r="AG655" s="48">
        <f>IFERROR(__xludf.DUMMYFUNCTION("""COMPUTED_VALUE"""),173.0)</f>
        <v>173</v>
      </c>
      <c r="AH655" s="48">
        <f>IFERROR(__xludf.DUMMYFUNCTION("""COMPUTED_VALUE"""),221.0)</f>
        <v>221</v>
      </c>
      <c r="AI655" s="14">
        <f>IFERROR(__xludf.DUMMYFUNCTION("""COMPUTED_VALUE"""),219.6)</f>
        <v>219.6</v>
      </c>
      <c r="AJ655" s="14">
        <f>IFERROR(__xludf.DUMMYFUNCTION("""COMPUTED_VALUE"""),7.2)</f>
        <v>7.2</v>
      </c>
      <c r="AK655" s="14">
        <f>IFERROR(__xludf.DUMMYFUNCTION("""COMPUTED_VALUE"""),7.19)</f>
        <v>7.19</v>
      </c>
      <c r="AL655" s="14">
        <f>IFERROR(__xludf.DUMMYFUNCTION("""COMPUTED_VALUE"""),7.11)</f>
        <v>7.11</v>
      </c>
      <c r="AM655" s="14">
        <f>IFERROR(__xludf.DUMMYFUNCTION("""COMPUTED_VALUE"""),6.87)</f>
        <v>6.87</v>
      </c>
      <c r="AN655" s="14">
        <f>IFERROR(__xludf.DUMMYFUNCTION("""COMPUTED_VALUE"""),7.43)</f>
        <v>7.43</v>
      </c>
      <c r="AO655" s="14">
        <f>IFERROR(__xludf.DUMMYFUNCTION("""COMPUTED_VALUE"""),7.159999999999999)</f>
        <v>7.16</v>
      </c>
      <c r="AP655" s="14">
        <f>IFERROR(__xludf.DUMMYFUNCTION("""COMPUTED_VALUE"""),8.0)</f>
        <v>8</v>
      </c>
      <c r="AQ655" s="14">
        <f>IFERROR(__xludf.DUMMYFUNCTION("""COMPUTED_VALUE"""),14.0)</f>
        <v>14</v>
      </c>
      <c r="AR655" s="14">
        <f>IFERROR(__xludf.DUMMYFUNCTION("""COMPUTED_VALUE"""),34.0)</f>
        <v>34</v>
      </c>
      <c r="AS655" s="14">
        <f>IFERROR(__xludf.DUMMYFUNCTION("""COMPUTED_VALUE"""),1.2)</f>
        <v>1.2</v>
      </c>
      <c r="AT655" s="14">
        <f>IFERROR(__xludf.DUMMYFUNCTION("""COMPUTED_VALUE"""),0.07)</f>
        <v>0.07</v>
      </c>
      <c r="AU655" s="14">
        <f>IFERROR(__xludf.DUMMYFUNCTION("""COMPUTED_VALUE"""),18350.0)</f>
        <v>18350</v>
      </c>
      <c r="AV655" s="14">
        <f>IFERROR(__xludf.DUMMYFUNCTION("""COMPUTED_VALUE"""),0.32)</f>
        <v>0.32</v>
      </c>
      <c r="AW655" s="14">
        <f>IFERROR(__xludf.DUMMYFUNCTION("""COMPUTED_VALUE"""),4.2)</f>
        <v>4.2</v>
      </c>
      <c r="AX655" s="14">
        <f>IFERROR(__xludf.DUMMYFUNCTION("""COMPUTED_VALUE"""),7430.0)</f>
        <v>7430</v>
      </c>
      <c r="AY655" s="14">
        <f>IFERROR(__xludf.DUMMYFUNCTION("""COMPUTED_VALUE"""),4.1)</f>
        <v>4.1</v>
      </c>
      <c r="AZ655" s="14">
        <f>IFERROR(__xludf.DUMMYFUNCTION("""COMPUTED_VALUE"""),0.348)</f>
        <v>0.348</v>
      </c>
      <c r="BA655" s="14">
        <f t="shared" si="1"/>
        <v>8.648</v>
      </c>
    </row>
    <row r="656" ht="14.25" customHeight="1">
      <c r="A656" s="10" t="str">
        <f>IFERROR(__xludf.DUMMYFUNCTION("""COMPUTED_VALUE"""),"130522AN01")</f>
        <v>130522AN01</v>
      </c>
      <c r="B656" s="12" t="str">
        <f>IFERROR(__xludf.DUMMYFUNCTION("""COMPUTED_VALUE"""),"QZA-Entre Nubes")</f>
        <v>QZA-Entre Nubes</v>
      </c>
      <c r="C656" s="12"/>
      <c r="D656" s="12"/>
      <c r="E656" s="44">
        <f>IFERROR(__xludf.DUMMYFUNCTION("""COMPUTED_VALUE"""),44694.0)</f>
        <v>44694</v>
      </c>
      <c r="F656" s="12" t="str">
        <f>IFERROR(__xludf.DUMMYFUNCTION("""COMPUTED_VALUE"""),"TIPO I")</f>
        <v>TIPO I</v>
      </c>
      <c r="G656" s="12" t="str">
        <f>IFERROR(__xludf.DUMMYFUNCTION("""COMPUTED_VALUE"""),"Se presenta un canal natural con lecho rocoso, se observa color y residuos solidos en las márgenes del cauce; además se percibe olor. 
Solo se realizan 3 tomas ya que se presentan lluvias fuertes.")</f>
        <v>Se presenta un canal natural con lecho rocoso, se observa color y residuos solidos en las márgenes del cauce; además se percibe olor. 
Solo se realizan 3 tomas ya que se presentan lluvias fuertes.</v>
      </c>
      <c r="H656" s="45">
        <f>IFERROR(__xludf.DUMMYFUNCTION("""COMPUTED_VALUE"""),0.25)</f>
        <v>0.25</v>
      </c>
      <c r="I656" s="45">
        <f>IFERROR(__xludf.DUMMYFUNCTION("""COMPUTED_VALUE"""),0.3333333333321207)</f>
        <v>0.3333333333</v>
      </c>
      <c r="J656" s="12">
        <f>IFERROR(__xludf.DUMMYFUNCTION("""COMPUTED_VALUE"""),4.0)</f>
        <v>4</v>
      </c>
      <c r="K656" s="12">
        <f>IFERROR(__xludf.DUMMYFUNCTION("""COMPUTED_VALUE"""),0.34)</f>
        <v>0.34</v>
      </c>
      <c r="L656" s="14">
        <f>IFERROR(__xludf.DUMMYFUNCTION("""COMPUTED_VALUE"""),170.278)</f>
        <v>170.278</v>
      </c>
      <c r="M656" s="14">
        <f>IFERROR(__xludf.DUMMYFUNCTION("""COMPUTED_VALUE"""),172.22)</f>
        <v>172.22</v>
      </c>
      <c r="N656" s="14">
        <f>IFERROR(__xludf.DUMMYFUNCTION("""COMPUTED_VALUE"""),170.234)</f>
        <v>170.234</v>
      </c>
      <c r="O656" s="14"/>
      <c r="P656" s="14"/>
      <c r="Q656" s="14">
        <f>IFERROR(__xludf.DUMMYFUNCTION("""COMPUTED_VALUE"""),170.911)</f>
        <v>170.911</v>
      </c>
      <c r="R656" s="48">
        <f>IFERROR(__xludf.DUMMYFUNCTION("""COMPUTED_VALUE"""),7.79)</f>
        <v>7.79</v>
      </c>
      <c r="S656" s="48">
        <f>IFERROR(__xludf.DUMMYFUNCTION("""COMPUTED_VALUE"""),7.77)</f>
        <v>7.77</v>
      </c>
      <c r="T656" s="48">
        <f>IFERROR(__xludf.DUMMYFUNCTION("""COMPUTED_VALUE"""),7.7)</f>
        <v>7.7</v>
      </c>
      <c r="U656" s="48"/>
      <c r="V656" s="48"/>
      <c r="W656" s="14">
        <f>IFERROR(__xludf.DUMMYFUNCTION("""COMPUTED_VALUE"""),7.753333333333333)</f>
        <v>7.753333333</v>
      </c>
      <c r="X656" s="14">
        <f>IFERROR(__xludf.DUMMYFUNCTION("""COMPUTED_VALUE"""),14.5)</f>
        <v>14.5</v>
      </c>
      <c r="Y656" s="14">
        <f>IFERROR(__xludf.DUMMYFUNCTION("""COMPUTED_VALUE"""),14.5)</f>
        <v>14.5</v>
      </c>
      <c r="Z656" s="14">
        <f>IFERROR(__xludf.DUMMYFUNCTION("""COMPUTED_VALUE"""),14.5)</f>
        <v>14.5</v>
      </c>
      <c r="AA656" s="14"/>
      <c r="AB656" s="14"/>
      <c r="AC656" s="14">
        <f>IFERROR(__xludf.DUMMYFUNCTION("""COMPUTED_VALUE"""),14.5)</f>
        <v>14.5</v>
      </c>
      <c r="AD656" s="48">
        <f>IFERROR(__xludf.DUMMYFUNCTION("""COMPUTED_VALUE"""),380.0)</f>
        <v>380</v>
      </c>
      <c r="AE656" s="48">
        <f>IFERROR(__xludf.DUMMYFUNCTION("""COMPUTED_VALUE"""),378.0)</f>
        <v>378</v>
      </c>
      <c r="AF656" s="48">
        <f>IFERROR(__xludf.DUMMYFUNCTION("""COMPUTED_VALUE"""),447.0)</f>
        <v>447</v>
      </c>
      <c r="AG656" s="48"/>
      <c r="AH656" s="48"/>
      <c r="AI656" s="14">
        <f>IFERROR(__xludf.DUMMYFUNCTION("""COMPUTED_VALUE"""),401.6666666666667)</f>
        <v>401.6666667</v>
      </c>
      <c r="AJ656" s="14">
        <f>IFERROR(__xludf.DUMMYFUNCTION("""COMPUTED_VALUE"""),6.3)</f>
        <v>6.3</v>
      </c>
      <c r="AK656" s="14">
        <f>IFERROR(__xludf.DUMMYFUNCTION("""COMPUTED_VALUE"""),6.57)</f>
        <v>6.57</v>
      </c>
      <c r="AL656" s="14">
        <f>IFERROR(__xludf.DUMMYFUNCTION("""COMPUTED_VALUE"""),6.06)</f>
        <v>6.06</v>
      </c>
      <c r="AM656" s="14"/>
      <c r="AN656" s="14"/>
      <c r="AO656" s="14">
        <f>IFERROR(__xludf.DUMMYFUNCTION("""COMPUTED_VALUE"""),6.31)</f>
        <v>6.31</v>
      </c>
      <c r="AP656" s="14">
        <f>IFERROR(__xludf.DUMMYFUNCTION("""COMPUTED_VALUE"""),141.0)</f>
        <v>141</v>
      </c>
      <c r="AQ656" s="14">
        <f>IFERROR(__xludf.DUMMYFUNCTION("""COMPUTED_VALUE"""),184.0)</f>
        <v>184</v>
      </c>
      <c r="AR656" s="14">
        <f>IFERROR(__xludf.DUMMYFUNCTION("""COMPUTED_VALUE"""),86.0)</f>
        <v>86</v>
      </c>
      <c r="AS656" s="14">
        <f>IFERROR(__xludf.DUMMYFUNCTION("""COMPUTED_VALUE"""),32.0)</f>
        <v>32</v>
      </c>
      <c r="AT656" s="14">
        <f>IFERROR(__xludf.DUMMYFUNCTION("""COMPUTED_VALUE"""),1.53)</f>
        <v>1.53</v>
      </c>
      <c r="AU656" s="14">
        <f>IFERROR(__xludf.DUMMYFUNCTION("""COMPUTED_VALUE"""),6820000.0)</f>
        <v>6820000</v>
      </c>
      <c r="AV656" s="14">
        <f>IFERROR(__xludf.DUMMYFUNCTION("""COMPUTED_VALUE"""),3.79)</f>
        <v>3.79</v>
      </c>
      <c r="AW656" s="14">
        <f>IFERROR(__xludf.DUMMYFUNCTION("""COMPUTED_VALUE"""),1.0)</f>
        <v>1</v>
      </c>
      <c r="AX656" s="14">
        <f>IFERROR(__xludf.DUMMYFUNCTION("""COMPUTED_VALUE"""),546000.0)</f>
        <v>546000</v>
      </c>
      <c r="AY656" s="14">
        <f>IFERROR(__xludf.DUMMYFUNCTION("""COMPUTED_VALUE"""),4.6)</f>
        <v>4.6</v>
      </c>
      <c r="AZ656" s="14">
        <f>IFERROR(__xludf.DUMMYFUNCTION("""COMPUTED_VALUE"""),0.007)</f>
        <v>0.007</v>
      </c>
      <c r="BA656" s="14">
        <f t="shared" si="1"/>
        <v>5.607</v>
      </c>
    </row>
    <row r="657" ht="14.25" customHeight="1">
      <c r="A657" s="10" t="str">
        <f>IFERROR(__xludf.DUMMYFUNCTION("""COMPUTED_VALUE"""),"100522CA02")</f>
        <v>100522CA02</v>
      </c>
      <c r="B657" s="12" t="str">
        <f>IFERROR(__xludf.DUMMYFUNCTION("""COMPUTED_VALUE"""),"CRN-Entre Ríos")</f>
        <v>CRN-Entre Ríos</v>
      </c>
      <c r="C657" s="12"/>
      <c r="D657" s="12"/>
      <c r="E657" s="44">
        <f>IFERROR(__xludf.DUMMYFUNCTION("""COMPUTED_VALUE"""),44691.0)</f>
        <v>44691</v>
      </c>
      <c r="F657" s="12" t="str">
        <f>IFERROR(__xludf.DUMMYFUNCTION("""COMPUTED_VALUE"""),"TIPO I")</f>
        <v>TIPO I</v>
      </c>
      <c r="G657" s="12" t="str">
        <f>IFERROR(__xludf.DUMMYFUNCTION("""COMPUTED_VALUE"""),"Presenta coloración, se perciben olores y se observa material flotante ")</f>
        <v>Presenta coloración, se perciben olores y se observa material flotante </v>
      </c>
      <c r="H657" s="45">
        <f>IFERROR(__xludf.DUMMYFUNCTION("""COMPUTED_VALUE"""),0.5)</f>
        <v>0.5</v>
      </c>
      <c r="I657" s="45">
        <f>IFERROR(__xludf.DUMMYFUNCTION("""COMPUTED_VALUE"""),0.5833333333321207)</f>
        <v>0.5833333333</v>
      </c>
      <c r="J657" s="12">
        <f>IFERROR(__xludf.DUMMYFUNCTION("""COMPUTED_VALUE"""),9.0)</f>
        <v>9</v>
      </c>
      <c r="K657" s="12">
        <f>IFERROR(__xludf.DUMMYFUNCTION("""COMPUTED_VALUE"""),0.25)</f>
        <v>0.25</v>
      </c>
      <c r="L657" s="14">
        <f>IFERROR(__xludf.DUMMYFUNCTION("""COMPUTED_VALUE"""),526.021)</f>
        <v>526.021</v>
      </c>
      <c r="M657" s="14">
        <f>IFERROR(__xludf.DUMMYFUNCTION("""COMPUTED_VALUE"""),527.913)</f>
        <v>527.913</v>
      </c>
      <c r="N657" s="14">
        <f>IFERROR(__xludf.DUMMYFUNCTION("""COMPUTED_VALUE"""),561.282)</f>
        <v>561.282</v>
      </c>
      <c r="O657" s="14">
        <f>IFERROR(__xludf.DUMMYFUNCTION("""COMPUTED_VALUE"""),579.488)</f>
        <v>579.488</v>
      </c>
      <c r="P657" s="14"/>
      <c r="Q657" s="14">
        <f>IFERROR(__xludf.DUMMYFUNCTION("""COMPUTED_VALUE"""),548.676)</f>
        <v>548.676</v>
      </c>
      <c r="R657" s="48">
        <f>IFERROR(__xludf.DUMMYFUNCTION("""COMPUTED_VALUE"""),6.51)</f>
        <v>6.51</v>
      </c>
      <c r="S657" s="48">
        <f>IFERROR(__xludf.DUMMYFUNCTION("""COMPUTED_VALUE"""),6.8)</f>
        <v>6.8</v>
      </c>
      <c r="T657" s="48">
        <f>IFERROR(__xludf.DUMMYFUNCTION("""COMPUTED_VALUE"""),7.2)</f>
        <v>7.2</v>
      </c>
      <c r="U657" s="48">
        <f>IFERROR(__xludf.DUMMYFUNCTION("""COMPUTED_VALUE"""),7.03)</f>
        <v>7.03</v>
      </c>
      <c r="V657" s="48"/>
      <c r="W657" s="14">
        <f>IFERROR(__xludf.DUMMYFUNCTION("""COMPUTED_VALUE"""),6.885)</f>
        <v>6.885</v>
      </c>
      <c r="X657" s="14">
        <f>IFERROR(__xludf.DUMMYFUNCTION("""COMPUTED_VALUE"""),19.4)</f>
        <v>19.4</v>
      </c>
      <c r="Y657" s="14">
        <f>IFERROR(__xludf.DUMMYFUNCTION("""COMPUTED_VALUE"""),20.8)</f>
        <v>20.8</v>
      </c>
      <c r="Z657" s="14">
        <f>IFERROR(__xludf.DUMMYFUNCTION("""COMPUTED_VALUE"""),19.0)</f>
        <v>19</v>
      </c>
      <c r="AA657" s="14">
        <f>IFERROR(__xludf.DUMMYFUNCTION("""COMPUTED_VALUE"""),19.3)</f>
        <v>19.3</v>
      </c>
      <c r="AB657" s="14"/>
      <c r="AC657" s="14">
        <f>IFERROR(__xludf.DUMMYFUNCTION("""COMPUTED_VALUE"""),19.625)</f>
        <v>19.625</v>
      </c>
      <c r="AD657" s="48">
        <f>IFERROR(__xludf.DUMMYFUNCTION("""COMPUTED_VALUE"""),501.0)</f>
        <v>501</v>
      </c>
      <c r="AE657" s="48">
        <f>IFERROR(__xludf.DUMMYFUNCTION("""COMPUTED_VALUE"""),542.0)</f>
        <v>542</v>
      </c>
      <c r="AF657" s="48">
        <f>IFERROR(__xludf.DUMMYFUNCTION("""COMPUTED_VALUE"""),455.0)</f>
        <v>455</v>
      </c>
      <c r="AG657" s="48">
        <f>IFERROR(__xludf.DUMMYFUNCTION("""COMPUTED_VALUE"""),546.0)</f>
        <v>546</v>
      </c>
      <c r="AH657" s="48"/>
      <c r="AI657" s="14">
        <f>IFERROR(__xludf.DUMMYFUNCTION("""COMPUTED_VALUE"""),511.0)</f>
        <v>511</v>
      </c>
      <c r="AJ657" s="14">
        <f>IFERROR(__xludf.DUMMYFUNCTION("""COMPUTED_VALUE"""),1.8)</f>
        <v>1.8</v>
      </c>
      <c r="AK657" s="14">
        <f>IFERROR(__xludf.DUMMYFUNCTION("""COMPUTED_VALUE"""),1.7)</f>
        <v>1.7</v>
      </c>
      <c r="AL657" s="14">
        <f>IFERROR(__xludf.DUMMYFUNCTION("""COMPUTED_VALUE"""),1.6)</f>
        <v>1.6</v>
      </c>
      <c r="AM657" s="14">
        <f>IFERROR(__xludf.DUMMYFUNCTION("""COMPUTED_VALUE"""),1.7)</f>
        <v>1.7</v>
      </c>
      <c r="AN657" s="14"/>
      <c r="AO657" s="14">
        <f>IFERROR(__xludf.DUMMYFUNCTION("""COMPUTED_VALUE"""),1.7)</f>
        <v>1.7</v>
      </c>
      <c r="AP657" s="14">
        <f>IFERROR(__xludf.DUMMYFUNCTION("""COMPUTED_VALUE"""),160.0)</f>
        <v>160</v>
      </c>
      <c r="AQ657" s="14">
        <f>IFERROR(__xludf.DUMMYFUNCTION("""COMPUTED_VALUE"""),257.0)</f>
        <v>257</v>
      </c>
      <c r="AR657" s="14">
        <f>IFERROR(__xludf.DUMMYFUNCTION("""COMPUTED_VALUE"""),99.0)</f>
        <v>99</v>
      </c>
      <c r="AS657" s="14">
        <f>IFERROR(__xludf.DUMMYFUNCTION("""COMPUTED_VALUE"""),59.0)</f>
        <v>59</v>
      </c>
      <c r="AT657" s="14">
        <f>IFERROR(__xludf.DUMMYFUNCTION("""COMPUTED_VALUE"""),8.17)</f>
        <v>8.17</v>
      </c>
      <c r="AU657" s="14">
        <f>IFERROR(__xludf.DUMMYFUNCTION("""COMPUTED_VALUE"""),6.63E7)</f>
        <v>66300000</v>
      </c>
      <c r="AV657" s="14">
        <f>IFERROR(__xludf.DUMMYFUNCTION("""COMPUTED_VALUE"""),3.54)</f>
        <v>3.54</v>
      </c>
      <c r="AW657" s="14">
        <f>IFERROR(__xludf.DUMMYFUNCTION("""COMPUTED_VALUE"""),27.2)</f>
        <v>27.2</v>
      </c>
      <c r="AX657" s="14">
        <f>IFERROR(__xludf.DUMMYFUNCTION("""COMPUTED_VALUE"""),933000.0)</f>
        <v>933000</v>
      </c>
      <c r="AY657" s="14">
        <f>IFERROR(__xludf.DUMMYFUNCTION("""COMPUTED_VALUE"""),1.2)</f>
        <v>1.2</v>
      </c>
      <c r="AZ657" s="14">
        <f>IFERROR(__xludf.DUMMYFUNCTION("""COMPUTED_VALUE"""),0.007)</f>
        <v>0.007</v>
      </c>
      <c r="BA657" s="14">
        <f t="shared" si="1"/>
        <v>28.407</v>
      </c>
    </row>
    <row r="658" ht="14.25" customHeight="1">
      <c r="A658" s="10" t="str">
        <f>IFERROR(__xludf.DUMMYFUNCTION("""COMPUTED_VALUE"""),"100522MO01")</f>
        <v>100522MO01</v>
      </c>
      <c r="B658" s="12" t="str">
        <f>IFERROR(__xludf.DUMMYFUNCTION("""COMPUTED_VALUE"""),"CRN-Quebrada Chicó")</f>
        <v>CRN-Quebrada Chicó</v>
      </c>
      <c r="C658" s="12"/>
      <c r="D658" s="12"/>
      <c r="E658" s="44">
        <f>IFERROR(__xludf.DUMMYFUNCTION("""COMPUTED_VALUE"""),44691.0)</f>
        <v>44691</v>
      </c>
      <c r="F658" s="12" t="str">
        <f>IFERROR(__xludf.DUMMYFUNCTION("""COMPUTED_VALUE"""),"TIPO I")</f>
        <v>TIPO I</v>
      </c>
      <c r="G658" s="12" t="str">
        <f>IFERROR(__xludf.DUMMYFUNCTION("""COMPUTED_VALUE"""),"Se perciben olores ")</f>
        <v>Se perciben olores </v>
      </c>
      <c r="H658" s="45">
        <f>IFERROR(__xludf.DUMMYFUNCTION("""COMPUTED_VALUE"""),0.3333333333321207)</f>
        <v>0.3333333333</v>
      </c>
      <c r="I658" s="45">
        <f>IFERROR(__xludf.DUMMYFUNCTION("""COMPUTED_VALUE"""),0.4166666666678793)</f>
        <v>0.4166666667</v>
      </c>
      <c r="J658" s="12"/>
      <c r="K658" s="12">
        <f>IFERROR(__xludf.DUMMYFUNCTION("""COMPUTED_VALUE"""),0.05)</f>
        <v>0.05</v>
      </c>
      <c r="L658" s="14">
        <f>IFERROR(__xludf.DUMMYFUNCTION("""COMPUTED_VALUE"""),6.736)</f>
        <v>6.736</v>
      </c>
      <c r="M658" s="14">
        <f>IFERROR(__xludf.DUMMYFUNCTION("""COMPUTED_VALUE"""),6.754)</f>
        <v>6.754</v>
      </c>
      <c r="N658" s="14">
        <f>IFERROR(__xludf.DUMMYFUNCTION("""COMPUTED_VALUE"""),7.4)</f>
        <v>7.4</v>
      </c>
      <c r="O658" s="14">
        <f>IFERROR(__xludf.DUMMYFUNCTION("""COMPUTED_VALUE"""),6.887)</f>
        <v>6.887</v>
      </c>
      <c r="P658" s="14">
        <f>IFERROR(__xludf.DUMMYFUNCTION("""COMPUTED_VALUE"""),7.107)</f>
        <v>7.107</v>
      </c>
      <c r="Q658" s="14">
        <f>IFERROR(__xludf.DUMMYFUNCTION("""COMPUTED_VALUE"""),6.977)</f>
        <v>6.977</v>
      </c>
      <c r="R658" s="48">
        <f>IFERROR(__xludf.DUMMYFUNCTION("""COMPUTED_VALUE"""),8.69)</f>
        <v>8.69</v>
      </c>
      <c r="S658" s="48">
        <f>IFERROR(__xludf.DUMMYFUNCTION("""COMPUTED_VALUE"""),7.8)</f>
        <v>7.8</v>
      </c>
      <c r="T658" s="48">
        <f>IFERROR(__xludf.DUMMYFUNCTION("""COMPUTED_VALUE"""),7.58)</f>
        <v>7.58</v>
      </c>
      <c r="U658" s="48">
        <f>IFERROR(__xludf.DUMMYFUNCTION("""COMPUTED_VALUE"""),7.5)</f>
        <v>7.5</v>
      </c>
      <c r="V658" s="48">
        <f>IFERROR(__xludf.DUMMYFUNCTION("""COMPUTED_VALUE"""),7.49)</f>
        <v>7.49</v>
      </c>
      <c r="W658" s="14">
        <f>IFERROR(__xludf.DUMMYFUNCTION("""COMPUTED_VALUE"""),7.812)</f>
        <v>7.812</v>
      </c>
      <c r="X658" s="14">
        <f>IFERROR(__xludf.DUMMYFUNCTION("""COMPUTED_VALUE"""),15.5)</f>
        <v>15.5</v>
      </c>
      <c r="Y658" s="14">
        <f>IFERROR(__xludf.DUMMYFUNCTION("""COMPUTED_VALUE"""),15.3)</f>
        <v>15.3</v>
      </c>
      <c r="Z658" s="14">
        <f>IFERROR(__xludf.DUMMYFUNCTION("""COMPUTED_VALUE"""),15.4)</f>
        <v>15.4</v>
      </c>
      <c r="AA658" s="14">
        <f>IFERROR(__xludf.DUMMYFUNCTION("""COMPUTED_VALUE"""),15.4)</f>
        <v>15.4</v>
      </c>
      <c r="AB658" s="14">
        <f>IFERROR(__xludf.DUMMYFUNCTION("""COMPUTED_VALUE"""),15.4)</f>
        <v>15.4</v>
      </c>
      <c r="AC658" s="14">
        <f>IFERROR(__xludf.DUMMYFUNCTION("""COMPUTED_VALUE"""),15.4)</f>
        <v>15.4</v>
      </c>
      <c r="AD658" s="48">
        <f>IFERROR(__xludf.DUMMYFUNCTION("""COMPUTED_VALUE"""),269.0)</f>
        <v>269</v>
      </c>
      <c r="AE658" s="48">
        <f>IFERROR(__xludf.DUMMYFUNCTION("""COMPUTED_VALUE"""),228.0)</f>
        <v>228</v>
      </c>
      <c r="AF658" s="48">
        <f>IFERROR(__xludf.DUMMYFUNCTION("""COMPUTED_VALUE"""),194.0)</f>
        <v>194</v>
      </c>
      <c r="AG658" s="48">
        <f>IFERROR(__xludf.DUMMYFUNCTION("""COMPUTED_VALUE"""),203.0)</f>
        <v>203</v>
      </c>
      <c r="AH658" s="48">
        <f>IFERROR(__xludf.DUMMYFUNCTION("""COMPUTED_VALUE"""),204.0)</f>
        <v>204</v>
      </c>
      <c r="AI658" s="14">
        <f>IFERROR(__xludf.DUMMYFUNCTION("""COMPUTED_VALUE"""),219.6)</f>
        <v>219.6</v>
      </c>
      <c r="AJ658" s="14">
        <f>IFERROR(__xludf.DUMMYFUNCTION("""COMPUTED_VALUE"""),4.05)</f>
        <v>4.05</v>
      </c>
      <c r="AK658" s="14">
        <f>IFERROR(__xludf.DUMMYFUNCTION("""COMPUTED_VALUE"""),4.04)</f>
        <v>4.04</v>
      </c>
      <c r="AL658" s="14">
        <f>IFERROR(__xludf.DUMMYFUNCTION("""COMPUTED_VALUE"""),3.81)</f>
        <v>3.81</v>
      </c>
      <c r="AM658" s="14">
        <f>IFERROR(__xludf.DUMMYFUNCTION("""COMPUTED_VALUE"""),3.83)</f>
        <v>3.83</v>
      </c>
      <c r="AN658" s="14">
        <f>IFERROR(__xludf.DUMMYFUNCTION("""COMPUTED_VALUE"""),3.51)</f>
        <v>3.51</v>
      </c>
      <c r="AO658" s="14">
        <f>IFERROR(__xludf.DUMMYFUNCTION("""COMPUTED_VALUE"""),3.8480000000000003)</f>
        <v>3.848</v>
      </c>
      <c r="AP658" s="14">
        <f>IFERROR(__xludf.DUMMYFUNCTION("""COMPUTED_VALUE"""),62.0)</f>
        <v>62</v>
      </c>
      <c r="AQ658" s="14">
        <f>IFERROR(__xludf.DUMMYFUNCTION("""COMPUTED_VALUE"""),88.0)</f>
        <v>88</v>
      </c>
      <c r="AR658" s="14">
        <f>IFERROR(__xludf.DUMMYFUNCTION("""COMPUTED_VALUE"""),21.0)</f>
        <v>21</v>
      </c>
      <c r="AS658" s="14">
        <f>IFERROR(__xludf.DUMMYFUNCTION("""COMPUTED_VALUE"""),1.2)</f>
        <v>1.2</v>
      </c>
      <c r="AT658" s="14">
        <f>IFERROR(__xludf.DUMMYFUNCTION("""COMPUTED_VALUE"""),2.0)</f>
        <v>2</v>
      </c>
      <c r="AU658" s="14">
        <f>IFERROR(__xludf.DUMMYFUNCTION("""COMPUTED_VALUE"""),9.9E7)</f>
        <v>99000000</v>
      </c>
      <c r="AV658" s="14">
        <f>IFERROR(__xludf.DUMMYFUNCTION("""COMPUTED_VALUE"""),1.81)</f>
        <v>1.81</v>
      </c>
      <c r="AW658" s="14">
        <f>IFERROR(__xludf.DUMMYFUNCTION("""COMPUTED_VALUE"""),13.7)</f>
        <v>13.7</v>
      </c>
      <c r="AX658" s="14">
        <f>IFERROR(__xludf.DUMMYFUNCTION("""COMPUTED_VALUE"""),908000.0)</f>
        <v>908000</v>
      </c>
      <c r="AY658" s="14">
        <f>IFERROR(__xludf.DUMMYFUNCTION("""COMPUTED_VALUE"""),0.5)</f>
        <v>0.5</v>
      </c>
      <c r="AZ658" s="14">
        <f>IFERROR(__xludf.DUMMYFUNCTION("""COMPUTED_VALUE"""),0.007)</f>
        <v>0.007</v>
      </c>
      <c r="BA658" s="14">
        <f t="shared" si="1"/>
        <v>14.207</v>
      </c>
    </row>
    <row r="659" ht="14.25" customHeight="1">
      <c r="A659" s="10" t="str">
        <f>IFERROR(__xludf.DUMMYFUNCTION("""COMPUTED_VALUE"""),"130522AN02")</f>
        <v>130522AN02</v>
      </c>
      <c r="B659" s="12" t="str">
        <f>IFERROR(__xludf.DUMMYFUNCTION("""COMPUTED_VALUE"""),"QZA-Quindío")</f>
        <v>QZA-Quindío</v>
      </c>
      <c r="C659" s="12"/>
      <c r="D659" s="12"/>
      <c r="E659" s="44">
        <f>IFERROR(__xludf.DUMMYFUNCTION("""COMPUTED_VALUE"""),44694.0)</f>
        <v>44694</v>
      </c>
      <c r="F659" s="12" t="str">
        <f>IFERROR(__xludf.DUMMYFUNCTION("""COMPUTED_VALUE"""),"TIPO I")</f>
        <v>TIPO I</v>
      </c>
      <c r="G659" s="12" t="str">
        <f>IFERROR(__xludf.DUMMYFUNCTION("""COMPUTED_VALUE"""),"Se presenta un canal natural con lecho rocoso. 
Altitud: 2940msnm ")</f>
        <v>Se presenta un canal natural con lecho rocoso. 
Altitud: 2940msnm </v>
      </c>
      <c r="H659" s="45">
        <f>IFERROR(__xludf.DUMMYFUNCTION("""COMPUTED_VALUE"""),0.4166666666678793)</f>
        <v>0.4166666667</v>
      </c>
      <c r="I659" s="45">
        <f>IFERROR(__xludf.DUMMYFUNCTION("""COMPUTED_VALUE"""),0.5)</f>
        <v>0.5</v>
      </c>
      <c r="J659" s="12">
        <f>IFERROR(__xludf.DUMMYFUNCTION("""COMPUTED_VALUE"""),0.6)</f>
        <v>0.6</v>
      </c>
      <c r="K659" s="12">
        <f>IFERROR(__xludf.DUMMYFUNCTION("""COMPUTED_VALUE"""),0.13)</f>
        <v>0.13</v>
      </c>
      <c r="L659" s="14">
        <f>IFERROR(__xludf.DUMMYFUNCTION("""COMPUTED_VALUE"""),16.253)</f>
        <v>16.253</v>
      </c>
      <c r="M659" s="14">
        <f>IFERROR(__xludf.DUMMYFUNCTION("""COMPUTED_VALUE"""),15.102)</f>
        <v>15.102</v>
      </c>
      <c r="N659" s="14">
        <f>IFERROR(__xludf.DUMMYFUNCTION("""COMPUTED_VALUE"""),17.574)</f>
        <v>17.574</v>
      </c>
      <c r="O659" s="14">
        <f>IFERROR(__xludf.DUMMYFUNCTION("""COMPUTED_VALUE"""),17.396)</f>
        <v>17.396</v>
      </c>
      <c r="P659" s="14">
        <f>IFERROR(__xludf.DUMMYFUNCTION("""COMPUTED_VALUE"""),18.02)</f>
        <v>18.02</v>
      </c>
      <c r="Q659" s="14">
        <f>IFERROR(__xludf.DUMMYFUNCTION("""COMPUTED_VALUE"""),16.869)</f>
        <v>16.869</v>
      </c>
      <c r="R659" s="48">
        <f>IFERROR(__xludf.DUMMYFUNCTION("""COMPUTED_VALUE"""),7.41)</f>
        <v>7.41</v>
      </c>
      <c r="S659" s="48">
        <f>IFERROR(__xludf.DUMMYFUNCTION("""COMPUTED_VALUE"""),7.35)</f>
        <v>7.35</v>
      </c>
      <c r="T659" s="48">
        <f>IFERROR(__xludf.DUMMYFUNCTION("""COMPUTED_VALUE"""),7.14)</f>
        <v>7.14</v>
      </c>
      <c r="U659" s="48">
        <f>IFERROR(__xludf.DUMMYFUNCTION("""COMPUTED_VALUE"""),6.85)</f>
        <v>6.85</v>
      </c>
      <c r="V659" s="48">
        <f>IFERROR(__xludf.DUMMYFUNCTION("""COMPUTED_VALUE"""),6.76)</f>
        <v>6.76</v>
      </c>
      <c r="W659" s="14">
        <f>IFERROR(__xludf.DUMMYFUNCTION("""COMPUTED_VALUE"""),7.101999999999999)</f>
        <v>7.102</v>
      </c>
      <c r="X659" s="14">
        <f>IFERROR(__xludf.DUMMYFUNCTION("""COMPUTED_VALUE"""),10.8)</f>
        <v>10.8</v>
      </c>
      <c r="Y659" s="14">
        <f>IFERROR(__xludf.DUMMYFUNCTION("""COMPUTED_VALUE"""),10.9)</f>
        <v>10.9</v>
      </c>
      <c r="Z659" s="14">
        <f>IFERROR(__xludf.DUMMYFUNCTION("""COMPUTED_VALUE"""),10.9)</f>
        <v>10.9</v>
      </c>
      <c r="AA659" s="14">
        <f>IFERROR(__xludf.DUMMYFUNCTION("""COMPUTED_VALUE"""),11.0)</f>
        <v>11</v>
      </c>
      <c r="AB659" s="14">
        <f>IFERROR(__xludf.DUMMYFUNCTION("""COMPUTED_VALUE"""),11.0)</f>
        <v>11</v>
      </c>
      <c r="AC659" s="14">
        <f>IFERROR(__xludf.DUMMYFUNCTION("""COMPUTED_VALUE"""),10.92)</f>
        <v>10.92</v>
      </c>
      <c r="AD659" s="48">
        <f>IFERROR(__xludf.DUMMYFUNCTION("""COMPUTED_VALUE"""),21.0)</f>
        <v>21</v>
      </c>
      <c r="AE659" s="48">
        <f>IFERROR(__xludf.DUMMYFUNCTION("""COMPUTED_VALUE"""),22.0)</f>
        <v>22</v>
      </c>
      <c r="AF659" s="48">
        <f>IFERROR(__xludf.DUMMYFUNCTION("""COMPUTED_VALUE"""),21.0)</f>
        <v>21</v>
      </c>
      <c r="AG659" s="48">
        <f>IFERROR(__xludf.DUMMYFUNCTION("""COMPUTED_VALUE"""),21.0)</f>
        <v>21</v>
      </c>
      <c r="AH659" s="48">
        <f>IFERROR(__xludf.DUMMYFUNCTION("""COMPUTED_VALUE"""),21.0)</f>
        <v>21</v>
      </c>
      <c r="AI659" s="14">
        <f>IFERROR(__xludf.DUMMYFUNCTION("""COMPUTED_VALUE"""),21.2)</f>
        <v>21.2</v>
      </c>
      <c r="AJ659" s="14">
        <f>IFERROR(__xludf.DUMMYFUNCTION("""COMPUTED_VALUE"""),7.37)</f>
        <v>7.37</v>
      </c>
      <c r="AK659" s="14">
        <f>IFERROR(__xludf.DUMMYFUNCTION("""COMPUTED_VALUE"""),7.32)</f>
        <v>7.32</v>
      </c>
      <c r="AL659" s="14">
        <f>IFERROR(__xludf.DUMMYFUNCTION("""COMPUTED_VALUE"""),7.45)</f>
        <v>7.45</v>
      </c>
      <c r="AM659" s="14">
        <f>IFERROR(__xludf.DUMMYFUNCTION("""COMPUTED_VALUE"""),7.42)</f>
        <v>7.42</v>
      </c>
      <c r="AN659" s="14">
        <f>IFERROR(__xludf.DUMMYFUNCTION("""COMPUTED_VALUE"""),7.34)</f>
        <v>7.34</v>
      </c>
      <c r="AO659" s="14">
        <f>IFERROR(__xludf.DUMMYFUNCTION("""COMPUTED_VALUE"""),7.380000000000001)</f>
        <v>7.38</v>
      </c>
      <c r="AP659" s="14">
        <f>IFERROR(__xludf.DUMMYFUNCTION("""COMPUTED_VALUE"""),4.0)</f>
        <v>4</v>
      </c>
      <c r="AQ659" s="14">
        <f>IFERROR(__xludf.DUMMYFUNCTION("""COMPUTED_VALUE"""),11.0)</f>
        <v>11</v>
      </c>
      <c r="AR659" s="14">
        <f>IFERROR(__xludf.DUMMYFUNCTION("""COMPUTED_VALUE"""),5.0)</f>
        <v>5</v>
      </c>
      <c r="AS659" s="14">
        <f>IFERROR(__xludf.DUMMYFUNCTION("""COMPUTED_VALUE"""),1.2)</f>
        <v>1.2</v>
      </c>
      <c r="AT659" s="14">
        <f>IFERROR(__xludf.DUMMYFUNCTION("""COMPUTED_VALUE"""),0.07)</f>
        <v>0.07</v>
      </c>
      <c r="AU659" s="14">
        <f>IFERROR(__xludf.DUMMYFUNCTION("""COMPUTED_VALUE"""),13010.0)</f>
        <v>13010</v>
      </c>
      <c r="AV659" s="14">
        <f>IFERROR(__xludf.DUMMYFUNCTION("""COMPUTED_VALUE"""),0.26)</f>
        <v>0.26</v>
      </c>
      <c r="AW659" s="14">
        <f>IFERROR(__xludf.DUMMYFUNCTION("""COMPUTED_VALUE"""),1.0)</f>
        <v>1</v>
      </c>
      <c r="AX659" s="14">
        <f>IFERROR(__xludf.DUMMYFUNCTION("""COMPUTED_VALUE"""),10860.0)</f>
        <v>10860</v>
      </c>
      <c r="AY659" s="14">
        <f>IFERROR(__xludf.DUMMYFUNCTION("""COMPUTED_VALUE"""),4.8)</f>
        <v>4.8</v>
      </c>
      <c r="AZ659" s="14">
        <f>IFERROR(__xludf.DUMMYFUNCTION("""COMPUTED_VALUE"""),0.007)</f>
        <v>0.007</v>
      </c>
      <c r="BA659" s="14">
        <f t="shared" si="1"/>
        <v>5.807</v>
      </c>
    </row>
    <row r="660" ht="14.25" customHeight="1">
      <c r="A660" s="10" t="str">
        <f>IFERROR(__xludf.DUMMYFUNCTION("""COMPUTED_VALUE"""),"100522MO02")</f>
        <v>100522MO02</v>
      </c>
      <c r="B660" s="12" t="str">
        <f>IFERROR(__xludf.DUMMYFUNCTION("""COMPUTED_VALUE"""),"CRN-El Virrey")</f>
        <v>CRN-El Virrey</v>
      </c>
      <c r="C660" s="12"/>
      <c r="D660" s="12"/>
      <c r="E660" s="44">
        <f>IFERROR(__xludf.DUMMYFUNCTION("""COMPUTED_VALUE"""),44691.0)</f>
        <v>44691</v>
      </c>
      <c r="F660" s="12" t="str">
        <f>IFERROR(__xludf.DUMMYFUNCTION("""COMPUTED_VALUE"""),"TIPO I")</f>
        <v>TIPO I</v>
      </c>
      <c r="G660" s="12" t="str">
        <f>IFERROR(__xludf.DUMMYFUNCTION("""COMPUTED_VALUE"""),"Presenta coloración, se perciben olores , el monitoreo se suspende en la cuarta alícuota por lluvias fuertes ")</f>
        <v>Presenta coloración, se perciben olores , el monitoreo se suspende en la cuarta alícuota por lluvias fuertes </v>
      </c>
      <c r="H660" s="45">
        <f>IFERROR(__xludf.DUMMYFUNCTION("""COMPUTED_VALUE"""),0.5)</f>
        <v>0.5</v>
      </c>
      <c r="I660" s="45">
        <f>IFERROR(__xludf.DUMMYFUNCTION("""COMPUTED_VALUE"""),0.5833333333321207)</f>
        <v>0.5833333333</v>
      </c>
      <c r="J660" s="12">
        <f>IFERROR(__xludf.DUMMYFUNCTION("""COMPUTED_VALUE"""),2.4)</f>
        <v>2.4</v>
      </c>
      <c r="K660" s="12">
        <f>IFERROR(__xludf.DUMMYFUNCTION("""COMPUTED_VALUE"""),0.22)</f>
        <v>0.22</v>
      </c>
      <c r="L660" s="14">
        <f>IFERROR(__xludf.DUMMYFUNCTION("""COMPUTED_VALUE"""),252.593)</f>
        <v>252.593</v>
      </c>
      <c r="M660" s="14">
        <f>IFERROR(__xludf.DUMMYFUNCTION("""COMPUTED_VALUE"""),253.947)</f>
        <v>253.947</v>
      </c>
      <c r="N660" s="14">
        <f>IFERROR(__xludf.DUMMYFUNCTION("""COMPUTED_VALUE"""),253.556)</f>
        <v>253.556</v>
      </c>
      <c r="O660" s="14">
        <f>IFERROR(__xludf.DUMMYFUNCTION("""COMPUTED_VALUE"""),253.075)</f>
        <v>253.075</v>
      </c>
      <c r="P660" s="14"/>
      <c r="Q660" s="14">
        <f>IFERROR(__xludf.DUMMYFUNCTION("""COMPUTED_VALUE"""),253.293)</f>
        <v>253.293</v>
      </c>
      <c r="R660" s="48">
        <f>IFERROR(__xludf.DUMMYFUNCTION("""COMPUTED_VALUE"""),7.44)</f>
        <v>7.44</v>
      </c>
      <c r="S660" s="48">
        <f>IFERROR(__xludf.DUMMYFUNCTION("""COMPUTED_VALUE"""),7.46)</f>
        <v>7.46</v>
      </c>
      <c r="T660" s="48">
        <f>IFERROR(__xludf.DUMMYFUNCTION("""COMPUTED_VALUE"""),7.5)</f>
        <v>7.5</v>
      </c>
      <c r="U660" s="48">
        <f>IFERROR(__xludf.DUMMYFUNCTION("""COMPUTED_VALUE"""),7.52)</f>
        <v>7.52</v>
      </c>
      <c r="V660" s="48"/>
      <c r="W660" s="14">
        <f>IFERROR(__xludf.DUMMYFUNCTION("""COMPUTED_VALUE"""),7.4799999999999995)</f>
        <v>7.48</v>
      </c>
      <c r="X660" s="14">
        <f>IFERROR(__xludf.DUMMYFUNCTION("""COMPUTED_VALUE"""),18.0)</f>
        <v>18</v>
      </c>
      <c r="Y660" s="14">
        <f>IFERROR(__xludf.DUMMYFUNCTION("""COMPUTED_VALUE"""),17.9)</f>
        <v>17.9</v>
      </c>
      <c r="Z660" s="14">
        <f>IFERROR(__xludf.DUMMYFUNCTION("""COMPUTED_VALUE"""),17.9)</f>
        <v>17.9</v>
      </c>
      <c r="AA660" s="14">
        <f>IFERROR(__xludf.DUMMYFUNCTION("""COMPUTED_VALUE"""),17.9)</f>
        <v>17.9</v>
      </c>
      <c r="AB660" s="14"/>
      <c r="AC660" s="14">
        <f>IFERROR(__xludf.DUMMYFUNCTION("""COMPUTED_VALUE"""),17.924999999999997)</f>
        <v>17.925</v>
      </c>
      <c r="AD660" s="48">
        <f>IFERROR(__xludf.DUMMYFUNCTION("""COMPUTED_VALUE"""),398.0)</f>
        <v>398</v>
      </c>
      <c r="AE660" s="48">
        <f>IFERROR(__xludf.DUMMYFUNCTION("""COMPUTED_VALUE"""),408.0)</f>
        <v>408</v>
      </c>
      <c r="AF660" s="48">
        <f>IFERROR(__xludf.DUMMYFUNCTION("""COMPUTED_VALUE"""),417.0)</f>
        <v>417</v>
      </c>
      <c r="AG660" s="48">
        <f>IFERROR(__xludf.DUMMYFUNCTION("""COMPUTED_VALUE"""),417.0)</f>
        <v>417</v>
      </c>
      <c r="AH660" s="48"/>
      <c r="AI660" s="14">
        <f>IFERROR(__xludf.DUMMYFUNCTION("""COMPUTED_VALUE"""),410.0)</f>
        <v>410</v>
      </c>
      <c r="AJ660" s="14">
        <f>IFERROR(__xludf.DUMMYFUNCTION("""COMPUTED_VALUE"""),1.1)</f>
        <v>1.1</v>
      </c>
      <c r="AK660" s="14">
        <f>IFERROR(__xludf.DUMMYFUNCTION("""COMPUTED_VALUE"""),0.8)</f>
        <v>0.8</v>
      </c>
      <c r="AL660" s="14">
        <f>IFERROR(__xludf.DUMMYFUNCTION("""COMPUTED_VALUE"""),0.65)</f>
        <v>0.65</v>
      </c>
      <c r="AM660" s="14">
        <f>IFERROR(__xludf.DUMMYFUNCTION("""COMPUTED_VALUE"""),0.95)</f>
        <v>0.95</v>
      </c>
      <c r="AN660" s="14"/>
      <c r="AO660" s="14">
        <f>IFERROR(__xludf.DUMMYFUNCTION("""COMPUTED_VALUE"""),0.875)</f>
        <v>0.875</v>
      </c>
      <c r="AP660" s="14">
        <f>IFERROR(__xludf.DUMMYFUNCTION("""COMPUTED_VALUE"""),182.0)</f>
        <v>182</v>
      </c>
      <c r="AQ660" s="14">
        <f>IFERROR(__xludf.DUMMYFUNCTION("""COMPUTED_VALUE"""),245.0)</f>
        <v>245</v>
      </c>
      <c r="AR660" s="14">
        <f>IFERROR(__xludf.DUMMYFUNCTION("""COMPUTED_VALUE"""),94.0)</f>
        <v>94</v>
      </c>
      <c r="AS660" s="14">
        <f>IFERROR(__xludf.DUMMYFUNCTION("""COMPUTED_VALUE"""),55.0)</f>
        <v>55</v>
      </c>
      <c r="AT660" s="14">
        <f>IFERROR(__xludf.DUMMYFUNCTION("""COMPUTED_VALUE"""),10.33)</f>
        <v>10.33</v>
      </c>
      <c r="AU660" s="14">
        <f>IFERROR(__xludf.DUMMYFUNCTION("""COMPUTED_VALUE"""),6.16E7)</f>
        <v>61600000</v>
      </c>
      <c r="AV660" s="14">
        <f>IFERROR(__xludf.DUMMYFUNCTION("""COMPUTED_VALUE"""),3.18)</f>
        <v>3.18</v>
      </c>
      <c r="AW660" s="14">
        <f>IFERROR(__xludf.DUMMYFUNCTION("""COMPUTED_VALUE"""),24.9)</f>
        <v>24.9</v>
      </c>
      <c r="AX660" s="14">
        <f>IFERROR(__xludf.DUMMYFUNCTION("""COMPUTED_VALUE"""),657000.0)</f>
        <v>657000</v>
      </c>
      <c r="AY660" s="14">
        <f>IFERROR(__xludf.DUMMYFUNCTION("""COMPUTED_VALUE"""),1.1)</f>
        <v>1.1</v>
      </c>
      <c r="AZ660" s="14">
        <f>IFERROR(__xludf.DUMMYFUNCTION("""COMPUTED_VALUE"""),0.007)</f>
        <v>0.007</v>
      </c>
      <c r="BA660" s="14">
        <f t="shared" si="1"/>
        <v>26.007</v>
      </c>
    </row>
    <row r="661" ht="14.25" customHeight="1">
      <c r="A661" s="10" t="str">
        <f>IFERROR(__xludf.DUMMYFUNCTION("""COMPUTED_VALUE"""),"100522CA01")</f>
        <v>100522CA01</v>
      </c>
      <c r="B661" s="12" t="str">
        <f>IFERROR(__xludf.DUMMYFUNCTION("""COMPUTED_VALUE"""),"CRN-La Castellana")</f>
        <v>CRN-La Castellana</v>
      </c>
      <c r="C661" s="12"/>
      <c r="D661" s="12"/>
      <c r="E661" s="44">
        <f>IFERROR(__xludf.DUMMYFUNCTION("""COMPUTED_VALUE"""),44691.0)</f>
        <v>44691</v>
      </c>
      <c r="F661" s="12" t="str">
        <f>IFERROR(__xludf.DUMMYFUNCTION("""COMPUTED_VALUE"""),"TIPO I")</f>
        <v>TIPO I</v>
      </c>
      <c r="G661" s="12" t="str">
        <f>IFERROR(__xludf.DUMMYFUNCTION("""COMPUTED_VALUE"""),"Canal en concreto, presenta color y olor, se observa material flotante. ")</f>
        <v>Canal en concreto, presenta color y olor, se observa material flotante. </v>
      </c>
      <c r="H661" s="45">
        <f>IFERROR(__xludf.DUMMYFUNCTION("""COMPUTED_VALUE"""),0.3333333333321207)</f>
        <v>0.3333333333</v>
      </c>
      <c r="I661" s="45">
        <f>IFERROR(__xludf.DUMMYFUNCTION("""COMPUTED_VALUE"""),0.4166666666678793)</f>
        <v>0.4166666667</v>
      </c>
      <c r="J661" s="12">
        <f>IFERROR(__xludf.DUMMYFUNCTION("""COMPUTED_VALUE"""),5.7)</f>
        <v>5.7</v>
      </c>
      <c r="K661" s="12">
        <f>IFERROR(__xludf.DUMMYFUNCTION("""COMPUTED_VALUE"""),0.21)</f>
        <v>0.21</v>
      </c>
      <c r="L661" s="14">
        <f>IFERROR(__xludf.DUMMYFUNCTION("""COMPUTED_VALUE"""),465.9)</f>
        <v>465.9</v>
      </c>
      <c r="M661" s="14">
        <f>IFERROR(__xludf.DUMMYFUNCTION("""COMPUTED_VALUE"""),467.931)</f>
        <v>467.931</v>
      </c>
      <c r="N661" s="14">
        <f>IFERROR(__xludf.DUMMYFUNCTION("""COMPUTED_VALUE"""),472.125)</f>
        <v>472.125</v>
      </c>
      <c r="O661" s="14">
        <f>IFERROR(__xludf.DUMMYFUNCTION("""COMPUTED_VALUE"""),468.128)</f>
        <v>468.128</v>
      </c>
      <c r="P661" s="14">
        <f>IFERROR(__xludf.DUMMYFUNCTION("""COMPUTED_VALUE"""),469.553)</f>
        <v>469.553</v>
      </c>
      <c r="Q661" s="14">
        <f>IFERROR(__xludf.DUMMYFUNCTION("""COMPUTED_VALUE"""),468.727)</f>
        <v>468.727</v>
      </c>
      <c r="R661" s="48">
        <f>IFERROR(__xludf.DUMMYFUNCTION("""COMPUTED_VALUE"""),6.93)</f>
        <v>6.93</v>
      </c>
      <c r="S661" s="48">
        <f>IFERROR(__xludf.DUMMYFUNCTION("""COMPUTED_VALUE"""),6.86)</f>
        <v>6.86</v>
      </c>
      <c r="T661" s="48">
        <f>IFERROR(__xludf.DUMMYFUNCTION("""COMPUTED_VALUE"""),6.96)</f>
        <v>6.96</v>
      </c>
      <c r="U661" s="48">
        <f>IFERROR(__xludf.DUMMYFUNCTION("""COMPUTED_VALUE"""),6.7)</f>
        <v>6.7</v>
      </c>
      <c r="V661" s="48">
        <f>IFERROR(__xludf.DUMMYFUNCTION("""COMPUTED_VALUE"""),6.88)</f>
        <v>6.88</v>
      </c>
      <c r="W661" s="14">
        <f>IFERROR(__xludf.DUMMYFUNCTION("""COMPUTED_VALUE"""),6.866)</f>
        <v>6.866</v>
      </c>
      <c r="X661" s="14">
        <f>IFERROR(__xludf.DUMMYFUNCTION("""COMPUTED_VALUE"""),17.8)</f>
        <v>17.8</v>
      </c>
      <c r="Y661" s="14">
        <f>IFERROR(__xludf.DUMMYFUNCTION("""COMPUTED_VALUE"""),16.8)</f>
        <v>16.8</v>
      </c>
      <c r="Z661" s="14">
        <f>IFERROR(__xludf.DUMMYFUNCTION("""COMPUTED_VALUE"""),17.1)</f>
        <v>17.1</v>
      </c>
      <c r="AA661" s="14">
        <f>IFERROR(__xludf.DUMMYFUNCTION("""COMPUTED_VALUE"""),18.3)</f>
        <v>18.3</v>
      </c>
      <c r="AB661" s="14">
        <f>IFERROR(__xludf.DUMMYFUNCTION("""COMPUTED_VALUE"""),19.2)</f>
        <v>19.2</v>
      </c>
      <c r="AC661" s="14">
        <f>IFERROR(__xludf.DUMMYFUNCTION("""COMPUTED_VALUE"""),17.84)</f>
        <v>17.84</v>
      </c>
      <c r="AD661" s="48">
        <f>IFERROR(__xludf.DUMMYFUNCTION("""COMPUTED_VALUE"""),472.0)</f>
        <v>472</v>
      </c>
      <c r="AE661" s="48">
        <f>IFERROR(__xludf.DUMMYFUNCTION("""COMPUTED_VALUE"""),498.0)</f>
        <v>498</v>
      </c>
      <c r="AF661" s="48">
        <f>IFERROR(__xludf.DUMMYFUNCTION("""COMPUTED_VALUE"""),501.0)</f>
        <v>501</v>
      </c>
      <c r="AG661" s="48">
        <f>IFERROR(__xludf.DUMMYFUNCTION("""COMPUTED_VALUE"""),528.0)</f>
        <v>528</v>
      </c>
      <c r="AH661" s="48">
        <f>IFERROR(__xludf.DUMMYFUNCTION("""COMPUTED_VALUE"""),482.0)</f>
        <v>482</v>
      </c>
      <c r="AI661" s="14">
        <f>IFERROR(__xludf.DUMMYFUNCTION("""COMPUTED_VALUE"""),496.2)</f>
        <v>496.2</v>
      </c>
      <c r="AJ661" s="14">
        <f>IFERROR(__xludf.DUMMYFUNCTION("""COMPUTED_VALUE"""),1.9)</f>
        <v>1.9</v>
      </c>
      <c r="AK661" s="14">
        <f>IFERROR(__xludf.DUMMYFUNCTION("""COMPUTED_VALUE"""),1.7)</f>
        <v>1.7</v>
      </c>
      <c r="AL661" s="14">
        <f>IFERROR(__xludf.DUMMYFUNCTION("""COMPUTED_VALUE"""),1.2)</f>
        <v>1.2</v>
      </c>
      <c r="AM661" s="14">
        <f>IFERROR(__xludf.DUMMYFUNCTION("""COMPUTED_VALUE"""),2.0)</f>
        <v>2</v>
      </c>
      <c r="AN661" s="14">
        <f>IFERROR(__xludf.DUMMYFUNCTION("""COMPUTED_VALUE"""),1.2)</f>
        <v>1.2</v>
      </c>
      <c r="AO661" s="14">
        <f>IFERROR(__xludf.DUMMYFUNCTION("""COMPUTED_VALUE"""),1.6)</f>
        <v>1.6</v>
      </c>
      <c r="AP661" s="14">
        <f>IFERROR(__xludf.DUMMYFUNCTION("""COMPUTED_VALUE"""),145.0)</f>
        <v>145</v>
      </c>
      <c r="AQ661" s="14">
        <f>IFERROR(__xludf.DUMMYFUNCTION("""COMPUTED_VALUE"""),193.0)</f>
        <v>193</v>
      </c>
      <c r="AR661" s="14">
        <f>IFERROR(__xludf.DUMMYFUNCTION("""COMPUTED_VALUE"""),107.0)</f>
        <v>107</v>
      </c>
      <c r="AS661" s="14">
        <f>IFERROR(__xludf.DUMMYFUNCTION("""COMPUTED_VALUE"""),74.0)</f>
        <v>74</v>
      </c>
      <c r="AT661" s="14">
        <f>IFERROR(__xludf.DUMMYFUNCTION("""COMPUTED_VALUE"""),2.68)</f>
        <v>2.68</v>
      </c>
      <c r="AU661" s="14">
        <f>IFERROR(__xludf.DUMMYFUNCTION("""COMPUTED_VALUE"""),8.57E7)</f>
        <v>85700000</v>
      </c>
      <c r="AV661" s="14">
        <f>IFERROR(__xludf.DUMMYFUNCTION("""COMPUTED_VALUE"""),1.01)</f>
        <v>1.01</v>
      </c>
      <c r="AW661" s="14">
        <f>IFERROR(__xludf.DUMMYFUNCTION("""COMPUTED_VALUE"""),32.2)</f>
        <v>32.2</v>
      </c>
      <c r="AX661" s="14">
        <f>IFERROR(__xludf.DUMMYFUNCTION("""COMPUTED_VALUE"""),1092000.0)</f>
        <v>1092000</v>
      </c>
      <c r="AY661" s="14">
        <f>IFERROR(__xludf.DUMMYFUNCTION("""COMPUTED_VALUE"""),0.9)</f>
        <v>0.9</v>
      </c>
      <c r="AZ661" s="14">
        <f>IFERROR(__xludf.DUMMYFUNCTION("""COMPUTED_VALUE"""),0.007)</f>
        <v>0.007</v>
      </c>
      <c r="BA661" s="14">
        <f t="shared" si="1"/>
        <v>33.107</v>
      </c>
    </row>
    <row r="662" ht="14.25" customHeight="1">
      <c r="A662" s="10" t="str">
        <f>IFERROR(__xludf.DUMMYFUNCTION("""COMPUTED_VALUE"""),"130522DA01")</f>
        <v>130522DA01</v>
      </c>
      <c r="B662" s="12" t="str">
        <f>IFERROR(__xludf.DUMMYFUNCTION("""COMPUTED_VALUE"""),"QZA-Meissen")</f>
        <v>QZA-Meissen</v>
      </c>
      <c r="C662" s="12"/>
      <c r="D662" s="12"/>
      <c r="E662" s="44">
        <f>IFERROR(__xludf.DUMMYFUNCTION("""COMPUTED_VALUE"""),44694.0)</f>
        <v>44694</v>
      </c>
      <c r="F662" s="12" t="str">
        <f>IFERROR(__xludf.DUMMYFUNCTION("""COMPUTED_VALUE"""),"TIPO I")</f>
        <v>TIPO I</v>
      </c>
      <c r="G662" s="12" t="str">
        <f>IFERROR(__xludf.DUMMYFUNCTION("""COMPUTED_VALUE"""),"Se  observa color y sedimentos. No se percibe olor. Desde la segunda alícuota se presentan lluvias leves que aumentan al finalizar la tercera alícuota. De acuerdo con los registros in situ se observa el aumento de la conductividad a partir de la segunda a"&amp;"lícuota.
Altitud: 2563 msnm")</f>
        <v>Se  observa color y sedimentos. No se percibe olor. Desde la segunda alícuota se presentan lluvias leves que aumentan al finalizar la tercera alícuota. De acuerdo con los registros in situ se observa el aumento de la conductividad a partir de la segunda alícuota.
Altitud: 2563 msnm</v>
      </c>
      <c r="H662" s="45">
        <f>IFERROR(__xludf.DUMMYFUNCTION("""COMPUTED_VALUE"""),0.25)</f>
        <v>0.25</v>
      </c>
      <c r="I662" s="45">
        <f>IFERROR(__xludf.DUMMYFUNCTION("""COMPUTED_VALUE"""),0.3333333333321207)</f>
        <v>0.3333333333</v>
      </c>
      <c r="J662" s="12">
        <f>IFERROR(__xludf.DUMMYFUNCTION("""COMPUTED_VALUE"""),11.8)</f>
        <v>11.8</v>
      </c>
      <c r="K662" s="12">
        <f>IFERROR(__xludf.DUMMYFUNCTION("""COMPUTED_VALUE"""),0.14)</f>
        <v>0.14</v>
      </c>
      <c r="L662" s="14">
        <f>IFERROR(__xludf.DUMMYFUNCTION("""COMPUTED_VALUE"""),561.917)</f>
        <v>561.917</v>
      </c>
      <c r="M662" s="14">
        <f>IFERROR(__xludf.DUMMYFUNCTION("""COMPUTED_VALUE"""),558.745)</f>
        <v>558.745</v>
      </c>
      <c r="N662" s="14">
        <f>IFERROR(__xludf.DUMMYFUNCTION("""COMPUTED_VALUE"""),566.298)</f>
        <v>566.298</v>
      </c>
      <c r="O662" s="14"/>
      <c r="P662" s="14"/>
      <c r="Q662" s="14">
        <f>IFERROR(__xludf.DUMMYFUNCTION("""COMPUTED_VALUE"""),562.32)</f>
        <v>562.32</v>
      </c>
      <c r="R662" s="48">
        <f>IFERROR(__xludf.DUMMYFUNCTION("""COMPUTED_VALUE"""),6.94)</f>
        <v>6.94</v>
      </c>
      <c r="S662" s="48">
        <f>IFERROR(__xludf.DUMMYFUNCTION("""COMPUTED_VALUE"""),6.55)</f>
        <v>6.55</v>
      </c>
      <c r="T662" s="48">
        <f>IFERROR(__xludf.DUMMYFUNCTION("""COMPUTED_VALUE"""),6.69)</f>
        <v>6.69</v>
      </c>
      <c r="U662" s="48"/>
      <c r="V662" s="48"/>
      <c r="W662" s="14">
        <f>IFERROR(__xludf.DUMMYFUNCTION("""COMPUTED_VALUE"""),6.726666666666667)</f>
        <v>6.726666667</v>
      </c>
      <c r="X662" s="14">
        <f>IFERROR(__xludf.DUMMYFUNCTION("""COMPUTED_VALUE"""),14.2)</f>
        <v>14.2</v>
      </c>
      <c r="Y662" s="14">
        <f>IFERROR(__xludf.DUMMYFUNCTION("""COMPUTED_VALUE"""),13.4)</f>
        <v>13.4</v>
      </c>
      <c r="Z662" s="14">
        <f>IFERROR(__xludf.DUMMYFUNCTION("""COMPUTED_VALUE"""),13.3)</f>
        <v>13.3</v>
      </c>
      <c r="AA662" s="14"/>
      <c r="AB662" s="14"/>
      <c r="AC662" s="14">
        <f>IFERROR(__xludf.DUMMYFUNCTION("""COMPUTED_VALUE"""),13.633333333333335)</f>
        <v>13.63333333</v>
      </c>
      <c r="AD662" s="48">
        <f>IFERROR(__xludf.DUMMYFUNCTION("""COMPUTED_VALUE"""),277.0)</f>
        <v>277</v>
      </c>
      <c r="AE662" s="48">
        <f>IFERROR(__xludf.DUMMYFUNCTION("""COMPUTED_VALUE"""),500.0)</f>
        <v>500</v>
      </c>
      <c r="AF662" s="48">
        <f>IFERROR(__xludf.DUMMYFUNCTION("""COMPUTED_VALUE"""),465.0)</f>
        <v>465</v>
      </c>
      <c r="AG662" s="48"/>
      <c r="AH662" s="48"/>
      <c r="AI662" s="14">
        <f>IFERROR(__xludf.DUMMYFUNCTION("""COMPUTED_VALUE"""),414.0)</f>
        <v>414</v>
      </c>
      <c r="AJ662" s="14">
        <f>IFERROR(__xludf.DUMMYFUNCTION("""COMPUTED_VALUE"""),1.74)</f>
        <v>1.74</v>
      </c>
      <c r="AK662" s="14">
        <f>IFERROR(__xludf.DUMMYFUNCTION("""COMPUTED_VALUE"""),1.93)</f>
        <v>1.93</v>
      </c>
      <c r="AL662" s="14">
        <f>IFERROR(__xludf.DUMMYFUNCTION("""COMPUTED_VALUE"""),1.71)</f>
        <v>1.71</v>
      </c>
      <c r="AM662" s="14"/>
      <c r="AN662" s="14"/>
      <c r="AO662" s="14">
        <f>IFERROR(__xludf.DUMMYFUNCTION("""COMPUTED_VALUE"""),1.7933333333333332)</f>
        <v>1.793333333</v>
      </c>
      <c r="AP662" s="14">
        <f>IFERROR(__xludf.DUMMYFUNCTION("""COMPUTED_VALUE"""),64.0)</f>
        <v>64</v>
      </c>
      <c r="AQ662" s="14">
        <f>IFERROR(__xludf.DUMMYFUNCTION("""COMPUTED_VALUE"""),106.0)</f>
        <v>106</v>
      </c>
      <c r="AR662" s="14">
        <f>IFERROR(__xludf.DUMMYFUNCTION("""COMPUTED_VALUE"""),41.0)</f>
        <v>41</v>
      </c>
      <c r="AS662" s="14">
        <f>IFERROR(__xludf.DUMMYFUNCTION("""COMPUTED_VALUE"""),1.2)</f>
        <v>1.2</v>
      </c>
      <c r="AT662" s="14">
        <f>IFERROR(__xludf.DUMMYFUNCTION("""COMPUTED_VALUE"""),2.85)</f>
        <v>2.85</v>
      </c>
      <c r="AU662" s="14">
        <f>IFERROR(__xludf.DUMMYFUNCTION("""COMPUTED_VALUE"""),6220000.0)</f>
        <v>6220000</v>
      </c>
      <c r="AV662" s="14">
        <f>IFERROR(__xludf.DUMMYFUNCTION("""COMPUTED_VALUE"""),3.18)</f>
        <v>3.18</v>
      </c>
      <c r="AW662" s="14">
        <f>IFERROR(__xludf.DUMMYFUNCTION("""COMPUTED_VALUE"""),15.7)</f>
        <v>15.7</v>
      </c>
      <c r="AX662" s="14">
        <f>IFERROR(__xludf.DUMMYFUNCTION("""COMPUTED_VALUE"""),700000.0)</f>
        <v>700000</v>
      </c>
      <c r="AY662" s="14">
        <f>IFERROR(__xludf.DUMMYFUNCTION("""COMPUTED_VALUE"""),4.2)</f>
        <v>4.2</v>
      </c>
      <c r="AZ662" s="14">
        <f>IFERROR(__xludf.DUMMYFUNCTION("""COMPUTED_VALUE"""),0.007)</f>
        <v>0.007</v>
      </c>
      <c r="BA662" s="14">
        <f t="shared" si="1"/>
        <v>19.907</v>
      </c>
    </row>
    <row r="663" ht="14.25" customHeight="1">
      <c r="A663" s="10" t="str">
        <f>IFERROR(__xludf.DUMMYFUNCTION("""COMPUTED_VALUE"""),"130522DA02")</f>
        <v>130522DA02</v>
      </c>
      <c r="B663" s="12" t="str">
        <f>IFERROR(__xludf.DUMMYFUNCTION("""COMPUTED_VALUE"""),"QZA-Molinos")</f>
        <v>QZA-Molinos</v>
      </c>
      <c r="C663" s="12"/>
      <c r="D663" s="12"/>
      <c r="E663" s="44">
        <f>IFERROR(__xludf.DUMMYFUNCTION("""COMPUTED_VALUE"""),44694.0)</f>
        <v>44694</v>
      </c>
      <c r="F663" s="12" t="str">
        <f>IFERROR(__xludf.DUMMYFUNCTION("""COMPUTED_VALUE"""),"TIPO I")</f>
        <v>TIPO I</v>
      </c>
      <c r="G663" s="12" t="str">
        <f>IFERROR(__xludf.DUMMYFUNCTION("""COMPUTED_VALUE"""),"Se observa color y no se percibe olor. Sobre la ZMPA se observan residuos.
Altura: 2612 msnm ")</f>
        <v>Se observa color y no se percibe olor. Sobre la ZMPA se observan residuos.
Altura: 2612 msnm </v>
      </c>
      <c r="H663" s="45">
        <f>IFERROR(__xludf.DUMMYFUNCTION("""COMPUTED_VALUE"""),0.4166666666678793)</f>
        <v>0.4166666667</v>
      </c>
      <c r="I663" s="45">
        <f>IFERROR(__xludf.DUMMYFUNCTION("""COMPUTED_VALUE"""),0.5)</f>
        <v>0.5</v>
      </c>
      <c r="J663" s="12">
        <f>IFERROR(__xludf.DUMMYFUNCTION("""COMPUTED_VALUE"""),4.0)</f>
        <v>4</v>
      </c>
      <c r="K663" s="12">
        <f>IFERROR(__xludf.DUMMYFUNCTION("""COMPUTED_VALUE"""),0.33)</f>
        <v>0.33</v>
      </c>
      <c r="L663" s="14">
        <f>IFERROR(__xludf.DUMMYFUNCTION("""COMPUTED_VALUE"""),494.187)</f>
        <v>494.187</v>
      </c>
      <c r="M663" s="14">
        <f>IFERROR(__xludf.DUMMYFUNCTION("""COMPUTED_VALUE"""),480.253)</f>
        <v>480.253</v>
      </c>
      <c r="N663" s="14">
        <f>IFERROR(__xludf.DUMMYFUNCTION("""COMPUTED_VALUE"""),485.735)</f>
        <v>485.735</v>
      </c>
      <c r="O663" s="14">
        <f>IFERROR(__xludf.DUMMYFUNCTION("""COMPUTED_VALUE"""),480.966)</f>
        <v>480.966</v>
      </c>
      <c r="P663" s="14">
        <f>IFERROR(__xludf.DUMMYFUNCTION("""COMPUTED_VALUE"""),489.763)</f>
        <v>489.763</v>
      </c>
      <c r="Q663" s="14">
        <f>IFERROR(__xludf.DUMMYFUNCTION("""COMPUTED_VALUE"""),486.181)</f>
        <v>486.181</v>
      </c>
      <c r="R663" s="48">
        <f>IFERROR(__xludf.DUMMYFUNCTION("""COMPUTED_VALUE"""),6.96)</f>
        <v>6.96</v>
      </c>
      <c r="S663" s="48">
        <f>IFERROR(__xludf.DUMMYFUNCTION("""COMPUTED_VALUE"""),6.82)</f>
        <v>6.82</v>
      </c>
      <c r="T663" s="48">
        <f>IFERROR(__xludf.DUMMYFUNCTION("""COMPUTED_VALUE"""),7.07)</f>
        <v>7.07</v>
      </c>
      <c r="U663" s="48">
        <f>IFERROR(__xludf.DUMMYFUNCTION("""COMPUTED_VALUE"""),7.29)</f>
        <v>7.29</v>
      </c>
      <c r="V663" s="48">
        <f>IFERROR(__xludf.DUMMYFUNCTION("""COMPUTED_VALUE"""),7.09)</f>
        <v>7.09</v>
      </c>
      <c r="W663" s="14">
        <f>IFERROR(__xludf.DUMMYFUNCTION("""COMPUTED_VALUE"""),7.046000000000001)</f>
        <v>7.046</v>
      </c>
      <c r="X663" s="14">
        <f>IFERROR(__xludf.DUMMYFUNCTION("""COMPUTED_VALUE"""),14.5)</f>
        <v>14.5</v>
      </c>
      <c r="Y663" s="14">
        <f>IFERROR(__xludf.DUMMYFUNCTION("""COMPUTED_VALUE"""),14.5)</f>
        <v>14.5</v>
      </c>
      <c r="Z663" s="14">
        <f>IFERROR(__xludf.DUMMYFUNCTION("""COMPUTED_VALUE"""),14.1)</f>
        <v>14.1</v>
      </c>
      <c r="AA663" s="14">
        <f>IFERROR(__xludf.DUMMYFUNCTION("""COMPUTED_VALUE"""),17.4)</f>
        <v>17.4</v>
      </c>
      <c r="AB663" s="14">
        <f>IFERROR(__xludf.DUMMYFUNCTION("""COMPUTED_VALUE"""),16.6)</f>
        <v>16.6</v>
      </c>
      <c r="AC663" s="14">
        <f>IFERROR(__xludf.DUMMYFUNCTION("""COMPUTED_VALUE"""),15.419999999999998)</f>
        <v>15.42</v>
      </c>
      <c r="AD663" s="48">
        <f>IFERROR(__xludf.DUMMYFUNCTION("""COMPUTED_VALUE"""),548.0)</f>
        <v>548</v>
      </c>
      <c r="AE663" s="48">
        <f>IFERROR(__xludf.DUMMYFUNCTION("""COMPUTED_VALUE"""),552.0)</f>
        <v>552</v>
      </c>
      <c r="AF663" s="48">
        <f>IFERROR(__xludf.DUMMYFUNCTION("""COMPUTED_VALUE"""),546.0)</f>
        <v>546</v>
      </c>
      <c r="AG663" s="48">
        <f>IFERROR(__xludf.DUMMYFUNCTION("""COMPUTED_VALUE"""),567.0)</f>
        <v>567</v>
      </c>
      <c r="AH663" s="48">
        <f>IFERROR(__xludf.DUMMYFUNCTION("""COMPUTED_VALUE"""),574.0)</f>
        <v>574</v>
      </c>
      <c r="AI663" s="14">
        <f>IFERROR(__xludf.DUMMYFUNCTION("""COMPUTED_VALUE"""),557.4)</f>
        <v>557.4</v>
      </c>
      <c r="AJ663" s="14">
        <f>IFERROR(__xludf.DUMMYFUNCTION("""COMPUTED_VALUE"""),2.6)</f>
        <v>2.6</v>
      </c>
      <c r="AK663" s="14">
        <f>IFERROR(__xludf.DUMMYFUNCTION("""COMPUTED_VALUE"""),2.3)</f>
        <v>2.3</v>
      </c>
      <c r="AL663" s="14">
        <f>IFERROR(__xludf.DUMMYFUNCTION("""COMPUTED_VALUE"""),2.0)</f>
        <v>2</v>
      </c>
      <c r="AM663" s="14">
        <f>IFERROR(__xludf.DUMMYFUNCTION("""COMPUTED_VALUE"""),2.2)</f>
        <v>2.2</v>
      </c>
      <c r="AN663" s="14">
        <f>IFERROR(__xludf.DUMMYFUNCTION("""COMPUTED_VALUE"""),2.3)</f>
        <v>2.3</v>
      </c>
      <c r="AO663" s="14">
        <f>IFERROR(__xludf.DUMMYFUNCTION("""COMPUTED_VALUE"""),2.2800000000000002)</f>
        <v>2.28</v>
      </c>
      <c r="AP663" s="14">
        <f>IFERROR(__xludf.DUMMYFUNCTION("""COMPUTED_VALUE"""),114.0)</f>
        <v>114</v>
      </c>
      <c r="AQ663" s="14">
        <f>IFERROR(__xludf.DUMMYFUNCTION("""COMPUTED_VALUE"""),176.0)</f>
        <v>176</v>
      </c>
      <c r="AR663" s="14">
        <f>IFERROR(__xludf.DUMMYFUNCTION("""COMPUTED_VALUE"""),49.0)</f>
        <v>49</v>
      </c>
      <c r="AS663" s="14">
        <f>IFERROR(__xludf.DUMMYFUNCTION("""COMPUTED_VALUE"""),24.0)</f>
        <v>24</v>
      </c>
      <c r="AT663" s="14">
        <f>IFERROR(__xludf.DUMMYFUNCTION("""COMPUTED_VALUE"""),3.1)</f>
        <v>3.1</v>
      </c>
      <c r="AU663" s="14">
        <f>IFERROR(__xludf.DUMMYFUNCTION("""COMPUTED_VALUE"""),8450000.0)</f>
        <v>8450000</v>
      </c>
      <c r="AV663" s="14">
        <f>IFERROR(__xludf.DUMMYFUNCTION("""COMPUTED_VALUE"""),3.81)</f>
        <v>3.81</v>
      </c>
      <c r="AW663" s="14">
        <f>IFERROR(__xludf.DUMMYFUNCTION("""COMPUTED_VALUE"""),38.1)</f>
        <v>38.1</v>
      </c>
      <c r="AX663" s="14">
        <f>IFERROR(__xludf.DUMMYFUNCTION("""COMPUTED_VALUE"""),839000.0)</f>
        <v>839000</v>
      </c>
      <c r="AY663" s="14">
        <f>IFERROR(__xludf.DUMMYFUNCTION("""COMPUTED_VALUE"""),3.1)</f>
        <v>3.1</v>
      </c>
      <c r="AZ663" s="14">
        <f>IFERROR(__xludf.DUMMYFUNCTION("""COMPUTED_VALUE"""),0.007)</f>
        <v>0.007</v>
      </c>
      <c r="BA663" s="14">
        <f t="shared" si="1"/>
        <v>41.207</v>
      </c>
    </row>
    <row r="664" ht="14.25" customHeight="1">
      <c r="A664" s="10" t="str">
        <f>IFERROR(__xludf.DUMMYFUNCTION("""COMPUTED_VALUE"""),"070622CA02")</f>
        <v>070622CA02</v>
      </c>
      <c r="B664" s="12" t="str">
        <f>IFERROR(__xludf.DUMMYFUNCTION("""COMPUTED_VALUE"""),"QLI-San Francisco")</f>
        <v>QLI-San Francisco</v>
      </c>
      <c r="C664" s="12"/>
      <c r="D664" s="12"/>
      <c r="E664" s="44">
        <f>IFERROR(__xludf.DUMMYFUNCTION("""COMPUTED_VALUE"""),44719.0)</f>
        <v>44719</v>
      </c>
      <c r="F664" s="12" t="str">
        <f>IFERROR(__xludf.DUMMYFUNCTION("""COMPUTED_VALUE"""),"TIPO I")</f>
        <v>TIPO I</v>
      </c>
      <c r="G664" s="12" t="str">
        <f>IFERROR(__xludf.DUMMYFUNCTION("""COMPUTED_VALUE"""),"Se percibe olor y se observa coloración, espuma y residuos solidos
Altura: 2598 msnm")</f>
        <v>Se percibe olor y se observa coloración, espuma y residuos solidos
Altura: 2598 msnm</v>
      </c>
      <c r="H664" s="45">
        <f>IFERROR(__xludf.DUMMYFUNCTION("""COMPUTED_VALUE"""),0.5)</f>
        <v>0.5</v>
      </c>
      <c r="I664" s="45">
        <f>IFERROR(__xludf.DUMMYFUNCTION("""COMPUTED_VALUE"""),0.5833333333321207)</f>
        <v>0.5833333333</v>
      </c>
      <c r="J664" s="12">
        <f>IFERROR(__xludf.DUMMYFUNCTION("""COMPUTED_VALUE"""),2.0)</f>
        <v>2</v>
      </c>
      <c r="K664" s="12">
        <f>IFERROR(__xludf.DUMMYFUNCTION("""COMPUTED_VALUE"""),0.42)</f>
        <v>0.42</v>
      </c>
      <c r="L664" s="14">
        <f>IFERROR(__xludf.DUMMYFUNCTION("""COMPUTED_VALUE"""),371.277)</f>
        <v>371.277</v>
      </c>
      <c r="M664" s="14">
        <f>IFERROR(__xludf.DUMMYFUNCTION("""COMPUTED_VALUE"""),371.353)</f>
        <v>371.353</v>
      </c>
      <c r="N664" s="14">
        <f>IFERROR(__xludf.DUMMYFUNCTION("""COMPUTED_VALUE"""),392.808)</f>
        <v>392.808</v>
      </c>
      <c r="O664" s="14">
        <f>IFERROR(__xludf.DUMMYFUNCTION("""COMPUTED_VALUE"""),392.568)</f>
        <v>392.568</v>
      </c>
      <c r="P664" s="14">
        <f>IFERROR(__xludf.DUMMYFUNCTION("""COMPUTED_VALUE"""),384.745)</f>
        <v>384.745</v>
      </c>
      <c r="Q664" s="14">
        <f>IFERROR(__xludf.DUMMYFUNCTION("""COMPUTED_VALUE"""),382.55)</f>
        <v>382.55</v>
      </c>
      <c r="R664" s="48">
        <f>IFERROR(__xludf.DUMMYFUNCTION("""COMPUTED_VALUE"""),8.12)</f>
        <v>8.12</v>
      </c>
      <c r="S664" s="48">
        <f>IFERROR(__xludf.DUMMYFUNCTION("""COMPUTED_VALUE"""),8.25)</f>
        <v>8.25</v>
      </c>
      <c r="T664" s="48">
        <f>IFERROR(__xludf.DUMMYFUNCTION("""COMPUTED_VALUE"""),8.3)</f>
        <v>8.3</v>
      </c>
      <c r="U664" s="48">
        <f>IFERROR(__xludf.DUMMYFUNCTION("""COMPUTED_VALUE"""),8.3)</f>
        <v>8.3</v>
      </c>
      <c r="V664" s="48">
        <f>IFERROR(__xludf.DUMMYFUNCTION("""COMPUTED_VALUE"""),8.22)</f>
        <v>8.22</v>
      </c>
      <c r="W664" s="14">
        <f>IFERROR(__xludf.DUMMYFUNCTION("""COMPUTED_VALUE"""),8.238)</f>
        <v>8.238</v>
      </c>
      <c r="X664" s="14">
        <f>IFERROR(__xludf.DUMMYFUNCTION("""COMPUTED_VALUE"""),15.4)</f>
        <v>15.4</v>
      </c>
      <c r="Y664" s="14">
        <f>IFERROR(__xludf.DUMMYFUNCTION("""COMPUTED_VALUE"""),15.4)</f>
        <v>15.4</v>
      </c>
      <c r="Z664" s="14">
        <f>IFERROR(__xludf.DUMMYFUNCTION("""COMPUTED_VALUE"""),15.4)</f>
        <v>15.4</v>
      </c>
      <c r="AA664" s="14">
        <f>IFERROR(__xludf.DUMMYFUNCTION("""COMPUTED_VALUE"""),15.4)</f>
        <v>15.4</v>
      </c>
      <c r="AB664" s="14">
        <f>IFERROR(__xludf.DUMMYFUNCTION("""COMPUTED_VALUE"""),15.3)</f>
        <v>15.3</v>
      </c>
      <c r="AC664" s="14">
        <f>IFERROR(__xludf.DUMMYFUNCTION("""COMPUTED_VALUE"""),15.38)</f>
        <v>15.38</v>
      </c>
      <c r="AD664" s="48">
        <f>IFERROR(__xludf.DUMMYFUNCTION("""COMPUTED_VALUE"""),277.0)</f>
        <v>277</v>
      </c>
      <c r="AE664" s="48">
        <f>IFERROR(__xludf.DUMMYFUNCTION("""COMPUTED_VALUE"""),278.0)</f>
        <v>278</v>
      </c>
      <c r="AF664" s="48">
        <f>IFERROR(__xludf.DUMMYFUNCTION("""COMPUTED_VALUE"""),282.0)</f>
        <v>282</v>
      </c>
      <c r="AG664" s="48">
        <f>IFERROR(__xludf.DUMMYFUNCTION("""COMPUTED_VALUE"""),282.0)</f>
        <v>282</v>
      </c>
      <c r="AH664" s="48">
        <f>IFERROR(__xludf.DUMMYFUNCTION("""COMPUTED_VALUE"""),273.0)</f>
        <v>273</v>
      </c>
      <c r="AI664" s="14">
        <f>IFERROR(__xludf.DUMMYFUNCTION("""COMPUTED_VALUE"""),278.4)</f>
        <v>278.4</v>
      </c>
      <c r="AJ664" s="14">
        <f>IFERROR(__xludf.DUMMYFUNCTION("""COMPUTED_VALUE"""),7.67)</f>
        <v>7.67</v>
      </c>
      <c r="AK664" s="14">
        <f>IFERROR(__xludf.DUMMYFUNCTION("""COMPUTED_VALUE"""),7.47)</f>
        <v>7.47</v>
      </c>
      <c r="AL664" s="14">
        <f>IFERROR(__xludf.DUMMYFUNCTION("""COMPUTED_VALUE"""),7.37)</f>
        <v>7.37</v>
      </c>
      <c r="AM664" s="14">
        <f>IFERROR(__xludf.DUMMYFUNCTION("""COMPUTED_VALUE"""),7.39)</f>
        <v>7.39</v>
      </c>
      <c r="AN664" s="14">
        <f>IFERROR(__xludf.DUMMYFUNCTION("""COMPUTED_VALUE"""),7.44)</f>
        <v>7.44</v>
      </c>
      <c r="AO664" s="14">
        <f>IFERROR(__xludf.DUMMYFUNCTION("""COMPUTED_VALUE"""),7.468000000000001)</f>
        <v>7.468</v>
      </c>
      <c r="AP664" s="14">
        <f>IFERROR(__xludf.DUMMYFUNCTION("""COMPUTED_VALUE"""),20.0)</f>
        <v>20</v>
      </c>
      <c r="AQ664" s="14">
        <f>IFERROR(__xludf.DUMMYFUNCTION("""COMPUTED_VALUE"""),68.0)</f>
        <v>68</v>
      </c>
      <c r="AR664" s="14">
        <f>IFERROR(__xludf.DUMMYFUNCTION("""COMPUTED_VALUE"""),206.0)</f>
        <v>206</v>
      </c>
      <c r="AS664" s="14">
        <f>IFERROR(__xludf.DUMMYFUNCTION("""COMPUTED_VALUE"""),1.2)</f>
        <v>1.2</v>
      </c>
      <c r="AT664" s="14">
        <f>IFERROR(__xludf.DUMMYFUNCTION("""COMPUTED_VALUE"""),0.07)</f>
        <v>0.07</v>
      </c>
      <c r="AU664" s="14">
        <f>IFERROR(__xludf.DUMMYFUNCTION("""COMPUTED_VALUE"""),1.858E7)</f>
        <v>18580000</v>
      </c>
      <c r="AV664" s="14">
        <f>IFERROR(__xludf.DUMMYFUNCTION("""COMPUTED_VALUE"""),0.49)</f>
        <v>0.49</v>
      </c>
      <c r="AW664" s="14">
        <f>IFERROR(__xludf.DUMMYFUNCTION("""COMPUTED_VALUE"""),7.0)</f>
        <v>7</v>
      </c>
      <c r="AX664" s="14">
        <f>IFERROR(__xludf.DUMMYFUNCTION("""COMPUTED_VALUE"""),1.382E7)</f>
        <v>13820000</v>
      </c>
      <c r="AY664" s="14">
        <f>IFERROR(__xludf.DUMMYFUNCTION("""COMPUTED_VALUE"""),2.5)</f>
        <v>2.5</v>
      </c>
      <c r="AZ664" s="14">
        <f>IFERROR(__xludf.DUMMYFUNCTION("""COMPUTED_VALUE"""),0.007)</f>
        <v>0.007</v>
      </c>
      <c r="BA664" s="14">
        <f t="shared" si="1"/>
        <v>9.507</v>
      </c>
    </row>
    <row r="665" ht="14.25" customHeight="1">
      <c r="A665" s="10" t="str">
        <f>IFERROR(__xludf.DUMMYFUNCTION("""COMPUTED_VALUE"""),"100622CA01")</f>
        <v>100622CA01</v>
      </c>
      <c r="B665" s="12" t="str">
        <f>IFERROR(__xludf.DUMMYFUNCTION("""COMPUTED_VALUE"""),"QTR-Acapulco")</f>
        <v>QTR-Acapulco</v>
      </c>
      <c r="C665" s="12"/>
      <c r="D665" s="12"/>
      <c r="E665" s="44">
        <f>IFERROR(__xludf.DUMMYFUNCTION("""COMPUTED_VALUE"""),44722.0)</f>
        <v>44722</v>
      </c>
      <c r="F665" s="12" t="str">
        <f>IFERROR(__xludf.DUMMYFUNCTION("""COMPUTED_VALUE"""),"TIPO I")</f>
        <v>TIPO I</v>
      </c>
      <c r="G665" s="12" t="str">
        <f>IFERROR(__xludf.DUMMYFUNCTION("""COMPUTED_VALUE"""),"Se presenta un lecho rocoso - arenoso, se observa color y no se percibe olor.")</f>
        <v>Se presenta un lecho rocoso - arenoso, se observa color y no se percibe olor.</v>
      </c>
      <c r="H665" s="45">
        <f>IFERROR(__xludf.DUMMYFUNCTION("""COMPUTED_VALUE"""),0.3333333333321207)</f>
        <v>0.3333333333</v>
      </c>
      <c r="I665" s="45">
        <f>IFERROR(__xludf.DUMMYFUNCTION("""COMPUTED_VALUE"""),0.4166666666678793)</f>
        <v>0.4166666667</v>
      </c>
      <c r="J665" s="12">
        <f>IFERROR(__xludf.DUMMYFUNCTION("""COMPUTED_VALUE"""),1.2)</f>
        <v>1.2</v>
      </c>
      <c r="K665" s="12">
        <f>IFERROR(__xludf.DUMMYFUNCTION("""COMPUTED_VALUE"""),0.25)</f>
        <v>0.25</v>
      </c>
      <c r="L665" s="14">
        <f>IFERROR(__xludf.DUMMYFUNCTION("""COMPUTED_VALUE"""),81.869)</f>
        <v>81.869</v>
      </c>
      <c r="M665" s="14">
        <f>IFERROR(__xludf.DUMMYFUNCTION("""COMPUTED_VALUE"""),80.484)</f>
        <v>80.484</v>
      </c>
      <c r="N665" s="14">
        <f>IFERROR(__xludf.DUMMYFUNCTION("""COMPUTED_VALUE"""),82.443)</f>
        <v>82.443</v>
      </c>
      <c r="O665" s="14">
        <f>IFERROR(__xludf.DUMMYFUNCTION("""COMPUTED_VALUE"""),85.941)</f>
        <v>85.941</v>
      </c>
      <c r="P665" s="14">
        <f>IFERROR(__xludf.DUMMYFUNCTION("""COMPUTED_VALUE"""),89.977)</f>
        <v>89.977</v>
      </c>
      <c r="Q665" s="14">
        <f>IFERROR(__xludf.DUMMYFUNCTION("""COMPUTED_VALUE"""),84.143)</f>
        <v>84.143</v>
      </c>
      <c r="R665" s="48">
        <f>IFERROR(__xludf.DUMMYFUNCTION("""COMPUTED_VALUE"""),7.4)</f>
        <v>7.4</v>
      </c>
      <c r="S665" s="48">
        <f>IFERROR(__xludf.DUMMYFUNCTION("""COMPUTED_VALUE"""),7.14)</f>
        <v>7.14</v>
      </c>
      <c r="T665" s="48">
        <f>IFERROR(__xludf.DUMMYFUNCTION("""COMPUTED_VALUE"""),7.01)</f>
        <v>7.01</v>
      </c>
      <c r="U665" s="48">
        <f>IFERROR(__xludf.DUMMYFUNCTION("""COMPUTED_VALUE"""),6.85)</f>
        <v>6.85</v>
      </c>
      <c r="V665" s="48">
        <f>IFERROR(__xludf.DUMMYFUNCTION("""COMPUTED_VALUE"""),6.93)</f>
        <v>6.93</v>
      </c>
      <c r="W665" s="14">
        <f>IFERROR(__xludf.DUMMYFUNCTION("""COMPUTED_VALUE"""),7.066)</f>
        <v>7.066</v>
      </c>
      <c r="X665" s="14">
        <f>IFERROR(__xludf.DUMMYFUNCTION("""COMPUTED_VALUE"""),14.6)</f>
        <v>14.6</v>
      </c>
      <c r="Y665" s="14">
        <f>IFERROR(__xludf.DUMMYFUNCTION("""COMPUTED_VALUE"""),12.9)</f>
        <v>12.9</v>
      </c>
      <c r="Z665" s="14">
        <f>IFERROR(__xludf.DUMMYFUNCTION("""COMPUTED_VALUE"""),13.5)</f>
        <v>13.5</v>
      </c>
      <c r="AA665" s="14">
        <f>IFERROR(__xludf.DUMMYFUNCTION("""COMPUTED_VALUE"""),13.7)</f>
        <v>13.7</v>
      </c>
      <c r="AB665" s="14">
        <f>IFERROR(__xludf.DUMMYFUNCTION("""COMPUTED_VALUE"""),13.9)</f>
        <v>13.9</v>
      </c>
      <c r="AC665" s="14">
        <f>IFERROR(__xludf.DUMMYFUNCTION("""COMPUTED_VALUE"""),13.720000000000002)</f>
        <v>13.72</v>
      </c>
      <c r="AD665" s="48">
        <f>IFERROR(__xludf.DUMMYFUNCTION("""COMPUTED_VALUE"""),582.0)</f>
        <v>582</v>
      </c>
      <c r="AE665" s="48">
        <f>IFERROR(__xludf.DUMMYFUNCTION("""COMPUTED_VALUE"""),571.0)</f>
        <v>571</v>
      </c>
      <c r="AF665" s="48">
        <f>IFERROR(__xludf.DUMMYFUNCTION("""COMPUTED_VALUE"""),584.0)</f>
        <v>584</v>
      </c>
      <c r="AG665" s="48">
        <f>IFERROR(__xludf.DUMMYFUNCTION("""COMPUTED_VALUE"""),622.0)</f>
        <v>622</v>
      </c>
      <c r="AH665" s="48">
        <f>IFERROR(__xludf.DUMMYFUNCTION("""COMPUTED_VALUE"""),624.0)</f>
        <v>624</v>
      </c>
      <c r="AI665" s="14">
        <f>IFERROR(__xludf.DUMMYFUNCTION("""COMPUTED_VALUE"""),596.6)</f>
        <v>596.6</v>
      </c>
      <c r="AJ665" s="14">
        <f>IFERROR(__xludf.DUMMYFUNCTION("""COMPUTED_VALUE"""),6.29)</f>
        <v>6.29</v>
      </c>
      <c r="AK665" s="14">
        <f>IFERROR(__xludf.DUMMYFUNCTION("""COMPUTED_VALUE"""),6.44)</f>
        <v>6.44</v>
      </c>
      <c r="AL665" s="14">
        <f>IFERROR(__xludf.DUMMYFUNCTION("""COMPUTED_VALUE"""),5.98)</f>
        <v>5.98</v>
      </c>
      <c r="AM665" s="14">
        <f>IFERROR(__xludf.DUMMYFUNCTION("""COMPUTED_VALUE"""),6.1)</f>
        <v>6.1</v>
      </c>
      <c r="AN665" s="14">
        <f>IFERROR(__xludf.DUMMYFUNCTION("""COMPUTED_VALUE"""),6.16)</f>
        <v>6.16</v>
      </c>
      <c r="AO665" s="14">
        <f>IFERROR(__xludf.DUMMYFUNCTION("""COMPUTED_VALUE"""),6.194000000000001)</f>
        <v>6.194</v>
      </c>
      <c r="AP665" s="14">
        <f>IFERROR(__xludf.DUMMYFUNCTION("""COMPUTED_VALUE"""),52.0)</f>
        <v>52</v>
      </c>
      <c r="AQ665" s="14">
        <f>IFERROR(__xludf.DUMMYFUNCTION("""COMPUTED_VALUE"""),113.0)</f>
        <v>113</v>
      </c>
      <c r="AR665" s="14">
        <f>IFERROR(__xludf.DUMMYFUNCTION("""COMPUTED_VALUE"""),938.0)</f>
        <v>938</v>
      </c>
      <c r="AS665" s="14">
        <f>IFERROR(__xludf.DUMMYFUNCTION("""COMPUTED_VALUE"""),1.2)</f>
        <v>1.2</v>
      </c>
      <c r="AT665" s="14">
        <f>IFERROR(__xludf.DUMMYFUNCTION("""COMPUTED_VALUE"""),0.91)</f>
        <v>0.91</v>
      </c>
      <c r="AU665" s="14">
        <f>IFERROR(__xludf.DUMMYFUNCTION("""COMPUTED_VALUE"""),1.913E7)</f>
        <v>19130000</v>
      </c>
      <c r="AV665" s="14">
        <f>IFERROR(__xludf.DUMMYFUNCTION("""COMPUTED_VALUE"""),1.48)</f>
        <v>1.48</v>
      </c>
      <c r="AW665" s="14">
        <f>IFERROR(__xludf.DUMMYFUNCTION("""COMPUTED_VALUE"""),26.3)</f>
        <v>26.3</v>
      </c>
      <c r="AX665" s="14">
        <f>IFERROR(__xludf.DUMMYFUNCTION("""COMPUTED_VALUE"""),1.73E7)</f>
        <v>17300000</v>
      </c>
      <c r="AY665" s="14">
        <f>IFERROR(__xludf.DUMMYFUNCTION("""COMPUTED_VALUE"""),0.7)</f>
        <v>0.7</v>
      </c>
      <c r="AZ665" s="14">
        <f>IFERROR(__xludf.DUMMYFUNCTION("""COMPUTED_VALUE"""),0.08)</f>
        <v>0.08</v>
      </c>
      <c r="BA665" s="14">
        <f t="shared" si="1"/>
        <v>27.08</v>
      </c>
    </row>
    <row r="666" ht="14.25" customHeight="1">
      <c r="A666" s="10" t="str">
        <f>IFERROR(__xludf.DUMMYFUNCTION("""COMPUTED_VALUE"""),"100622DI01")</f>
        <v>100622DI01</v>
      </c>
      <c r="B666" s="12" t="str">
        <f>IFERROR(__xludf.DUMMYFUNCTION("""COMPUTED_VALUE"""),"QYO-Bolonia")</f>
        <v>QYO-Bolonia</v>
      </c>
      <c r="C666" s="12"/>
      <c r="D666" s="12"/>
      <c r="E666" s="44">
        <f>IFERROR(__xludf.DUMMYFUNCTION("""COMPUTED_VALUE"""),44722.0)</f>
        <v>44722</v>
      </c>
      <c r="F666" s="12" t="str">
        <f>IFERROR(__xludf.DUMMYFUNCTION("""COMPUTED_VALUE"""),"TIPO I")</f>
        <v>TIPO I</v>
      </c>
      <c r="G666" s="12" t="str">
        <f>IFERROR(__xludf.DUMMYFUNCTION("""COMPUTED_VALUE"""),"Se presenta una estructura de canal natural, con lecho lodoso - rocoso.
Se percibe olor y se observa color, además de residuos solidos en las orillas del cauce aguas abajo del punto de monitoreo y presencia herbácea.  ")</f>
        <v>Se presenta una estructura de canal natural, con lecho lodoso - rocoso.
Se percibe olor y se observa color, además de residuos solidos en las orillas del cauce aguas abajo del punto de monitoreo y presencia herbácea.  </v>
      </c>
      <c r="H666" s="45">
        <f>IFERROR(__xludf.DUMMYFUNCTION("""COMPUTED_VALUE"""),0.3333333333321207)</f>
        <v>0.3333333333</v>
      </c>
      <c r="I666" s="45">
        <f>IFERROR(__xludf.DUMMYFUNCTION("""COMPUTED_VALUE"""),0.4166666666678793)</f>
        <v>0.4166666667</v>
      </c>
      <c r="J666" s="12">
        <f>IFERROR(__xludf.DUMMYFUNCTION("""COMPUTED_VALUE"""),3.2)</f>
        <v>3.2</v>
      </c>
      <c r="K666" s="12">
        <f>IFERROR(__xludf.DUMMYFUNCTION("""COMPUTED_VALUE"""),0.55)</f>
        <v>0.55</v>
      </c>
      <c r="L666" s="14">
        <f>IFERROR(__xludf.DUMMYFUNCTION("""COMPUTED_VALUE"""),436.903)</f>
        <v>436.903</v>
      </c>
      <c r="M666" s="14">
        <f>IFERROR(__xludf.DUMMYFUNCTION("""COMPUTED_VALUE"""),399.265)</f>
        <v>399.265</v>
      </c>
      <c r="N666" s="14">
        <f>IFERROR(__xludf.DUMMYFUNCTION("""COMPUTED_VALUE"""),405.585)</f>
        <v>405.585</v>
      </c>
      <c r="O666" s="14">
        <f>IFERROR(__xludf.DUMMYFUNCTION("""COMPUTED_VALUE"""),407.128)</f>
        <v>407.128</v>
      </c>
      <c r="P666" s="14">
        <f>IFERROR(__xludf.DUMMYFUNCTION("""COMPUTED_VALUE"""),410.845)</f>
        <v>410.845</v>
      </c>
      <c r="Q666" s="14">
        <f>IFERROR(__xludf.DUMMYFUNCTION("""COMPUTED_VALUE"""),411.945)</f>
        <v>411.945</v>
      </c>
      <c r="R666" s="48">
        <f>IFERROR(__xludf.DUMMYFUNCTION("""COMPUTED_VALUE"""),8.52)</f>
        <v>8.52</v>
      </c>
      <c r="S666" s="48">
        <f>IFERROR(__xludf.DUMMYFUNCTION("""COMPUTED_VALUE"""),6.83)</f>
        <v>6.83</v>
      </c>
      <c r="T666" s="48">
        <f>IFERROR(__xludf.DUMMYFUNCTION("""COMPUTED_VALUE"""),6.78)</f>
        <v>6.78</v>
      </c>
      <c r="U666" s="48">
        <f>IFERROR(__xludf.DUMMYFUNCTION("""COMPUTED_VALUE"""),7.23)</f>
        <v>7.23</v>
      </c>
      <c r="V666" s="48">
        <f>IFERROR(__xludf.DUMMYFUNCTION("""COMPUTED_VALUE"""),6.57)</f>
        <v>6.57</v>
      </c>
      <c r="W666" s="14">
        <f>IFERROR(__xludf.DUMMYFUNCTION("""COMPUTED_VALUE"""),7.186)</f>
        <v>7.186</v>
      </c>
      <c r="X666" s="14">
        <f>IFERROR(__xludf.DUMMYFUNCTION("""COMPUTED_VALUE"""),13.1)</f>
        <v>13.1</v>
      </c>
      <c r="Y666" s="14">
        <f>IFERROR(__xludf.DUMMYFUNCTION("""COMPUTED_VALUE"""),12.2)</f>
        <v>12.2</v>
      </c>
      <c r="Z666" s="14">
        <f>IFERROR(__xludf.DUMMYFUNCTION("""COMPUTED_VALUE"""),12.8)</f>
        <v>12.8</v>
      </c>
      <c r="AA666" s="14">
        <f>IFERROR(__xludf.DUMMYFUNCTION("""COMPUTED_VALUE"""),13.0)</f>
        <v>13</v>
      </c>
      <c r="AB666" s="14">
        <f>IFERROR(__xludf.DUMMYFUNCTION("""COMPUTED_VALUE"""),13.1)</f>
        <v>13.1</v>
      </c>
      <c r="AC666" s="14">
        <f>IFERROR(__xludf.DUMMYFUNCTION("""COMPUTED_VALUE"""),12.839999999999998)</f>
        <v>12.84</v>
      </c>
      <c r="AD666" s="48">
        <f>IFERROR(__xludf.DUMMYFUNCTION("""COMPUTED_VALUE"""),74.0)</f>
        <v>74</v>
      </c>
      <c r="AE666" s="48">
        <f>IFERROR(__xludf.DUMMYFUNCTION("""COMPUTED_VALUE"""),73.0)</f>
        <v>73</v>
      </c>
      <c r="AF666" s="48">
        <f>IFERROR(__xludf.DUMMYFUNCTION("""COMPUTED_VALUE"""),73.0)</f>
        <v>73</v>
      </c>
      <c r="AG666" s="48">
        <f>IFERROR(__xludf.DUMMYFUNCTION("""COMPUTED_VALUE"""),76.0)</f>
        <v>76</v>
      </c>
      <c r="AH666" s="48">
        <f>IFERROR(__xludf.DUMMYFUNCTION("""COMPUTED_VALUE"""),81.0)</f>
        <v>81</v>
      </c>
      <c r="AI666" s="14">
        <f>IFERROR(__xludf.DUMMYFUNCTION("""COMPUTED_VALUE"""),75.4)</f>
        <v>75.4</v>
      </c>
      <c r="AJ666" s="14">
        <f>IFERROR(__xludf.DUMMYFUNCTION("""COMPUTED_VALUE"""),6.13)</f>
        <v>6.13</v>
      </c>
      <c r="AK666" s="14">
        <f>IFERROR(__xludf.DUMMYFUNCTION("""COMPUTED_VALUE"""),7.72)</f>
        <v>7.72</v>
      </c>
      <c r="AL666" s="14">
        <f>IFERROR(__xludf.DUMMYFUNCTION("""COMPUTED_VALUE"""),7.61)</f>
        <v>7.61</v>
      </c>
      <c r="AM666" s="14">
        <f>IFERROR(__xludf.DUMMYFUNCTION("""COMPUTED_VALUE"""),7.59)</f>
        <v>7.59</v>
      </c>
      <c r="AN666" s="14">
        <f>IFERROR(__xludf.DUMMYFUNCTION("""COMPUTED_VALUE"""),7.49)</f>
        <v>7.49</v>
      </c>
      <c r="AO666" s="14">
        <f>IFERROR(__xludf.DUMMYFUNCTION("""COMPUTED_VALUE"""),7.308)</f>
        <v>7.308</v>
      </c>
      <c r="AP666" s="14">
        <f>IFERROR(__xludf.DUMMYFUNCTION("""COMPUTED_VALUE"""),2.0)</f>
        <v>2</v>
      </c>
      <c r="AQ666" s="14">
        <f>IFERROR(__xludf.DUMMYFUNCTION("""COMPUTED_VALUE"""),6.0)</f>
        <v>6</v>
      </c>
      <c r="AR666" s="14">
        <f>IFERROR(__xludf.DUMMYFUNCTION("""COMPUTED_VALUE"""),23.0)</f>
        <v>23</v>
      </c>
      <c r="AS666" s="14">
        <f>IFERROR(__xludf.DUMMYFUNCTION("""COMPUTED_VALUE"""),1.2)</f>
        <v>1.2</v>
      </c>
      <c r="AT666" s="14">
        <f>IFERROR(__xludf.DUMMYFUNCTION("""COMPUTED_VALUE"""),0.07)</f>
        <v>0.07</v>
      </c>
      <c r="AU666" s="14">
        <f>IFERROR(__xludf.DUMMYFUNCTION("""COMPUTED_VALUE"""),1653000.0)</f>
        <v>1653000</v>
      </c>
      <c r="AV666" s="14">
        <f>IFERROR(__xludf.DUMMYFUNCTION("""COMPUTED_VALUE"""),0.33)</f>
        <v>0.33</v>
      </c>
      <c r="AW666" s="14">
        <f>IFERROR(__xludf.DUMMYFUNCTION("""COMPUTED_VALUE"""),1.0)</f>
        <v>1</v>
      </c>
      <c r="AX666" s="14">
        <f>IFERROR(__xludf.DUMMYFUNCTION("""COMPUTED_VALUE"""),139900.0)</f>
        <v>139900</v>
      </c>
      <c r="AY666" s="14">
        <f>IFERROR(__xludf.DUMMYFUNCTION("""COMPUTED_VALUE"""),6.0)</f>
        <v>6</v>
      </c>
      <c r="AZ666" s="14">
        <f>IFERROR(__xludf.DUMMYFUNCTION("""COMPUTED_VALUE"""),0.007)</f>
        <v>0.007</v>
      </c>
      <c r="BA666" s="14">
        <f t="shared" si="1"/>
        <v>7.007</v>
      </c>
    </row>
    <row r="667" ht="14.25" customHeight="1">
      <c r="A667" s="10" t="str">
        <f>IFERROR(__xludf.DUMMYFUNCTION("""COMPUTED_VALUE"""),"100622DI03")</f>
        <v>100622DI03</v>
      </c>
      <c r="B667" s="12" t="str">
        <f>IFERROR(__xludf.DUMMYFUNCTION("""COMPUTED_VALUE"""),"QYO-Monte Blanco")</f>
        <v>QYO-Monte Blanco</v>
      </c>
      <c r="C667" s="12"/>
      <c r="D667" s="12"/>
      <c r="E667" s="44">
        <f>IFERROR(__xludf.DUMMYFUNCTION("""COMPUTED_VALUE"""),44722.0)</f>
        <v>44722</v>
      </c>
      <c r="F667" s="12" t="str">
        <f>IFERROR(__xludf.DUMMYFUNCTION("""COMPUTED_VALUE"""),"TIPO I")</f>
        <v>TIPO I</v>
      </c>
      <c r="G667" s="12" t="str">
        <f>IFERROR(__xludf.DUMMYFUNCTION("""COMPUTED_VALUE"""),"Se presenta una estructura natural , con lecho lodoso - rocoso con presencia herbácea en las orillas del cauce. Se percibe olor y se observa color. ")</f>
        <v>Se presenta una estructura natural , con lecho lodoso - rocoso con presencia herbácea en las orillas del cauce. Se percibe olor y se observa color. </v>
      </c>
      <c r="H667" s="45">
        <f>IFERROR(__xludf.DUMMYFUNCTION("""COMPUTED_VALUE"""),0.6666666666678793)</f>
        <v>0.6666666667</v>
      </c>
      <c r="I667" s="45">
        <f>IFERROR(__xludf.DUMMYFUNCTION("""COMPUTED_VALUE"""),0.75)</f>
        <v>0.75</v>
      </c>
      <c r="J667" s="12">
        <f>IFERROR(__xludf.DUMMYFUNCTION("""COMPUTED_VALUE"""),2.3)</f>
        <v>2.3</v>
      </c>
      <c r="K667" s="12">
        <f>IFERROR(__xludf.DUMMYFUNCTION("""COMPUTED_VALUE"""),0.55)</f>
        <v>0.55</v>
      </c>
      <c r="L667" s="14">
        <f>IFERROR(__xludf.DUMMYFUNCTION("""COMPUTED_VALUE"""),491.417)</f>
        <v>491.417</v>
      </c>
      <c r="M667" s="14">
        <f>IFERROR(__xludf.DUMMYFUNCTION("""COMPUTED_VALUE"""),487.818)</f>
        <v>487.818</v>
      </c>
      <c r="N667" s="14">
        <f>IFERROR(__xludf.DUMMYFUNCTION("""COMPUTED_VALUE"""),489.708)</f>
        <v>489.708</v>
      </c>
      <c r="O667" s="14">
        <f>IFERROR(__xludf.DUMMYFUNCTION("""COMPUTED_VALUE"""),487.238)</f>
        <v>487.238</v>
      </c>
      <c r="P667" s="14">
        <f>IFERROR(__xludf.DUMMYFUNCTION("""COMPUTED_VALUE"""),472.397)</f>
        <v>472.397</v>
      </c>
      <c r="Q667" s="14">
        <f>IFERROR(__xludf.DUMMYFUNCTION("""COMPUTED_VALUE"""),485.716)</f>
        <v>485.716</v>
      </c>
      <c r="R667" s="48">
        <f>IFERROR(__xludf.DUMMYFUNCTION("""COMPUTED_VALUE"""),7.26)</f>
        <v>7.26</v>
      </c>
      <c r="S667" s="48">
        <f>IFERROR(__xludf.DUMMYFUNCTION("""COMPUTED_VALUE"""),7.43)</f>
        <v>7.43</v>
      </c>
      <c r="T667" s="48">
        <f>IFERROR(__xludf.DUMMYFUNCTION("""COMPUTED_VALUE"""),7.55)</f>
        <v>7.55</v>
      </c>
      <c r="U667" s="48">
        <f>IFERROR(__xludf.DUMMYFUNCTION("""COMPUTED_VALUE"""),7.55)</f>
        <v>7.55</v>
      </c>
      <c r="V667" s="48">
        <f>IFERROR(__xludf.DUMMYFUNCTION("""COMPUTED_VALUE"""),7.49)</f>
        <v>7.49</v>
      </c>
      <c r="W667" s="14">
        <f>IFERROR(__xludf.DUMMYFUNCTION("""COMPUTED_VALUE"""),7.456)</f>
        <v>7.456</v>
      </c>
      <c r="X667" s="14">
        <f>IFERROR(__xludf.DUMMYFUNCTION("""COMPUTED_VALUE"""),15.6)</f>
        <v>15.6</v>
      </c>
      <c r="Y667" s="14">
        <f>IFERROR(__xludf.DUMMYFUNCTION("""COMPUTED_VALUE"""),15.4)</f>
        <v>15.4</v>
      </c>
      <c r="Z667" s="14">
        <f>IFERROR(__xludf.DUMMYFUNCTION("""COMPUTED_VALUE"""),15.1)</f>
        <v>15.1</v>
      </c>
      <c r="AA667" s="14">
        <f>IFERROR(__xludf.DUMMYFUNCTION("""COMPUTED_VALUE"""),14.8)</f>
        <v>14.8</v>
      </c>
      <c r="AB667" s="14">
        <f>IFERROR(__xludf.DUMMYFUNCTION("""COMPUTED_VALUE"""),14.7)</f>
        <v>14.7</v>
      </c>
      <c r="AC667" s="14">
        <f>IFERROR(__xludf.DUMMYFUNCTION("""COMPUTED_VALUE"""),15.120000000000001)</f>
        <v>15.12</v>
      </c>
      <c r="AD667" s="48">
        <f>IFERROR(__xludf.DUMMYFUNCTION("""COMPUTED_VALUE"""),131.0)</f>
        <v>131</v>
      </c>
      <c r="AE667" s="48">
        <f>IFERROR(__xludf.DUMMYFUNCTION("""COMPUTED_VALUE"""),130.0)</f>
        <v>130</v>
      </c>
      <c r="AF667" s="48">
        <f>IFERROR(__xludf.DUMMYFUNCTION("""COMPUTED_VALUE"""),133.0)</f>
        <v>133</v>
      </c>
      <c r="AG667" s="48">
        <f>IFERROR(__xludf.DUMMYFUNCTION("""COMPUTED_VALUE"""),131.0)</f>
        <v>131</v>
      </c>
      <c r="AH667" s="48">
        <f>IFERROR(__xludf.DUMMYFUNCTION("""COMPUTED_VALUE"""),130.0)</f>
        <v>130</v>
      </c>
      <c r="AI667" s="14">
        <f>IFERROR(__xludf.DUMMYFUNCTION("""COMPUTED_VALUE"""),131.0)</f>
        <v>131</v>
      </c>
      <c r="AJ667" s="14">
        <f>IFERROR(__xludf.DUMMYFUNCTION("""COMPUTED_VALUE"""),6.62)</f>
        <v>6.62</v>
      </c>
      <c r="AK667" s="14">
        <f>IFERROR(__xludf.DUMMYFUNCTION("""COMPUTED_VALUE"""),6.52)</f>
        <v>6.52</v>
      </c>
      <c r="AL667" s="14">
        <f>IFERROR(__xludf.DUMMYFUNCTION("""COMPUTED_VALUE"""),6.28)</f>
        <v>6.28</v>
      </c>
      <c r="AM667" s="14">
        <f>IFERROR(__xludf.DUMMYFUNCTION("""COMPUTED_VALUE"""),6.33)</f>
        <v>6.33</v>
      </c>
      <c r="AN667" s="14">
        <f>IFERROR(__xludf.DUMMYFUNCTION("""COMPUTED_VALUE"""),6.38)</f>
        <v>6.38</v>
      </c>
      <c r="AO667" s="14">
        <f>IFERROR(__xludf.DUMMYFUNCTION("""COMPUTED_VALUE"""),6.426)</f>
        <v>6.426</v>
      </c>
      <c r="AP667" s="14">
        <f>IFERROR(__xludf.DUMMYFUNCTION("""COMPUTED_VALUE"""),3.0)</f>
        <v>3</v>
      </c>
      <c r="AQ667" s="14">
        <f>IFERROR(__xludf.DUMMYFUNCTION("""COMPUTED_VALUE"""),15.0)</f>
        <v>15</v>
      </c>
      <c r="AR667" s="14">
        <f>IFERROR(__xludf.DUMMYFUNCTION("""COMPUTED_VALUE"""),23.0)</f>
        <v>23</v>
      </c>
      <c r="AS667" s="14">
        <f>IFERROR(__xludf.DUMMYFUNCTION("""COMPUTED_VALUE"""),1.2)</f>
        <v>1.2</v>
      </c>
      <c r="AT667" s="14">
        <f>IFERROR(__xludf.DUMMYFUNCTION("""COMPUTED_VALUE"""),0.07)</f>
        <v>0.07</v>
      </c>
      <c r="AU667" s="14">
        <f>IFERROR(__xludf.DUMMYFUNCTION("""COMPUTED_VALUE"""),135400.0)</f>
        <v>135400</v>
      </c>
      <c r="AV667" s="14">
        <f>IFERROR(__xludf.DUMMYFUNCTION("""COMPUTED_VALUE"""),0.48)</f>
        <v>0.48</v>
      </c>
      <c r="AW667" s="14">
        <f>IFERROR(__xludf.DUMMYFUNCTION("""COMPUTED_VALUE"""),3.4)</f>
        <v>3.4</v>
      </c>
      <c r="AX667" s="14">
        <f>IFERROR(__xludf.DUMMYFUNCTION("""COMPUTED_VALUE"""),124600.0)</f>
        <v>124600</v>
      </c>
      <c r="AY667" s="14">
        <f>IFERROR(__xludf.DUMMYFUNCTION("""COMPUTED_VALUE"""),3.2)</f>
        <v>3.2</v>
      </c>
      <c r="AZ667" s="14">
        <f>IFERROR(__xludf.DUMMYFUNCTION("""COMPUTED_VALUE"""),0.023)</f>
        <v>0.023</v>
      </c>
      <c r="BA667" s="14">
        <f t="shared" si="1"/>
        <v>6.623</v>
      </c>
    </row>
    <row r="668" ht="14.25" customHeight="1">
      <c r="A668" s="10" t="str">
        <f>IFERROR(__xludf.DUMMYFUNCTION("""COMPUTED_VALUE"""),"070622CA01")</f>
        <v>070622CA01</v>
      </c>
      <c r="B668" s="12" t="str">
        <f>IFERROR(__xludf.DUMMYFUNCTION("""COMPUTED_VALUE"""),"QLI-El Satélite")</f>
        <v>QLI-El Satélite</v>
      </c>
      <c r="C668" s="12"/>
      <c r="D668" s="12"/>
      <c r="E668" s="44">
        <f>IFERROR(__xludf.DUMMYFUNCTION("""COMPUTED_VALUE"""),44719.0)</f>
        <v>44719</v>
      </c>
      <c r="F668" s="12" t="str">
        <f>IFERROR(__xludf.DUMMYFUNCTION("""COMPUTED_VALUE"""),"TIPO I")</f>
        <v>TIPO I</v>
      </c>
      <c r="G668" s="12" t="str">
        <f>IFERROR(__xludf.DUMMYFUNCTION("""COMPUTED_VALUE"""),"Presenta coloración y se perciben olores")</f>
        <v>Presenta coloración y se perciben olores</v>
      </c>
      <c r="H668" s="45">
        <f>IFERROR(__xludf.DUMMYFUNCTION("""COMPUTED_VALUE"""),0.3333333333321207)</f>
        <v>0.3333333333</v>
      </c>
      <c r="I668" s="45">
        <f>IFERROR(__xludf.DUMMYFUNCTION("""COMPUTED_VALUE"""),0.4166666666678793)</f>
        <v>0.4166666667</v>
      </c>
      <c r="J668" s="12">
        <f>IFERROR(__xludf.DUMMYFUNCTION("""COMPUTED_VALUE"""),3.3)</f>
        <v>3.3</v>
      </c>
      <c r="K668" s="12">
        <f>IFERROR(__xludf.DUMMYFUNCTION("""COMPUTED_VALUE"""),0.35)</f>
        <v>0.35</v>
      </c>
      <c r="L668" s="14">
        <f>IFERROR(__xludf.DUMMYFUNCTION("""COMPUTED_VALUE"""),718.995)</f>
        <v>718.995</v>
      </c>
      <c r="M668" s="14">
        <f>IFERROR(__xludf.DUMMYFUNCTION("""COMPUTED_VALUE"""),717.595)</f>
        <v>717.595</v>
      </c>
      <c r="N668" s="14">
        <f>IFERROR(__xludf.DUMMYFUNCTION("""COMPUTED_VALUE"""),725.201)</f>
        <v>725.201</v>
      </c>
      <c r="O668" s="14">
        <f>IFERROR(__xludf.DUMMYFUNCTION("""COMPUTED_VALUE"""),714.509)</f>
        <v>714.509</v>
      </c>
      <c r="P668" s="14">
        <f>IFERROR(__xludf.DUMMYFUNCTION("""COMPUTED_VALUE"""),718.996)</f>
        <v>718.996</v>
      </c>
      <c r="Q668" s="14">
        <f>IFERROR(__xludf.DUMMYFUNCTION("""COMPUTED_VALUE"""),719.059)</f>
        <v>719.059</v>
      </c>
      <c r="R668" s="48">
        <f>IFERROR(__xludf.DUMMYFUNCTION("""COMPUTED_VALUE"""),7.89)</f>
        <v>7.89</v>
      </c>
      <c r="S668" s="48">
        <f>IFERROR(__xludf.DUMMYFUNCTION("""COMPUTED_VALUE"""),6.67)</f>
        <v>6.67</v>
      </c>
      <c r="T668" s="48">
        <f>IFERROR(__xludf.DUMMYFUNCTION("""COMPUTED_VALUE"""),7.97)</f>
        <v>7.97</v>
      </c>
      <c r="U668" s="48">
        <f>IFERROR(__xludf.DUMMYFUNCTION("""COMPUTED_VALUE"""),8.06)</f>
        <v>8.06</v>
      </c>
      <c r="V668" s="48">
        <f>IFERROR(__xludf.DUMMYFUNCTION("""COMPUTED_VALUE"""),8.07)</f>
        <v>8.07</v>
      </c>
      <c r="W668" s="14">
        <f>IFERROR(__xludf.DUMMYFUNCTION("""COMPUTED_VALUE"""),7.731999999999999)</f>
        <v>7.732</v>
      </c>
      <c r="X668" s="14">
        <f>IFERROR(__xludf.DUMMYFUNCTION("""COMPUTED_VALUE"""),15.9)</f>
        <v>15.9</v>
      </c>
      <c r="Y668" s="14">
        <f>IFERROR(__xludf.DUMMYFUNCTION("""COMPUTED_VALUE"""),15.7)</f>
        <v>15.7</v>
      </c>
      <c r="Z668" s="14">
        <f>IFERROR(__xludf.DUMMYFUNCTION("""COMPUTED_VALUE"""),15.0)</f>
        <v>15</v>
      </c>
      <c r="AA668" s="14">
        <f>IFERROR(__xludf.DUMMYFUNCTION("""COMPUTED_VALUE"""),15.0)</f>
        <v>15</v>
      </c>
      <c r="AB668" s="14">
        <f>IFERROR(__xludf.DUMMYFUNCTION("""COMPUTED_VALUE"""),15.1)</f>
        <v>15.1</v>
      </c>
      <c r="AC668" s="14">
        <f>IFERROR(__xludf.DUMMYFUNCTION("""COMPUTED_VALUE"""),15.34)</f>
        <v>15.34</v>
      </c>
      <c r="AD668" s="48">
        <f>IFERROR(__xludf.DUMMYFUNCTION("""COMPUTED_VALUE"""),255.0)</f>
        <v>255</v>
      </c>
      <c r="AE668" s="48">
        <f>IFERROR(__xludf.DUMMYFUNCTION("""COMPUTED_VALUE"""),256.0)</f>
        <v>256</v>
      </c>
      <c r="AF668" s="48">
        <f>IFERROR(__xludf.DUMMYFUNCTION("""COMPUTED_VALUE"""),267.0)</f>
        <v>267</v>
      </c>
      <c r="AG668" s="48">
        <f>IFERROR(__xludf.DUMMYFUNCTION("""COMPUTED_VALUE"""),266.0)</f>
        <v>266</v>
      </c>
      <c r="AH668" s="48">
        <f>IFERROR(__xludf.DUMMYFUNCTION("""COMPUTED_VALUE"""),267.0)</f>
        <v>267</v>
      </c>
      <c r="AI668" s="14">
        <f>IFERROR(__xludf.DUMMYFUNCTION("""COMPUTED_VALUE"""),262.2)</f>
        <v>262.2</v>
      </c>
      <c r="AJ668" s="14">
        <f>IFERROR(__xludf.DUMMYFUNCTION("""COMPUTED_VALUE"""),6.9)</f>
        <v>6.9</v>
      </c>
      <c r="AK668" s="14">
        <f>IFERROR(__xludf.DUMMYFUNCTION("""COMPUTED_VALUE"""),6.98)</f>
        <v>6.98</v>
      </c>
      <c r="AL668" s="14">
        <f>IFERROR(__xludf.DUMMYFUNCTION("""COMPUTED_VALUE"""),7.06)</f>
        <v>7.06</v>
      </c>
      <c r="AM668" s="14">
        <f>IFERROR(__xludf.DUMMYFUNCTION("""COMPUTED_VALUE"""),7.0)</f>
        <v>7</v>
      </c>
      <c r="AN668" s="14">
        <f>IFERROR(__xludf.DUMMYFUNCTION("""COMPUTED_VALUE"""),7.0)</f>
        <v>7</v>
      </c>
      <c r="AO668" s="14">
        <f>IFERROR(__xludf.DUMMYFUNCTION("""COMPUTED_VALUE"""),6.9879999999999995)</f>
        <v>6.988</v>
      </c>
      <c r="AP668" s="14">
        <f>IFERROR(__xludf.DUMMYFUNCTION("""COMPUTED_VALUE"""),17.0)</f>
        <v>17</v>
      </c>
      <c r="AQ668" s="14">
        <f>IFERROR(__xludf.DUMMYFUNCTION("""COMPUTED_VALUE"""),80.0)</f>
        <v>80</v>
      </c>
      <c r="AR668" s="14">
        <f>IFERROR(__xludf.DUMMYFUNCTION("""COMPUTED_VALUE"""),530.0)</f>
        <v>530</v>
      </c>
      <c r="AS668" s="14">
        <f>IFERROR(__xludf.DUMMYFUNCTION("""COMPUTED_VALUE"""),1.2)</f>
        <v>1.2</v>
      </c>
      <c r="AT668" s="14">
        <f>IFERROR(__xludf.DUMMYFUNCTION("""COMPUTED_VALUE"""),0.07)</f>
        <v>0.07</v>
      </c>
      <c r="AU668" s="14">
        <f>IFERROR(__xludf.DUMMYFUNCTION("""COMPUTED_VALUE"""),1.77E7)</f>
        <v>17700000</v>
      </c>
      <c r="AV668" s="14">
        <f>IFERROR(__xludf.DUMMYFUNCTION("""COMPUTED_VALUE"""),0.67)</f>
        <v>0.67</v>
      </c>
      <c r="AW668" s="14">
        <f>IFERROR(__xludf.DUMMYFUNCTION("""COMPUTED_VALUE"""),9.2)</f>
        <v>9.2</v>
      </c>
      <c r="AX668" s="14">
        <f>IFERROR(__xludf.DUMMYFUNCTION("""COMPUTED_VALUE"""),1.494E7)</f>
        <v>14940000</v>
      </c>
      <c r="AY668" s="14">
        <f>IFERROR(__xludf.DUMMYFUNCTION("""COMPUTED_VALUE"""),0.5)</f>
        <v>0.5</v>
      </c>
      <c r="AZ668" s="14">
        <f>IFERROR(__xludf.DUMMYFUNCTION("""COMPUTED_VALUE"""),0.02)</f>
        <v>0.02</v>
      </c>
      <c r="BA668" s="14">
        <f t="shared" si="1"/>
        <v>9.72</v>
      </c>
    </row>
    <row r="669" ht="14.25" customHeight="1">
      <c r="A669" s="10" t="str">
        <f>IFERROR(__xludf.DUMMYFUNCTION("""COMPUTED_VALUE"""),"070622DI01")</f>
        <v>070622DI01</v>
      </c>
      <c r="B669" s="12" t="str">
        <f>IFERROR(__xludf.DUMMYFUNCTION("""COMPUTED_VALUE"""),"QLI-Villa del Diamante")</f>
        <v>QLI-Villa del Diamante</v>
      </c>
      <c r="C669" s="12"/>
      <c r="D669" s="12"/>
      <c r="E669" s="44">
        <f>IFERROR(__xludf.DUMMYFUNCTION("""COMPUTED_VALUE"""),44719.0)</f>
        <v>44719</v>
      </c>
      <c r="F669" s="12" t="str">
        <f>IFERROR(__xludf.DUMMYFUNCTION("""COMPUTED_VALUE"""),"TIPO I")</f>
        <v>TIPO I</v>
      </c>
      <c r="G669" s="12" t="str">
        <f>IFERROR(__xludf.DUMMYFUNCTION("""COMPUTED_VALUE"""),"Se percibe olor y se observa coloración.
Altura: 2634 msnm")</f>
        <v>Se percibe olor y se observa coloración.
Altura: 2634 msnm</v>
      </c>
      <c r="H669" s="45">
        <f>IFERROR(__xludf.DUMMYFUNCTION("""COMPUTED_VALUE"""),0.3333333333321207)</f>
        <v>0.3333333333</v>
      </c>
      <c r="I669" s="45">
        <f>IFERROR(__xludf.DUMMYFUNCTION("""COMPUTED_VALUE"""),0.4166666666678793)</f>
        <v>0.4166666667</v>
      </c>
      <c r="J669" s="12">
        <f>IFERROR(__xludf.DUMMYFUNCTION("""COMPUTED_VALUE"""),1.9)</f>
        <v>1.9</v>
      </c>
      <c r="K669" s="12">
        <f>IFERROR(__xludf.DUMMYFUNCTION("""COMPUTED_VALUE"""),0.23)</f>
        <v>0.23</v>
      </c>
      <c r="L669" s="14">
        <f>IFERROR(__xludf.DUMMYFUNCTION("""COMPUTED_VALUE"""),300.672)</f>
        <v>300.672</v>
      </c>
      <c r="M669" s="14">
        <f>IFERROR(__xludf.DUMMYFUNCTION("""COMPUTED_VALUE"""),291.357)</f>
        <v>291.357</v>
      </c>
      <c r="N669" s="14">
        <f>IFERROR(__xludf.DUMMYFUNCTION("""COMPUTED_VALUE"""),295.184)</f>
        <v>295.184</v>
      </c>
      <c r="O669" s="14">
        <f>IFERROR(__xludf.DUMMYFUNCTION("""COMPUTED_VALUE"""),297.084)</f>
        <v>297.084</v>
      </c>
      <c r="P669" s="14">
        <f>IFERROR(__xludf.DUMMYFUNCTION("""COMPUTED_VALUE"""),298.875)</f>
        <v>298.875</v>
      </c>
      <c r="Q669" s="14">
        <f>IFERROR(__xludf.DUMMYFUNCTION("""COMPUTED_VALUE"""),296.635)</f>
        <v>296.635</v>
      </c>
      <c r="R669" s="48">
        <f>IFERROR(__xludf.DUMMYFUNCTION("""COMPUTED_VALUE"""),7.67)</f>
        <v>7.67</v>
      </c>
      <c r="S669" s="48">
        <f>IFERROR(__xludf.DUMMYFUNCTION("""COMPUTED_VALUE"""),7.76)</f>
        <v>7.76</v>
      </c>
      <c r="T669" s="48">
        <f>IFERROR(__xludf.DUMMYFUNCTION("""COMPUTED_VALUE"""),7.59)</f>
        <v>7.59</v>
      </c>
      <c r="U669" s="48">
        <f>IFERROR(__xludf.DUMMYFUNCTION("""COMPUTED_VALUE"""),7.41)</f>
        <v>7.41</v>
      </c>
      <c r="V669" s="48">
        <f>IFERROR(__xludf.DUMMYFUNCTION("""COMPUTED_VALUE"""),7.82)</f>
        <v>7.82</v>
      </c>
      <c r="W669" s="14">
        <f>IFERROR(__xludf.DUMMYFUNCTION("""COMPUTED_VALUE"""),7.65)</f>
        <v>7.65</v>
      </c>
      <c r="X669" s="14">
        <f>IFERROR(__xludf.DUMMYFUNCTION("""COMPUTED_VALUE"""),13.6)</f>
        <v>13.6</v>
      </c>
      <c r="Y669" s="14">
        <f>IFERROR(__xludf.DUMMYFUNCTION("""COMPUTED_VALUE"""),13.8)</f>
        <v>13.8</v>
      </c>
      <c r="Z669" s="14">
        <f>IFERROR(__xludf.DUMMYFUNCTION("""COMPUTED_VALUE"""),14.6)</f>
        <v>14.6</v>
      </c>
      <c r="AA669" s="14">
        <f>IFERROR(__xludf.DUMMYFUNCTION("""COMPUTED_VALUE"""),14.0)</f>
        <v>14</v>
      </c>
      <c r="AB669" s="14">
        <f>IFERROR(__xludf.DUMMYFUNCTION("""COMPUTED_VALUE"""),14.2)</f>
        <v>14.2</v>
      </c>
      <c r="AC669" s="14">
        <f>IFERROR(__xludf.DUMMYFUNCTION("""COMPUTED_VALUE"""),14.040000000000001)</f>
        <v>14.04</v>
      </c>
      <c r="AD669" s="48">
        <f>IFERROR(__xludf.DUMMYFUNCTION("""COMPUTED_VALUE"""),269.0)</f>
        <v>269</v>
      </c>
      <c r="AE669" s="48">
        <f>IFERROR(__xludf.DUMMYFUNCTION("""COMPUTED_VALUE"""),273.0)</f>
        <v>273</v>
      </c>
      <c r="AF669" s="48">
        <f>IFERROR(__xludf.DUMMYFUNCTION("""COMPUTED_VALUE"""),277.0)</f>
        <v>277</v>
      </c>
      <c r="AG669" s="48">
        <f>IFERROR(__xludf.DUMMYFUNCTION("""COMPUTED_VALUE"""),280.0)</f>
        <v>280</v>
      </c>
      <c r="AH669" s="48">
        <f>IFERROR(__xludf.DUMMYFUNCTION("""COMPUTED_VALUE"""),287.0)</f>
        <v>287</v>
      </c>
      <c r="AI669" s="14">
        <f>IFERROR(__xludf.DUMMYFUNCTION("""COMPUTED_VALUE"""),277.2)</f>
        <v>277.2</v>
      </c>
      <c r="AJ669" s="14">
        <f>IFERROR(__xludf.DUMMYFUNCTION("""COMPUTED_VALUE"""),6.3)</f>
        <v>6.3</v>
      </c>
      <c r="AK669" s="14">
        <f>IFERROR(__xludf.DUMMYFUNCTION("""COMPUTED_VALUE"""),6.0)</f>
        <v>6</v>
      </c>
      <c r="AL669" s="14">
        <f>IFERROR(__xludf.DUMMYFUNCTION("""COMPUTED_VALUE"""),6.3)</f>
        <v>6.3</v>
      </c>
      <c r="AM669" s="14">
        <f>IFERROR(__xludf.DUMMYFUNCTION("""COMPUTED_VALUE"""),6.2)</f>
        <v>6.2</v>
      </c>
      <c r="AN669" s="14">
        <f>IFERROR(__xludf.DUMMYFUNCTION("""COMPUTED_VALUE"""),5.8)</f>
        <v>5.8</v>
      </c>
      <c r="AO669" s="14">
        <f>IFERROR(__xludf.DUMMYFUNCTION("""COMPUTED_VALUE"""),6.12)</f>
        <v>6.12</v>
      </c>
      <c r="AP669" s="14">
        <f>IFERROR(__xludf.DUMMYFUNCTION("""COMPUTED_VALUE"""),8.0)</f>
        <v>8</v>
      </c>
      <c r="AQ669" s="14">
        <f>IFERROR(__xludf.DUMMYFUNCTION("""COMPUTED_VALUE"""),60.0)</f>
        <v>60</v>
      </c>
      <c r="AR669" s="14">
        <f>IFERROR(__xludf.DUMMYFUNCTION("""COMPUTED_VALUE"""),303.0)</f>
        <v>303</v>
      </c>
      <c r="AS669" s="14">
        <f>IFERROR(__xludf.DUMMYFUNCTION("""COMPUTED_VALUE"""),1.2)</f>
        <v>1.2</v>
      </c>
      <c r="AT669" s="14">
        <f>IFERROR(__xludf.DUMMYFUNCTION("""COMPUTED_VALUE"""),0.07)</f>
        <v>0.07</v>
      </c>
      <c r="AU669" s="14">
        <f>IFERROR(__xludf.DUMMYFUNCTION("""COMPUTED_VALUE"""),808000.0)</f>
        <v>808000</v>
      </c>
      <c r="AV669" s="14">
        <f>IFERROR(__xludf.DUMMYFUNCTION("""COMPUTED_VALUE"""),0.42)</f>
        <v>0.42</v>
      </c>
      <c r="AW669" s="14">
        <f>IFERROR(__xludf.DUMMYFUNCTION("""COMPUTED_VALUE"""),7.3)</f>
        <v>7.3</v>
      </c>
      <c r="AX669" s="14">
        <f>IFERROR(__xludf.DUMMYFUNCTION("""COMPUTED_VALUE"""),91100.0)</f>
        <v>91100</v>
      </c>
      <c r="AY669" s="14">
        <f>IFERROR(__xludf.DUMMYFUNCTION("""COMPUTED_VALUE"""),0.1)</f>
        <v>0.1</v>
      </c>
      <c r="AZ669" s="14">
        <f>IFERROR(__xludf.DUMMYFUNCTION("""COMPUTED_VALUE"""),0.007)</f>
        <v>0.007</v>
      </c>
      <c r="BA669" s="14">
        <f t="shared" si="1"/>
        <v>7.407</v>
      </c>
    </row>
    <row r="670" ht="14.25" customHeight="1">
      <c r="A670" s="10" t="str">
        <f>IFERROR(__xludf.DUMMYFUNCTION("""COMPUTED_VALUE"""),"100622DI02")</f>
        <v>100622DI02</v>
      </c>
      <c r="B670" s="12" t="str">
        <f>IFERROR(__xludf.DUMMYFUNCTION("""COMPUTED_VALUE"""),"QYO-Arrayanal")</f>
        <v>QYO-Arrayanal</v>
      </c>
      <c r="C670" s="12"/>
      <c r="D670" s="12"/>
      <c r="E670" s="44">
        <f>IFERROR(__xludf.DUMMYFUNCTION("""COMPUTED_VALUE"""),44722.0)</f>
        <v>44722</v>
      </c>
      <c r="F670" s="12" t="str">
        <f>IFERROR(__xludf.DUMMYFUNCTION("""COMPUTED_VALUE"""),"TIPO I")</f>
        <v>TIPO I</v>
      </c>
      <c r="G670" s="12" t="str">
        <f>IFERROR(__xludf.DUMMYFUNCTION("""COMPUTED_VALUE"""),"Se presenta un lecho natural, rocoso - lodoso. Se percibe olor y observa color, además de  acumulación de residuos solidos aguas arriba del punto de monitoreo.")</f>
        <v>Se presenta un lecho natural, rocoso - lodoso. Se percibe olor y observa color, además de  acumulación de residuos solidos aguas arriba del punto de monitoreo.</v>
      </c>
      <c r="H670" s="45">
        <f>IFERROR(__xludf.DUMMYFUNCTION("""COMPUTED_VALUE"""),0.5)</f>
        <v>0.5</v>
      </c>
      <c r="I670" s="45">
        <f>IFERROR(__xludf.DUMMYFUNCTION("""COMPUTED_VALUE"""),0.5833333333321207)</f>
        <v>0.5833333333</v>
      </c>
      <c r="J670" s="12">
        <f>IFERROR(__xludf.DUMMYFUNCTION("""COMPUTED_VALUE"""),3.5)</f>
        <v>3.5</v>
      </c>
      <c r="K670" s="12">
        <f>IFERROR(__xludf.DUMMYFUNCTION("""COMPUTED_VALUE"""),0.6)</f>
        <v>0.6</v>
      </c>
      <c r="L670" s="14">
        <f>IFERROR(__xludf.DUMMYFUNCTION("""COMPUTED_VALUE"""),481.653)</f>
        <v>481.653</v>
      </c>
      <c r="M670" s="14">
        <f>IFERROR(__xludf.DUMMYFUNCTION("""COMPUTED_VALUE"""),485.071)</f>
        <v>485.071</v>
      </c>
      <c r="N670" s="14">
        <f>IFERROR(__xludf.DUMMYFUNCTION("""COMPUTED_VALUE"""),495.919)</f>
        <v>495.919</v>
      </c>
      <c r="O670" s="14">
        <f>IFERROR(__xludf.DUMMYFUNCTION("""COMPUTED_VALUE"""),500.622)</f>
        <v>500.622</v>
      </c>
      <c r="P670" s="14">
        <f>IFERROR(__xludf.DUMMYFUNCTION("""COMPUTED_VALUE"""),495.143)</f>
        <v>495.143</v>
      </c>
      <c r="Q670" s="14">
        <f>IFERROR(__xludf.DUMMYFUNCTION("""COMPUTED_VALUE"""),491.682)</f>
        <v>491.682</v>
      </c>
      <c r="R670" s="48">
        <f>IFERROR(__xludf.DUMMYFUNCTION("""COMPUTED_VALUE"""),6.95)</f>
        <v>6.95</v>
      </c>
      <c r="S670" s="48">
        <f>IFERROR(__xludf.DUMMYFUNCTION("""COMPUTED_VALUE"""),6.99)</f>
        <v>6.99</v>
      </c>
      <c r="T670" s="48">
        <f>IFERROR(__xludf.DUMMYFUNCTION("""COMPUTED_VALUE"""),7.01)</f>
        <v>7.01</v>
      </c>
      <c r="U670" s="48">
        <f>IFERROR(__xludf.DUMMYFUNCTION("""COMPUTED_VALUE"""),6.98)</f>
        <v>6.98</v>
      </c>
      <c r="V670" s="48">
        <f>IFERROR(__xludf.DUMMYFUNCTION("""COMPUTED_VALUE"""),7.0)</f>
        <v>7</v>
      </c>
      <c r="W670" s="14">
        <f>IFERROR(__xludf.DUMMYFUNCTION("""COMPUTED_VALUE"""),6.9860000000000015)</f>
        <v>6.986</v>
      </c>
      <c r="X670" s="14">
        <f>IFERROR(__xludf.DUMMYFUNCTION("""COMPUTED_VALUE"""),12.9)</f>
        <v>12.9</v>
      </c>
      <c r="Y670" s="14">
        <f>IFERROR(__xludf.DUMMYFUNCTION("""COMPUTED_VALUE"""),12.9)</f>
        <v>12.9</v>
      </c>
      <c r="Z670" s="14">
        <f>IFERROR(__xludf.DUMMYFUNCTION("""COMPUTED_VALUE"""),13.1)</f>
        <v>13.1</v>
      </c>
      <c r="AA670" s="14">
        <f>IFERROR(__xludf.DUMMYFUNCTION("""COMPUTED_VALUE"""),13.2)</f>
        <v>13.2</v>
      </c>
      <c r="AB670" s="14">
        <f>IFERROR(__xludf.DUMMYFUNCTION("""COMPUTED_VALUE"""),13.3)</f>
        <v>13.3</v>
      </c>
      <c r="AC670" s="14">
        <f>IFERROR(__xludf.DUMMYFUNCTION("""COMPUTED_VALUE"""),13.079999999999998)</f>
        <v>13.08</v>
      </c>
      <c r="AD670" s="48">
        <f>IFERROR(__xludf.DUMMYFUNCTION("""COMPUTED_VALUE"""),50.0)</f>
        <v>50</v>
      </c>
      <c r="AE670" s="48">
        <f>IFERROR(__xludf.DUMMYFUNCTION("""COMPUTED_VALUE"""),51.0)</f>
        <v>51</v>
      </c>
      <c r="AF670" s="48">
        <f>IFERROR(__xludf.DUMMYFUNCTION("""COMPUTED_VALUE"""),52.0)</f>
        <v>52</v>
      </c>
      <c r="AG670" s="48">
        <f>IFERROR(__xludf.DUMMYFUNCTION("""COMPUTED_VALUE"""),51.0)</f>
        <v>51</v>
      </c>
      <c r="AH670" s="48">
        <f>IFERROR(__xludf.DUMMYFUNCTION("""COMPUTED_VALUE"""),51.0)</f>
        <v>51</v>
      </c>
      <c r="AI670" s="14">
        <f>IFERROR(__xludf.DUMMYFUNCTION("""COMPUTED_VALUE"""),51.0)</f>
        <v>51</v>
      </c>
      <c r="AJ670" s="14">
        <f>IFERROR(__xludf.DUMMYFUNCTION("""COMPUTED_VALUE"""),7.29)</f>
        <v>7.29</v>
      </c>
      <c r="AK670" s="14">
        <f>IFERROR(__xludf.DUMMYFUNCTION("""COMPUTED_VALUE"""),6.97)</f>
        <v>6.97</v>
      </c>
      <c r="AL670" s="14">
        <f>IFERROR(__xludf.DUMMYFUNCTION("""COMPUTED_VALUE"""),6.85)</f>
        <v>6.85</v>
      </c>
      <c r="AM670" s="14">
        <f>IFERROR(__xludf.DUMMYFUNCTION("""COMPUTED_VALUE"""),7.19)</f>
        <v>7.19</v>
      </c>
      <c r="AN670" s="14">
        <f>IFERROR(__xludf.DUMMYFUNCTION("""COMPUTED_VALUE"""),7.17)</f>
        <v>7.17</v>
      </c>
      <c r="AO670" s="14">
        <f>IFERROR(__xludf.DUMMYFUNCTION("""COMPUTED_VALUE"""),7.093999999999999)</f>
        <v>7.094</v>
      </c>
      <c r="AP670" s="14">
        <f>IFERROR(__xludf.DUMMYFUNCTION("""COMPUTED_VALUE"""),2.0)</f>
        <v>2</v>
      </c>
      <c r="AQ670" s="14">
        <f>IFERROR(__xludf.DUMMYFUNCTION("""COMPUTED_VALUE"""),8.0)</f>
        <v>8</v>
      </c>
      <c r="AR670" s="14">
        <f>IFERROR(__xludf.DUMMYFUNCTION("""COMPUTED_VALUE"""),12.0)</f>
        <v>12</v>
      </c>
      <c r="AS670" s="14">
        <f>IFERROR(__xludf.DUMMYFUNCTION("""COMPUTED_VALUE"""),1.2)</f>
        <v>1.2</v>
      </c>
      <c r="AT670" s="14">
        <f>IFERROR(__xludf.DUMMYFUNCTION("""COMPUTED_VALUE"""),0.07)</f>
        <v>0.07</v>
      </c>
      <c r="AU670" s="14">
        <f>IFERROR(__xludf.DUMMYFUNCTION("""COMPUTED_VALUE"""),139100.0)</f>
        <v>139100</v>
      </c>
      <c r="AV670" s="14">
        <f>IFERROR(__xludf.DUMMYFUNCTION("""COMPUTED_VALUE"""),0.18)</f>
        <v>0.18</v>
      </c>
      <c r="AW670" s="14">
        <f>IFERROR(__xludf.DUMMYFUNCTION("""COMPUTED_VALUE"""),1.0)</f>
        <v>1</v>
      </c>
      <c r="AX670" s="14">
        <f>IFERROR(__xludf.DUMMYFUNCTION("""COMPUTED_VALUE"""),13170.0)</f>
        <v>13170</v>
      </c>
      <c r="AY670" s="14">
        <f>IFERROR(__xludf.DUMMYFUNCTION("""COMPUTED_VALUE"""),2.3)</f>
        <v>2.3</v>
      </c>
      <c r="AZ670" s="14">
        <f>IFERROR(__xludf.DUMMYFUNCTION("""COMPUTED_VALUE"""),0.007)</f>
        <v>0.007</v>
      </c>
      <c r="BA670" s="14">
        <f t="shared" si="1"/>
        <v>3.307</v>
      </c>
    </row>
    <row r="671" ht="14.25" customHeight="1">
      <c r="A671" s="10" t="str">
        <f>IFERROR(__xludf.DUMMYFUNCTION("""COMPUTED_VALUE"""),"070622DI02")</f>
        <v>070622DI02</v>
      </c>
      <c r="B671" s="12" t="str">
        <f>IFERROR(__xludf.DUMMYFUNCTION("""COMPUTED_VALUE"""),"QLI-Bella Flor")</f>
        <v>QLI-Bella Flor</v>
      </c>
      <c r="C671" s="12"/>
      <c r="D671" s="12"/>
      <c r="E671" s="44">
        <f>IFERROR(__xludf.DUMMYFUNCTION("""COMPUTED_VALUE"""),44719.0)</f>
        <v>44719</v>
      </c>
      <c r="F671" s="12" t="str">
        <f>IFERROR(__xludf.DUMMYFUNCTION("""COMPUTED_VALUE"""),"TIPO I")</f>
        <v>TIPO I</v>
      </c>
      <c r="G671" s="12" t="str">
        <f>IFERROR(__xludf.DUMMYFUNCTION("""COMPUTED_VALUE"""),"Lecho rocoso arenoso, presenta color y olor.
Altitud: 2801msnm.")</f>
        <v>Lecho rocoso arenoso, presenta color y olor.
Altitud: 2801msnm.</v>
      </c>
      <c r="H671" s="45">
        <f>IFERROR(__xludf.DUMMYFUNCTION("""COMPUTED_VALUE"""),0.5)</f>
        <v>0.5</v>
      </c>
      <c r="I671" s="45">
        <f>IFERROR(__xludf.DUMMYFUNCTION("""COMPUTED_VALUE"""),0.5833333333321207)</f>
        <v>0.5833333333</v>
      </c>
      <c r="J671" s="12">
        <f>IFERROR(__xludf.DUMMYFUNCTION("""COMPUTED_VALUE"""),1.9)</f>
        <v>1.9</v>
      </c>
      <c r="K671" s="12">
        <f>IFERROR(__xludf.DUMMYFUNCTION("""COMPUTED_VALUE"""),0.25)</f>
        <v>0.25</v>
      </c>
      <c r="L671" s="14">
        <f>IFERROR(__xludf.DUMMYFUNCTION("""COMPUTED_VALUE"""),258.96)</f>
        <v>258.96</v>
      </c>
      <c r="M671" s="14">
        <f>IFERROR(__xludf.DUMMYFUNCTION("""COMPUTED_VALUE"""),251.032)</f>
        <v>251.032</v>
      </c>
      <c r="N671" s="14">
        <f>IFERROR(__xludf.DUMMYFUNCTION("""COMPUTED_VALUE"""),252.627)</f>
        <v>252.627</v>
      </c>
      <c r="O671" s="14">
        <f>IFERROR(__xludf.DUMMYFUNCTION("""COMPUTED_VALUE"""),250.213)</f>
        <v>250.213</v>
      </c>
      <c r="P671" s="14">
        <f>IFERROR(__xludf.DUMMYFUNCTION("""COMPUTED_VALUE"""),253.298)</f>
        <v>253.298</v>
      </c>
      <c r="Q671" s="14">
        <f>IFERROR(__xludf.DUMMYFUNCTION("""COMPUTED_VALUE"""),253.226)</f>
        <v>253.226</v>
      </c>
      <c r="R671" s="48">
        <f>IFERROR(__xludf.DUMMYFUNCTION("""COMPUTED_VALUE"""),7.44)</f>
        <v>7.44</v>
      </c>
      <c r="S671" s="48">
        <f>IFERROR(__xludf.DUMMYFUNCTION("""COMPUTED_VALUE"""),7.24)</f>
        <v>7.24</v>
      </c>
      <c r="T671" s="48">
        <f>IFERROR(__xludf.DUMMYFUNCTION("""COMPUTED_VALUE"""),6.92)</f>
        <v>6.92</v>
      </c>
      <c r="U671" s="48">
        <f>IFERROR(__xludf.DUMMYFUNCTION("""COMPUTED_VALUE"""),7.45)</f>
        <v>7.45</v>
      </c>
      <c r="V671" s="48">
        <f>IFERROR(__xludf.DUMMYFUNCTION("""COMPUTED_VALUE"""),7.98)</f>
        <v>7.98</v>
      </c>
      <c r="W671" s="14">
        <f>IFERROR(__xludf.DUMMYFUNCTION("""COMPUTED_VALUE"""),7.406000000000001)</f>
        <v>7.406</v>
      </c>
      <c r="X671" s="14">
        <f>IFERROR(__xludf.DUMMYFUNCTION("""COMPUTED_VALUE"""),15.3)</f>
        <v>15.3</v>
      </c>
      <c r="Y671" s="14">
        <f>IFERROR(__xludf.DUMMYFUNCTION("""COMPUTED_VALUE"""),15.3)</f>
        <v>15.3</v>
      </c>
      <c r="Z671" s="14">
        <f>IFERROR(__xludf.DUMMYFUNCTION("""COMPUTED_VALUE"""),14.5)</f>
        <v>14.5</v>
      </c>
      <c r="AA671" s="14">
        <f>IFERROR(__xludf.DUMMYFUNCTION("""COMPUTED_VALUE"""),14.7)</f>
        <v>14.7</v>
      </c>
      <c r="AB671" s="14">
        <f>IFERROR(__xludf.DUMMYFUNCTION("""COMPUTED_VALUE"""),14.3)</f>
        <v>14.3</v>
      </c>
      <c r="AC671" s="14">
        <f>IFERROR(__xludf.DUMMYFUNCTION("""COMPUTED_VALUE"""),14.819999999999999)</f>
        <v>14.82</v>
      </c>
      <c r="AD671" s="48">
        <f>IFERROR(__xludf.DUMMYFUNCTION("""COMPUTED_VALUE"""),220.0)</f>
        <v>220</v>
      </c>
      <c r="AE671" s="48">
        <f>IFERROR(__xludf.DUMMYFUNCTION("""COMPUTED_VALUE"""),227.0)</f>
        <v>227</v>
      </c>
      <c r="AF671" s="48">
        <f>IFERROR(__xludf.DUMMYFUNCTION("""COMPUTED_VALUE"""),224.0)</f>
        <v>224</v>
      </c>
      <c r="AG671" s="48">
        <f>IFERROR(__xludf.DUMMYFUNCTION("""COMPUTED_VALUE"""),224.0)</f>
        <v>224</v>
      </c>
      <c r="AH671" s="48">
        <f>IFERROR(__xludf.DUMMYFUNCTION("""COMPUTED_VALUE"""),222.0)</f>
        <v>222</v>
      </c>
      <c r="AI671" s="14">
        <f>IFERROR(__xludf.DUMMYFUNCTION("""COMPUTED_VALUE"""),223.4)</f>
        <v>223.4</v>
      </c>
      <c r="AJ671" s="14">
        <f>IFERROR(__xludf.DUMMYFUNCTION("""COMPUTED_VALUE"""),6.2)</f>
        <v>6.2</v>
      </c>
      <c r="AK671" s="14">
        <f>IFERROR(__xludf.DUMMYFUNCTION("""COMPUTED_VALUE"""),5.9)</f>
        <v>5.9</v>
      </c>
      <c r="AL671" s="14">
        <f>IFERROR(__xludf.DUMMYFUNCTION("""COMPUTED_VALUE"""),5.8)</f>
        <v>5.8</v>
      </c>
      <c r="AM671" s="14">
        <f>IFERROR(__xludf.DUMMYFUNCTION("""COMPUTED_VALUE"""),6.0)</f>
        <v>6</v>
      </c>
      <c r="AN671" s="14">
        <f>IFERROR(__xludf.DUMMYFUNCTION("""COMPUTED_VALUE"""),5.9)</f>
        <v>5.9</v>
      </c>
      <c r="AO671" s="14">
        <f>IFERROR(__xludf.DUMMYFUNCTION("""COMPUTED_VALUE"""),5.960000000000001)</f>
        <v>5.96</v>
      </c>
      <c r="AP671" s="14">
        <f>IFERROR(__xludf.DUMMYFUNCTION("""COMPUTED_VALUE"""),8.0)</f>
        <v>8</v>
      </c>
      <c r="AQ671" s="14">
        <f>IFERROR(__xludf.DUMMYFUNCTION("""COMPUTED_VALUE"""),49.0)</f>
        <v>49</v>
      </c>
      <c r="AR671" s="14">
        <f>IFERROR(__xludf.DUMMYFUNCTION("""COMPUTED_VALUE"""),133.0)</f>
        <v>133</v>
      </c>
      <c r="AS671" s="14">
        <f>IFERROR(__xludf.DUMMYFUNCTION("""COMPUTED_VALUE"""),1.2)</f>
        <v>1.2</v>
      </c>
      <c r="AT671" s="14">
        <f>IFERROR(__xludf.DUMMYFUNCTION("""COMPUTED_VALUE"""),0.07)</f>
        <v>0.07</v>
      </c>
      <c r="AU671" s="14">
        <f>IFERROR(__xludf.DUMMYFUNCTION("""COMPUTED_VALUE"""),211400.0)</f>
        <v>211400</v>
      </c>
      <c r="AV671" s="14">
        <f>IFERROR(__xludf.DUMMYFUNCTION("""COMPUTED_VALUE"""),0.05)</f>
        <v>0.05</v>
      </c>
      <c r="AW671" s="14">
        <f>IFERROR(__xludf.DUMMYFUNCTION("""COMPUTED_VALUE"""),3.1)</f>
        <v>3.1</v>
      </c>
      <c r="AX671" s="14">
        <f>IFERROR(__xludf.DUMMYFUNCTION("""COMPUTED_VALUE"""),190300.0)</f>
        <v>190300</v>
      </c>
      <c r="AY671" s="14">
        <f>IFERROR(__xludf.DUMMYFUNCTION("""COMPUTED_VALUE"""),0.9)</f>
        <v>0.9</v>
      </c>
      <c r="AZ671" s="14">
        <f>IFERROR(__xludf.DUMMYFUNCTION("""COMPUTED_VALUE"""),0.007)</f>
        <v>0.007</v>
      </c>
      <c r="BA671" s="14">
        <f t="shared" si="1"/>
        <v>4.007</v>
      </c>
    </row>
    <row r="672" ht="14.25" customHeight="1">
      <c r="A672" s="10" t="str">
        <f>IFERROR(__xludf.DUMMYFUNCTION("""COMPUTED_VALUE"""),"090622MP03")</f>
        <v>090622MP03</v>
      </c>
      <c r="B672" s="12" t="str">
        <f>IFERROR(__xludf.DUMMYFUNCTION("""COMPUTED_VALUE"""),"QCH-La Orquídea")</f>
        <v>QCH-La Orquídea</v>
      </c>
      <c r="C672" s="12"/>
      <c r="D672" s="12"/>
      <c r="E672" s="44">
        <f>IFERROR(__xludf.DUMMYFUNCTION("""COMPUTED_VALUE"""),44721.0)</f>
        <v>44721</v>
      </c>
      <c r="F672" s="12" t="str">
        <f>IFERROR(__xludf.DUMMYFUNCTION("""COMPUTED_VALUE"""),"TIPO I")</f>
        <v>TIPO I</v>
      </c>
      <c r="G672" s="12" t="str">
        <f>IFERROR(__xludf.DUMMYFUNCTION("""COMPUTED_VALUE"""),"Estructura del canal natural, lecho lodoso y rocosos, presencia de color y olor.
Se presentan lluvias por ende no es posible la toma de la ultima alícuota. 
Altitud: 2828 msnm. ")</f>
        <v>Estructura del canal natural, lecho lodoso y rocosos, presencia de color y olor.
Se presentan lluvias por ende no es posible la toma de la ultima alícuota. 
Altitud: 2828 msnm. </v>
      </c>
      <c r="H672" s="45">
        <f>IFERROR(__xludf.DUMMYFUNCTION("""COMPUTED_VALUE"""),0.5)</f>
        <v>0.5</v>
      </c>
      <c r="I672" s="45">
        <f>IFERROR(__xludf.DUMMYFUNCTION("""COMPUTED_VALUE"""),0.5833333333321207)</f>
        <v>0.5833333333</v>
      </c>
      <c r="J672" s="12"/>
      <c r="K672" s="12"/>
      <c r="L672" s="14">
        <f>IFERROR(__xludf.DUMMYFUNCTION("""COMPUTED_VALUE"""),4.545)</f>
        <v>4.545</v>
      </c>
      <c r="M672" s="14">
        <f>IFERROR(__xludf.DUMMYFUNCTION("""COMPUTED_VALUE"""),5.0)</f>
        <v>5</v>
      </c>
      <c r="N672" s="14">
        <f>IFERROR(__xludf.DUMMYFUNCTION("""COMPUTED_VALUE"""),4.533)</f>
        <v>4.533</v>
      </c>
      <c r="O672" s="14">
        <f>IFERROR(__xludf.DUMMYFUNCTION("""COMPUTED_VALUE"""),4.563)</f>
        <v>4.563</v>
      </c>
      <c r="P672" s="14"/>
      <c r="Q672" s="14">
        <f>IFERROR(__xludf.DUMMYFUNCTION("""COMPUTED_VALUE"""),4.66)</f>
        <v>4.66</v>
      </c>
      <c r="R672" s="48">
        <f>IFERROR(__xludf.DUMMYFUNCTION("""COMPUTED_VALUE"""),8.18)</f>
        <v>8.18</v>
      </c>
      <c r="S672" s="48">
        <f>IFERROR(__xludf.DUMMYFUNCTION("""COMPUTED_VALUE"""),8.21)</f>
        <v>8.21</v>
      </c>
      <c r="T672" s="48">
        <f>IFERROR(__xludf.DUMMYFUNCTION("""COMPUTED_VALUE"""),8.28)</f>
        <v>8.28</v>
      </c>
      <c r="U672" s="48">
        <f>IFERROR(__xludf.DUMMYFUNCTION("""COMPUTED_VALUE"""),8.23)</f>
        <v>8.23</v>
      </c>
      <c r="V672" s="48"/>
      <c r="W672" s="14">
        <f>IFERROR(__xludf.DUMMYFUNCTION("""COMPUTED_VALUE"""),8.225000000000001)</f>
        <v>8.225</v>
      </c>
      <c r="X672" s="14">
        <f>IFERROR(__xludf.DUMMYFUNCTION("""COMPUTED_VALUE"""),16.8)</f>
        <v>16.8</v>
      </c>
      <c r="Y672" s="14">
        <f>IFERROR(__xludf.DUMMYFUNCTION("""COMPUTED_VALUE"""),16.3)</f>
        <v>16.3</v>
      </c>
      <c r="Z672" s="14">
        <f>IFERROR(__xludf.DUMMYFUNCTION("""COMPUTED_VALUE"""),16.4)</f>
        <v>16.4</v>
      </c>
      <c r="AA672" s="14">
        <f>IFERROR(__xludf.DUMMYFUNCTION("""COMPUTED_VALUE"""),16.2)</f>
        <v>16.2</v>
      </c>
      <c r="AB672" s="14"/>
      <c r="AC672" s="14">
        <f>IFERROR(__xludf.DUMMYFUNCTION("""COMPUTED_VALUE"""),16.425)</f>
        <v>16.425</v>
      </c>
      <c r="AD672" s="48">
        <f>IFERROR(__xludf.DUMMYFUNCTION("""COMPUTED_VALUE"""),479.0)</f>
        <v>479</v>
      </c>
      <c r="AE672" s="48">
        <f>IFERROR(__xludf.DUMMYFUNCTION("""COMPUTED_VALUE"""),484.0)</f>
        <v>484</v>
      </c>
      <c r="AF672" s="48">
        <f>IFERROR(__xludf.DUMMYFUNCTION("""COMPUTED_VALUE"""),483.0)</f>
        <v>483</v>
      </c>
      <c r="AG672" s="48">
        <f>IFERROR(__xludf.DUMMYFUNCTION("""COMPUTED_VALUE"""),486.0)</f>
        <v>486</v>
      </c>
      <c r="AH672" s="48"/>
      <c r="AI672" s="14">
        <f>IFERROR(__xludf.DUMMYFUNCTION("""COMPUTED_VALUE"""),483.0)</f>
        <v>483</v>
      </c>
      <c r="AJ672" s="14">
        <f>IFERROR(__xludf.DUMMYFUNCTION("""COMPUTED_VALUE"""),4.37)</f>
        <v>4.37</v>
      </c>
      <c r="AK672" s="14">
        <f>IFERROR(__xludf.DUMMYFUNCTION("""COMPUTED_VALUE"""),4.5)</f>
        <v>4.5</v>
      </c>
      <c r="AL672" s="14">
        <f>IFERROR(__xludf.DUMMYFUNCTION("""COMPUTED_VALUE"""),5.05)</f>
        <v>5.05</v>
      </c>
      <c r="AM672" s="14">
        <f>IFERROR(__xludf.DUMMYFUNCTION("""COMPUTED_VALUE"""),4.86)</f>
        <v>4.86</v>
      </c>
      <c r="AN672" s="14"/>
      <c r="AO672" s="14">
        <f>IFERROR(__xludf.DUMMYFUNCTION("""COMPUTED_VALUE"""),4.695)</f>
        <v>4.695</v>
      </c>
      <c r="AP672" s="14">
        <f>IFERROR(__xludf.DUMMYFUNCTION("""COMPUTED_VALUE"""),17.0)</f>
        <v>17</v>
      </c>
      <c r="AQ672" s="14">
        <f>IFERROR(__xludf.DUMMYFUNCTION("""COMPUTED_VALUE"""),66.0)</f>
        <v>66</v>
      </c>
      <c r="AR672" s="14">
        <f>IFERROR(__xludf.DUMMYFUNCTION("""COMPUTED_VALUE"""),47.0)</f>
        <v>47</v>
      </c>
      <c r="AS672" s="14">
        <f>IFERROR(__xludf.DUMMYFUNCTION("""COMPUTED_VALUE"""),1.2)</f>
        <v>1.2</v>
      </c>
      <c r="AT672" s="14">
        <f>IFERROR(__xludf.DUMMYFUNCTION("""COMPUTED_VALUE"""),0.07)</f>
        <v>0.07</v>
      </c>
      <c r="AU672" s="14">
        <f>IFERROR(__xludf.DUMMYFUNCTION("""COMPUTED_VALUE"""),95800.0)</f>
        <v>95800</v>
      </c>
      <c r="AV672" s="14">
        <f>IFERROR(__xludf.DUMMYFUNCTION("""COMPUTED_VALUE"""),0.38)</f>
        <v>0.38</v>
      </c>
      <c r="AW672" s="14">
        <f>IFERROR(__xludf.DUMMYFUNCTION("""COMPUTED_VALUE"""),1.0)</f>
        <v>1</v>
      </c>
      <c r="AX672" s="14">
        <f>IFERROR(__xludf.DUMMYFUNCTION("""COMPUTED_VALUE"""),7840.0)</f>
        <v>7840</v>
      </c>
      <c r="AY672" s="14">
        <f>IFERROR(__xludf.DUMMYFUNCTION("""COMPUTED_VALUE"""),4.7)</f>
        <v>4.7</v>
      </c>
      <c r="AZ672" s="14">
        <f>IFERROR(__xludf.DUMMYFUNCTION("""COMPUTED_VALUE"""),0.007)</f>
        <v>0.007</v>
      </c>
      <c r="BA672" s="14">
        <f t="shared" si="1"/>
        <v>5.707</v>
      </c>
    </row>
    <row r="673" ht="14.25" customHeight="1">
      <c r="A673" s="10" t="str">
        <f>IFERROR(__xludf.DUMMYFUNCTION("""COMPUTED_VALUE"""),"100622CA03")</f>
        <v>100622CA03</v>
      </c>
      <c r="B673" s="12" t="str">
        <f>IFERROR(__xludf.DUMMYFUNCTION("""COMPUTED_VALUE"""),"QTR-Quiba")</f>
        <v>QTR-Quiba</v>
      </c>
      <c r="C673" s="12"/>
      <c r="D673" s="12"/>
      <c r="E673" s="44">
        <f>IFERROR(__xludf.DUMMYFUNCTION("""COMPUTED_VALUE"""),44722.0)</f>
        <v>44722</v>
      </c>
      <c r="F673" s="12" t="str">
        <f>IFERROR(__xludf.DUMMYFUNCTION("""COMPUTED_VALUE"""),"TIPO I")</f>
        <v>TIPO I</v>
      </c>
      <c r="G673" s="12" t="str">
        <f>IFERROR(__xludf.DUMMYFUNCTION("""COMPUTED_VALUE"""),"Se presenta un lecho rocoso - lodoso. Se observa color y espumas, no se percibe olor. ")</f>
        <v>Se presenta un lecho rocoso - lodoso. Se observa color y espumas, no se percibe olor. </v>
      </c>
      <c r="H673" s="45">
        <f>IFERROR(__xludf.DUMMYFUNCTION("""COMPUTED_VALUE"""),0.6666666666678793)</f>
        <v>0.6666666667</v>
      </c>
      <c r="I673" s="45">
        <f>IFERROR(__xludf.DUMMYFUNCTION("""COMPUTED_VALUE"""),0.75)</f>
        <v>0.75</v>
      </c>
      <c r="J673" s="12">
        <f>IFERROR(__xludf.DUMMYFUNCTION("""COMPUTED_VALUE"""),1.3)</f>
        <v>1.3</v>
      </c>
      <c r="K673" s="12">
        <f>IFERROR(__xludf.DUMMYFUNCTION("""COMPUTED_VALUE"""),0.22)</f>
        <v>0.22</v>
      </c>
      <c r="L673" s="14">
        <f>IFERROR(__xludf.DUMMYFUNCTION("""COMPUTED_VALUE"""),67.564)</f>
        <v>67.564</v>
      </c>
      <c r="M673" s="14">
        <f>IFERROR(__xludf.DUMMYFUNCTION("""COMPUTED_VALUE"""),70.513)</f>
        <v>70.513</v>
      </c>
      <c r="N673" s="14">
        <f>IFERROR(__xludf.DUMMYFUNCTION("""COMPUTED_VALUE"""),68.16)</f>
        <v>68.16</v>
      </c>
      <c r="O673" s="14">
        <f>IFERROR(__xludf.DUMMYFUNCTION("""COMPUTED_VALUE"""),69.143)</f>
        <v>69.143</v>
      </c>
      <c r="P673" s="14">
        <f>IFERROR(__xludf.DUMMYFUNCTION("""COMPUTED_VALUE"""),68.447)</f>
        <v>68.447</v>
      </c>
      <c r="Q673" s="14">
        <f>IFERROR(__xludf.DUMMYFUNCTION("""COMPUTED_VALUE"""),68.765)</f>
        <v>68.765</v>
      </c>
      <c r="R673" s="48">
        <f>IFERROR(__xludf.DUMMYFUNCTION("""COMPUTED_VALUE"""),7.25)</f>
        <v>7.25</v>
      </c>
      <c r="S673" s="48">
        <f>IFERROR(__xludf.DUMMYFUNCTION("""COMPUTED_VALUE"""),7.29)</f>
        <v>7.29</v>
      </c>
      <c r="T673" s="48">
        <f>IFERROR(__xludf.DUMMYFUNCTION("""COMPUTED_VALUE"""),6.2)</f>
        <v>6.2</v>
      </c>
      <c r="U673" s="48">
        <f>IFERROR(__xludf.DUMMYFUNCTION("""COMPUTED_VALUE"""),6.32)</f>
        <v>6.32</v>
      </c>
      <c r="V673" s="48">
        <f>IFERROR(__xludf.DUMMYFUNCTION("""COMPUTED_VALUE"""),6.45)</f>
        <v>6.45</v>
      </c>
      <c r="W673" s="14">
        <f>IFERROR(__xludf.DUMMYFUNCTION("""COMPUTED_VALUE"""),6.702)</f>
        <v>6.702</v>
      </c>
      <c r="X673" s="14">
        <f>IFERROR(__xludf.DUMMYFUNCTION("""COMPUTED_VALUE"""),17.5)</f>
        <v>17.5</v>
      </c>
      <c r="Y673" s="14">
        <f>IFERROR(__xludf.DUMMYFUNCTION("""COMPUTED_VALUE"""),18.7)</f>
        <v>18.7</v>
      </c>
      <c r="Z673" s="14">
        <f>IFERROR(__xludf.DUMMYFUNCTION("""COMPUTED_VALUE"""),17.9)</f>
        <v>17.9</v>
      </c>
      <c r="AA673" s="14">
        <f>IFERROR(__xludf.DUMMYFUNCTION("""COMPUTED_VALUE"""),17.7)</f>
        <v>17.7</v>
      </c>
      <c r="AB673" s="14">
        <f>IFERROR(__xludf.DUMMYFUNCTION("""COMPUTED_VALUE"""),17.6)</f>
        <v>17.6</v>
      </c>
      <c r="AC673" s="14">
        <f>IFERROR(__xludf.DUMMYFUNCTION("""COMPUTED_VALUE"""),17.880000000000003)</f>
        <v>17.88</v>
      </c>
      <c r="AD673" s="48">
        <f>IFERROR(__xludf.DUMMYFUNCTION("""COMPUTED_VALUE"""),730.0)</f>
        <v>730</v>
      </c>
      <c r="AE673" s="48">
        <f>IFERROR(__xludf.DUMMYFUNCTION("""COMPUTED_VALUE"""),740.0)</f>
        <v>740</v>
      </c>
      <c r="AF673" s="48">
        <f>IFERROR(__xludf.DUMMYFUNCTION("""COMPUTED_VALUE"""),720.0)</f>
        <v>720</v>
      </c>
      <c r="AG673" s="48">
        <f>IFERROR(__xludf.DUMMYFUNCTION("""COMPUTED_VALUE"""),775.0)</f>
        <v>775</v>
      </c>
      <c r="AH673" s="48">
        <f>IFERROR(__xludf.DUMMYFUNCTION("""COMPUTED_VALUE"""),714.0)</f>
        <v>714</v>
      </c>
      <c r="AI673" s="14">
        <f>IFERROR(__xludf.DUMMYFUNCTION("""COMPUTED_VALUE"""),735.8)</f>
        <v>735.8</v>
      </c>
      <c r="AJ673" s="14">
        <f>IFERROR(__xludf.DUMMYFUNCTION("""COMPUTED_VALUE"""),3.97)</f>
        <v>3.97</v>
      </c>
      <c r="AK673" s="14">
        <f>IFERROR(__xludf.DUMMYFUNCTION("""COMPUTED_VALUE"""),4.06)</f>
        <v>4.06</v>
      </c>
      <c r="AL673" s="14">
        <f>IFERROR(__xludf.DUMMYFUNCTION("""COMPUTED_VALUE"""),4.05)</f>
        <v>4.05</v>
      </c>
      <c r="AM673" s="14">
        <f>IFERROR(__xludf.DUMMYFUNCTION("""COMPUTED_VALUE"""),4.24)</f>
        <v>4.24</v>
      </c>
      <c r="AN673" s="14">
        <f>IFERROR(__xludf.DUMMYFUNCTION("""COMPUTED_VALUE"""),3.14)</f>
        <v>3.14</v>
      </c>
      <c r="AO673" s="14">
        <f>IFERROR(__xludf.DUMMYFUNCTION("""COMPUTED_VALUE"""),3.8920000000000003)</f>
        <v>3.892</v>
      </c>
      <c r="AP673" s="14">
        <f>IFERROR(__xludf.DUMMYFUNCTION("""COMPUTED_VALUE"""),40.0)</f>
        <v>40</v>
      </c>
      <c r="AQ673" s="14">
        <f>IFERROR(__xludf.DUMMYFUNCTION("""COMPUTED_VALUE"""),270.0)</f>
        <v>270</v>
      </c>
      <c r="AR673" s="14">
        <f>IFERROR(__xludf.DUMMYFUNCTION("""COMPUTED_VALUE"""),1508.0)</f>
        <v>1508</v>
      </c>
      <c r="AS673" s="14">
        <f>IFERROR(__xludf.DUMMYFUNCTION("""COMPUTED_VALUE"""),1.2)</f>
        <v>1.2</v>
      </c>
      <c r="AT673" s="14">
        <f>IFERROR(__xludf.DUMMYFUNCTION("""COMPUTED_VALUE"""),2.74)</f>
        <v>2.74</v>
      </c>
      <c r="AU673" s="14">
        <f>IFERROR(__xludf.DUMMYFUNCTION("""COMPUTED_VALUE"""),1542000.0)</f>
        <v>1542000</v>
      </c>
      <c r="AV673" s="14">
        <f>IFERROR(__xludf.DUMMYFUNCTION("""COMPUTED_VALUE"""),0.49)</f>
        <v>0.49</v>
      </c>
      <c r="AW673" s="14">
        <f>IFERROR(__xludf.DUMMYFUNCTION("""COMPUTED_VALUE"""),11.2)</f>
        <v>11.2</v>
      </c>
      <c r="AX673" s="14">
        <f>IFERROR(__xludf.DUMMYFUNCTION("""COMPUTED_VALUE"""),133800.0)</f>
        <v>133800</v>
      </c>
      <c r="AY673" s="14">
        <f>IFERROR(__xludf.DUMMYFUNCTION("""COMPUTED_VALUE"""),3.8)</f>
        <v>3.8</v>
      </c>
      <c r="AZ673" s="14">
        <f>IFERROR(__xludf.DUMMYFUNCTION("""COMPUTED_VALUE"""),0.007)</f>
        <v>0.007</v>
      </c>
      <c r="BA673" s="14">
        <f t="shared" si="1"/>
        <v>15.007</v>
      </c>
    </row>
    <row r="674" ht="14.25" customHeight="1">
      <c r="A674" s="10" t="str">
        <f>IFERROR(__xludf.DUMMYFUNCTION("""COMPUTED_VALUE"""),"140622DI02")</f>
        <v>140622DI02</v>
      </c>
      <c r="B674" s="12" t="str">
        <f>IFERROR(__xludf.DUMMYFUNCTION("""COMPUTED_VALUE"""),"CMO-Alhambra")</f>
        <v>CMO-Alhambra</v>
      </c>
      <c r="C674" s="12"/>
      <c r="D674" s="12"/>
      <c r="E674" s="44">
        <f>IFERROR(__xludf.DUMMYFUNCTION("""COMPUTED_VALUE"""),44726.0)</f>
        <v>44726</v>
      </c>
      <c r="F674" s="12" t="str">
        <f>IFERROR(__xludf.DUMMYFUNCTION("""COMPUTED_VALUE"""),"TIPO I")</f>
        <v>TIPO I</v>
      </c>
      <c r="G674" s="12" t="str">
        <f>IFERROR(__xludf.DUMMYFUNCTION("""COMPUTED_VALUE"""),"Se presenta un canal en concreto, se observa color, iridiscencia y material flotante,  además se percibe olor. ")</f>
        <v>Se presenta un canal en concreto, se observa color, iridiscencia y material flotante,  además se percibe olor. </v>
      </c>
      <c r="H674" s="45">
        <f>IFERROR(__xludf.DUMMYFUNCTION("""COMPUTED_VALUE"""),0.4166666666678793)</f>
        <v>0.4166666667</v>
      </c>
      <c r="I674" s="45">
        <f>IFERROR(__xludf.DUMMYFUNCTION("""COMPUTED_VALUE"""),0.5)</f>
        <v>0.5</v>
      </c>
      <c r="J674" s="12">
        <f>IFERROR(__xludf.DUMMYFUNCTION("""COMPUTED_VALUE"""),9.0)</f>
        <v>9</v>
      </c>
      <c r="K674" s="12">
        <f>IFERROR(__xludf.DUMMYFUNCTION("""COMPUTED_VALUE"""),0.2)</f>
        <v>0.2</v>
      </c>
      <c r="L674" s="14">
        <f>IFERROR(__xludf.DUMMYFUNCTION("""COMPUTED_VALUE"""),328.599)</f>
        <v>328.599</v>
      </c>
      <c r="M674" s="14">
        <f>IFERROR(__xludf.DUMMYFUNCTION("""COMPUTED_VALUE"""),340.778)</f>
        <v>340.778</v>
      </c>
      <c r="N674" s="14">
        <f>IFERROR(__xludf.DUMMYFUNCTION("""COMPUTED_VALUE"""),369.456)</f>
        <v>369.456</v>
      </c>
      <c r="O674" s="14">
        <f>IFERROR(__xludf.DUMMYFUNCTION("""COMPUTED_VALUE"""),368.929)</f>
        <v>368.929</v>
      </c>
      <c r="P674" s="14">
        <f>IFERROR(__xludf.DUMMYFUNCTION("""COMPUTED_VALUE"""),368.265)</f>
        <v>368.265</v>
      </c>
      <c r="Q674" s="14">
        <f>IFERROR(__xludf.DUMMYFUNCTION("""COMPUTED_VALUE"""),355.206)</f>
        <v>355.206</v>
      </c>
      <c r="R674" s="48">
        <f>IFERROR(__xludf.DUMMYFUNCTION("""COMPUTED_VALUE"""),7.4)</f>
        <v>7.4</v>
      </c>
      <c r="S674" s="48">
        <f>IFERROR(__xludf.DUMMYFUNCTION("""COMPUTED_VALUE"""),7.17)</f>
        <v>7.17</v>
      </c>
      <c r="T674" s="48">
        <f>IFERROR(__xludf.DUMMYFUNCTION("""COMPUTED_VALUE"""),7.21)</f>
        <v>7.21</v>
      </c>
      <c r="U674" s="48">
        <f>IFERROR(__xludf.DUMMYFUNCTION("""COMPUTED_VALUE"""),7.08)</f>
        <v>7.08</v>
      </c>
      <c r="V674" s="48">
        <f>IFERROR(__xludf.DUMMYFUNCTION("""COMPUTED_VALUE"""),7.1)</f>
        <v>7.1</v>
      </c>
      <c r="W674" s="14">
        <f>IFERROR(__xludf.DUMMYFUNCTION("""COMPUTED_VALUE"""),7.192)</f>
        <v>7.192</v>
      </c>
      <c r="X674" s="14">
        <f>IFERROR(__xludf.DUMMYFUNCTION("""COMPUTED_VALUE"""),18.1)</f>
        <v>18.1</v>
      </c>
      <c r="Y674" s="14">
        <f>IFERROR(__xludf.DUMMYFUNCTION("""COMPUTED_VALUE"""),17.2)</f>
        <v>17.2</v>
      </c>
      <c r="Z674" s="14">
        <f>IFERROR(__xludf.DUMMYFUNCTION("""COMPUTED_VALUE"""),18.6)</f>
        <v>18.6</v>
      </c>
      <c r="AA674" s="14">
        <f>IFERROR(__xludf.DUMMYFUNCTION("""COMPUTED_VALUE"""),20.1)</f>
        <v>20.1</v>
      </c>
      <c r="AB674" s="14">
        <f>IFERROR(__xludf.DUMMYFUNCTION("""COMPUTED_VALUE"""),19.8)</f>
        <v>19.8</v>
      </c>
      <c r="AC674" s="14">
        <f>IFERROR(__xludf.DUMMYFUNCTION("""COMPUTED_VALUE"""),18.759999999999998)</f>
        <v>18.76</v>
      </c>
      <c r="AD674" s="48">
        <f>IFERROR(__xludf.DUMMYFUNCTION("""COMPUTED_VALUE"""),363.0)</f>
        <v>363</v>
      </c>
      <c r="AE674" s="48">
        <f>IFERROR(__xludf.DUMMYFUNCTION("""COMPUTED_VALUE"""),348.0)</f>
        <v>348</v>
      </c>
      <c r="AF674" s="48">
        <f>IFERROR(__xludf.DUMMYFUNCTION("""COMPUTED_VALUE"""),363.0)</f>
        <v>363</v>
      </c>
      <c r="AG674" s="48">
        <f>IFERROR(__xludf.DUMMYFUNCTION("""COMPUTED_VALUE"""),345.0)</f>
        <v>345</v>
      </c>
      <c r="AH674" s="48">
        <f>IFERROR(__xludf.DUMMYFUNCTION("""COMPUTED_VALUE"""),330.0)</f>
        <v>330</v>
      </c>
      <c r="AI674" s="14">
        <f>IFERROR(__xludf.DUMMYFUNCTION("""COMPUTED_VALUE"""),349.8)</f>
        <v>349.8</v>
      </c>
      <c r="AJ674" s="14">
        <f>IFERROR(__xludf.DUMMYFUNCTION("""COMPUTED_VALUE"""),0.74)</f>
        <v>0.74</v>
      </c>
      <c r="AK674" s="14">
        <f>IFERROR(__xludf.DUMMYFUNCTION("""COMPUTED_VALUE"""),0.68)</f>
        <v>0.68</v>
      </c>
      <c r="AL674" s="14">
        <f>IFERROR(__xludf.DUMMYFUNCTION("""COMPUTED_VALUE"""),0.7)</f>
        <v>0.7</v>
      </c>
      <c r="AM674" s="14">
        <f>IFERROR(__xludf.DUMMYFUNCTION("""COMPUTED_VALUE"""),0.86)</f>
        <v>0.86</v>
      </c>
      <c r="AN674" s="14">
        <f>IFERROR(__xludf.DUMMYFUNCTION("""COMPUTED_VALUE"""),0.64)</f>
        <v>0.64</v>
      </c>
      <c r="AO674" s="14">
        <f>IFERROR(__xludf.DUMMYFUNCTION("""COMPUTED_VALUE"""),0.724)</f>
        <v>0.724</v>
      </c>
      <c r="AP674" s="14">
        <f>IFERROR(__xludf.DUMMYFUNCTION("""COMPUTED_VALUE"""),76.0)</f>
        <v>76</v>
      </c>
      <c r="AQ674" s="14">
        <f>IFERROR(__xludf.DUMMYFUNCTION("""COMPUTED_VALUE"""),99.0)</f>
        <v>99</v>
      </c>
      <c r="AR674" s="14">
        <f>IFERROR(__xludf.DUMMYFUNCTION("""COMPUTED_VALUE"""),34.0)</f>
        <v>34</v>
      </c>
      <c r="AS674" s="14">
        <f>IFERROR(__xludf.DUMMYFUNCTION("""COMPUTED_VALUE"""),1.2)</f>
        <v>1.2</v>
      </c>
      <c r="AT674" s="14">
        <f>IFERROR(__xludf.DUMMYFUNCTION("""COMPUTED_VALUE"""),1.29)</f>
        <v>1.29</v>
      </c>
      <c r="AU674" s="14">
        <f>IFERROR(__xludf.DUMMYFUNCTION("""COMPUTED_VALUE"""),9340000.0)</f>
        <v>9340000</v>
      </c>
      <c r="AV674" s="14">
        <f>IFERROR(__xludf.DUMMYFUNCTION("""COMPUTED_VALUE"""),1.77)</f>
        <v>1.77</v>
      </c>
      <c r="AW674" s="14">
        <f>IFERROR(__xludf.DUMMYFUNCTION("""COMPUTED_VALUE"""),17.4)</f>
        <v>17.4</v>
      </c>
      <c r="AX674" s="14">
        <f>IFERROR(__xludf.DUMMYFUNCTION("""COMPUTED_VALUE"""),598000.0)</f>
        <v>598000</v>
      </c>
      <c r="AY674" s="14">
        <f>IFERROR(__xludf.DUMMYFUNCTION("""COMPUTED_VALUE"""),0.2)</f>
        <v>0.2</v>
      </c>
      <c r="AZ674" s="14">
        <f>IFERROR(__xludf.DUMMYFUNCTION("""COMPUTED_VALUE"""),0.007)</f>
        <v>0.007</v>
      </c>
      <c r="BA674" s="14">
        <f t="shared" si="1"/>
        <v>17.607</v>
      </c>
    </row>
    <row r="675" ht="14.25" customHeight="1">
      <c r="A675" s="10" t="str">
        <f>IFERROR(__xludf.DUMMYFUNCTION("""COMPUTED_VALUE"""),"100622CA02")</f>
        <v>100622CA02</v>
      </c>
      <c r="B675" s="12" t="str">
        <f>IFERROR(__xludf.DUMMYFUNCTION("""COMPUTED_VALUE"""),"QTR-Mochuelo Bajo")</f>
        <v>QTR-Mochuelo Bajo</v>
      </c>
      <c r="C675" s="12"/>
      <c r="D675" s="12"/>
      <c r="E675" s="44">
        <f>IFERROR(__xludf.DUMMYFUNCTION("""COMPUTED_VALUE"""),44722.0)</f>
        <v>44722</v>
      </c>
      <c r="F675" s="12" t="str">
        <f>IFERROR(__xludf.DUMMYFUNCTION("""COMPUTED_VALUE"""),"TIPO I")</f>
        <v>TIPO I</v>
      </c>
      <c r="G675" s="12" t="str">
        <f>IFERROR(__xludf.DUMMYFUNCTION("""COMPUTED_VALUE"""),"se observan espumas y presenta coloración la cual varia después e la cuarta alícuota")</f>
        <v>se observan espumas y presenta coloración la cual varia después e la cuarta alícuota</v>
      </c>
      <c r="H675" s="45">
        <f>IFERROR(__xludf.DUMMYFUNCTION("""COMPUTED_VALUE"""),0.5)</f>
        <v>0.5</v>
      </c>
      <c r="I675" s="45">
        <f>IFERROR(__xludf.DUMMYFUNCTION("""COMPUTED_VALUE"""),0.5833333333321207)</f>
        <v>0.5833333333</v>
      </c>
      <c r="J675" s="12">
        <f>IFERROR(__xludf.DUMMYFUNCTION("""COMPUTED_VALUE"""),1.5)</f>
        <v>1.5</v>
      </c>
      <c r="K675" s="12">
        <f>IFERROR(__xludf.DUMMYFUNCTION("""COMPUTED_VALUE"""),0.35)</f>
        <v>0.35</v>
      </c>
      <c r="L675" s="14">
        <f>IFERROR(__xludf.DUMMYFUNCTION("""COMPUTED_VALUE"""),59.103)</f>
        <v>59.103</v>
      </c>
      <c r="M675" s="14">
        <f>IFERROR(__xludf.DUMMYFUNCTION("""COMPUTED_VALUE"""),58.046)</f>
        <v>58.046</v>
      </c>
      <c r="N675" s="14">
        <f>IFERROR(__xludf.DUMMYFUNCTION("""COMPUTED_VALUE"""),63.419)</f>
        <v>63.419</v>
      </c>
      <c r="O675" s="14">
        <f>IFERROR(__xludf.DUMMYFUNCTION("""COMPUTED_VALUE"""),63.934)</f>
        <v>63.934</v>
      </c>
      <c r="P675" s="14">
        <f>IFERROR(__xludf.DUMMYFUNCTION("""COMPUTED_VALUE"""),64.287)</f>
        <v>64.287</v>
      </c>
      <c r="Q675" s="14">
        <f>IFERROR(__xludf.DUMMYFUNCTION("""COMPUTED_VALUE"""),61.758)</f>
        <v>61.758</v>
      </c>
      <c r="R675" s="48">
        <f>IFERROR(__xludf.DUMMYFUNCTION("""COMPUTED_VALUE"""),6.58)</f>
        <v>6.58</v>
      </c>
      <c r="S675" s="48">
        <f>IFERROR(__xludf.DUMMYFUNCTION("""COMPUTED_VALUE"""),6.33)</f>
        <v>6.33</v>
      </c>
      <c r="T675" s="48">
        <f>IFERROR(__xludf.DUMMYFUNCTION("""COMPUTED_VALUE"""),6.67)</f>
        <v>6.67</v>
      </c>
      <c r="U675" s="48">
        <f>IFERROR(__xludf.DUMMYFUNCTION("""COMPUTED_VALUE"""),7.34)</f>
        <v>7.34</v>
      </c>
      <c r="V675" s="48">
        <f>IFERROR(__xludf.DUMMYFUNCTION("""COMPUTED_VALUE"""),6.56)</f>
        <v>6.56</v>
      </c>
      <c r="W675" s="14">
        <f>IFERROR(__xludf.DUMMYFUNCTION("""COMPUTED_VALUE"""),6.696)</f>
        <v>6.696</v>
      </c>
      <c r="X675" s="14">
        <f>IFERROR(__xludf.DUMMYFUNCTION("""COMPUTED_VALUE"""),17.8)</f>
        <v>17.8</v>
      </c>
      <c r="Y675" s="14">
        <f>IFERROR(__xludf.DUMMYFUNCTION("""COMPUTED_VALUE"""),17.0)</f>
        <v>17</v>
      </c>
      <c r="Z675" s="14">
        <f>IFERROR(__xludf.DUMMYFUNCTION("""COMPUTED_VALUE"""),17.9)</f>
        <v>17.9</v>
      </c>
      <c r="AA675" s="14">
        <f>IFERROR(__xludf.DUMMYFUNCTION("""COMPUTED_VALUE"""),18.0)</f>
        <v>18</v>
      </c>
      <c r="AB675" s="14">
        <f>IFERROR(__xludf.DUMMYFUNCTION("""COMPUTED_VALUE"""),17.7)</f>
        <v>17.7</v>
      </c>
      <c r="AC675" s="14">
        <f>IFERROR(__xludf.DUMMYFUNCTION("""COMPUTED_VALUE"""),17.68)</f>
        <v>17.68</v>
      </c>
      <c r="AD675" s="48">
        <f>IFERROR(__xludf.DUMMYFUNCTION("""COMPUTED_VALUE"""),638.0)</f>
        <v>638</v>
      </c>
      <c r="AE675" s="48">
        <f>IFERROR(__xludf.DUMMYFUNCTION("""COMPUTED_VALUE"""),646.0)</f>
        <v>646</v>
      </c>
      <c r="AF675" s="48">
        <f>IFERROR(__xludf.DUMMYFUNCTION("""COMPUTED_VALUE"""),656.0)</f>
        <v>656</v>
      </c>
      <c r="AG675" s="48">
        <f>IFERROR(__xludf.DUMMYFUNCTION("""COMPUTED_VALUE"""),600.0)</f>
        <v>600</v>
      </c>
      <c r="AH675" s="48">
        <f>IFERROR(__xludf.DUMMYFUNCTION("""COMPUTED_VALUE"""),603.0)</f>
        <v>603</v>
      </c>
      <c r="AI675" s="14">
        <f>IFERROR(__xludf.DUMMYFUNCTION("""COMPUTED_VALUE"""),628.6)</f>
        <v>628.6</v>
      </c>
      <c r="AJ675" s="14">
        <f>IFERROR(__xludf.DUMMYFUNCTION("""COMPUTED_VALUE"""),5.6)</f>
        <v>5.6</v>
      </c>
      <c r="AK675" s="14">
        <f>IFERROR(__xludf.DUMMYFUNCTION("""COMPUTED_VALUE"""),5.15)</f>
        <v>5.15</v>
      </c>
      <c r="AL675" s="14">
        <f>IFERROR(__xludf.DUMMYFUNCTION("""COMPUTED_VALUE"""),4.92)</f>
        <v>4.92</v>
      </c>
      <c r="AM675" s="14">
        <f>IFERROR(__xludf.DUMMYFUNCTION("""COMPUTED_VALUE"""),4.7)</f>
        <v>4.7</v>
      </c>
      <c r="AN675" s="14">
        <f>IFERROR(__xludf.DUMMYFUNCTION("""COMPUTED_VALUE"""),5.2)</f>
        <v>5.2</v>
      </c>
      <c r="AO675" s="14">
        <f>IFERROR(__xludf.DUMMYFUNCTION("""COMPUTED_VALUE"""),5.114)</f>
        <v>5.114</v>
      </c>
      <c r="AP675" s="14">
        <f>IFERROR(__xludf.DUMMYFUNCTION("""COMPUTED_VALUE"""),40.0)</f>
        <v>40</v>
      </c>
      <c r="AQ675" s="14">
        <f>IFERROR(__xludf.DUMMYFUNCTION("""COMPUTED_VALUE"""),145.0)</f>
        <v>145</v>
      </c>
      <c r="AR675" s="14">
        <f>IFERROR(__xludf.DUMMYFUNCTION("""COMPUTED_VALUE"""),468.0)</f>
        <v>468</v>
      </c>
      <c r="AS675" s="14">
        <f>IFERROR(__xludf.DUMMYFUNCTION("""COMPUTED_VALUE"""),1.2)</f>
        <v>1.2</v>
      </c>
      <c r="AT675" s="14">
        <f>IFERROR(__xludf.DUMMYFUNCTION("""COMPUTED_VALUE"""),0.25)</f>
        <v>0.25</v>
      </c>
      <c r="AU675" s="14">
        <f>IFERROR(__xludf.DUMMYFUNCTION("""COMPUTED_VALUE"""),1.517E7)</f>
        <v>15170000</v>
      </c>
      <c r="AV675" s="14">
        <f>IFERROR(__xludf.DUMMYFUNCTION("""COMPUTED_VALUE"""),0.85)</f>
        <v>0.85</v>
      </c>
      <c r="AW675" s="14">
        <f>IFERROR(__xludf.DUMMYFUNCTION("""COMPUTED_VALUE"""),17.6)</f>
        <v>17.6</v>
      </c>
      <c r="AX675" s="14">
        <f>IFERROR(__xludf.DUMMYFUNCTION("""COMPUTED_VALUE"""),1.324E7)</f>
        <v>13240000</v>
      </c>
      <c r="AY675" s="14">
        <f>IFERROR(__xludf.DUMMYFUNCTION("""COMPUTED_VALUE"""),1.3)</f>
        <v>1.3</v>
      </c>
      <c r="AZ675" s="14">
        <f>IFERROR(__xludf.DUMMYFUNCTION("""COMPUTED_VALUE"""),0.237)</f>
        <v>0.237</v>
      </c>
      <c r="BA675" s="14">
        <f t="shared" si="1"/>
        <v>19.137</v>
      </c>
    </row>
    <row r="676" ht="14.25" customHeight="1">
      <c r="A676" s="10" t="str">
        <f>IFERROR(__xludf.DUMMYFUNCTION("""COMPUTED_VALUE"""),"140622DI03")</f>
        <v>140622DI03</v>
      </c>
      <c r="B676" s="12" t="str">
        <f>IFERROR(__xludf.DUMMYFUNCTION("""COMPUTED_VALUE"""),"CMO-Pepe Sierra")</f>
        <v>CMO-Pepe Sierra</v>
      </c>
      <c r="C676" s="12"/>
      <c r="D676" s="12"/>
      <c r="E676" s="44">
        <f>IFERROR(__xludf.DUMMYFUNCTION("""COMPUTED_VALUE"""),44726.0)</f>
        <v>44726</v>
      </c>
      <c r="F676" s="12" t="str">
        <f>IFERROR(__xludf.DUMMYFUNCTION("""COMPUTED_VALUE"""),"TIPO I")</f>
        <v>TIPO I</v>
      </c>
      <c r="G676" s="12" t="str">
        <f>IFERROR(__xludf.DUMMYFUNCTION("""COMPUTED_VALUE"""),"Se presenta un canal en concreto, se observa color y algas. Se percibe olor. ")</f>
        <v>Se presenta un canal en concreto, se observa color y algas. Se percibe olor. </v>
      </c>
      <c r="H676" s="45">
        <f>IFERROR(__xludf.DUMMYFUNCTION("""COMPUTED_VALUE"""),0.5833333333321207)</f>
        <v>0.5833333333</v>
      </c>
      <c r="I676" s="45">
        <f>IFERROR(__xludf.DUMMYFUNCTION("""COMPUTED_VALUE"""),0.6666666666678793)</f>
        <v>0.6666666667</v>
      </c>
      <c r="J676" s="12">
        <f>IFERROR(__xludf.DUMMYFUNCTION("""COMPUTED_VALUE"""),7.7)</f>
        <v>7.7</v>
      </c>
      <c r="K676" s="12">
        <f>IFERROR(__xludf.DUMMYFUNCTION("""COMPUTED_VALUE"""),0.2)</f>
        <v>0.2</v>
      </c>
      <c r="L676" s="14">
        <f>IFERROR(__xludf.DUMMYFUNCTION("""COMPUTED_VALUE"""),324.795)</f>
        <v>324.795</v>
      </c>
      <c r="M676" s="14">
        <f>IFERROR(__xludf.DUMMYFUNCTION("""COMPUTED_VALUE"""),324.475)</f>
        <v>324.475</v>
      </c>
      <c r="N676" s="14">
        <f>IFERROR(__xludf.DUMMYFUNCTION("""COMPUTED_VALUE"""),327.028)</f>
        <v>327.028</v>
      </c>
      <c r="O676" s="14">
        <f>IFERROR(__xludf.DUMMYFUNCTION("""COMPUTED_VALUE"""),322.288)</f>
        <v>322.288</v>
      </c>
      <c r="P676" s="14">
        <f>IFERROR(__xludf.DUMMYFUNCTION("""COMPUTED_VALUE"""),328.658)</f>
        <v>328.658</v>
      </c>
      <c r="Q676" s="14">
        <f>IFERROR(__xludf.DUMMYFUNCTION("""COMPUTED_VALUE"""),325.449)</f>
        <v>325.449</v>
      </c>
      <c r="R676" s="48">
        <f>IFERROR(__xludf.DUMMYFUNCTION("""COMPUTED_VALUE"""),7.14)</f>
        <v>7.14</v>
      </c>
      <c r="S676" s="48">
        <f>IFERROR(__xludf.DUMMYFUNCTION("""COMPUTED_VALUE"""),7.17)</f>
        <v>7.17</v>
      </c>
      <c r="T676" s="48">
        <f>IFERROR(__xludf.DUMMYFUNCTION("""COMPUTED_VALUE"""),7.14)</f>
        <v>7.14</v>
      </c>
      <c r="U676" s="48">
        <f>IFERROR(__xludf.DUMMYFUNCTION("""COMPUTED_VALUE"""),7.11)</f>
        <v>7.11</v>
      </c>
      <c r="V676" s="48">
        <f>IFERROR(__xludf.DUMMYFUNCTION("""COMPUTED_VALUE"""),7.12)</f>
        <v>7.12</v>
      </c>
      <c r="W676" s="14">
        <f>IFERROR(__xludf.DUMMYFUNCTION("""COMPUTED_VALUE"""),7.136)</f>
        <v>7.136</v>
      </c>
      <c r="X676" s="14">
        <f>IFERROR(__xludf.DUMMYFUNCTION("""COMPUTED_VALUE"""),18.1)</f>
        <v>18.1</v>
      </c>
      <c r="Y676" s="14">
        <f>IFERROR(__xludf.DUMMYFUNCTION("""COMPUTED_VALUE"""),17.6)</f>
        <v>17.6</v>
      </c>
      <c r="Z676" s="14">
        <f>IFERROR(__xludf.DUMMYFUNCTION("""COMPUTED_VALUE"""),17.5)</f>
        <v>17.5</v>
      </c>
      <c r="AA676" s="14">
        <f>IFERROR(__xludf.DUMMYFUNCTION("""COMPUTED_VALUE"""),16.3)</f>
        <v>16.3</v>
      </c>
      <c r="AB676" s="14">
        <f>IFERROR(__xludf.DUMMYFUNCTION("""COMPUTED_VALUE"""),16.3)</f>
        <v>16.3</v>
      </c>
      <c r="AC676" s="14">
        <f>IFERROR(__xludf.DUMMYFUNCTION("""COMPUTED_VALUE"""),17.16)</f>
        <v>17.16</v>
      </c>
      <c r="AD676" s="48">
        <f>IFERROR(__xludf.DUMMYFUNCTION("""COMPUTED_VALUE"""),393.0)</f>
        <v>393</v>
      </c>
      <c r="AE676" s="48">
        <f>IFERROR(__xludf.DUMMYFUNCTION("""COMPUTED_VALUE"""),415.0)</f>
        <v>415</v>
      </c>
      <c r="AF676" s="48">
        <f>IFERROR(__xludf.DUMMYFUNCTION("""COMPUTED_VALUE"""),406.0)</f>
        <v>406</v>
      </c>
      <c r="AG676" s="48">
        <f>IFERROR(__xludf.DUMMYFUNCTION("""COMPUTED_VALUE"""),393.0)</f>
        <v>393</v>
      </c>
      <c r="AH676" s="48">
        <f>IFERROR(__xludf.DUMMYFUNCTION("""COMPUTED_VALUE"""),402.0)</f>
        <v>402</v>
      </c>
      <c r="AI676" s="14">
        <f>IFERROR(__xludf.DUMMYFUNCTION("""COMPUTED_VALUE"""),401.8)</f>
        <v>401.8</v>
      </c>
      <c r="AJ676" s="14">
        <f>IFERROR(__xludf.DUMMYFUNCTION("""COMPUTED_VALUE"""),0.69)</f>
        <v>0.69</v>
      </c>
      <c r="AK676" s="14">
        <f>IFERROR(__xludf.DUMMYFUNCTION("""COMPUTED_VALUE"""),1.14)</f>
        <v>1.14</v>
      </c>
      <c r="AL676" s="14">
        <f>IFERROR(__xludf.DUMMYFUNCTION("""COMPUTED_VALUE"""),0.71)</f>
        <v>0.71</v>
      </c>
      <c r="AM676" s="14">
        <f>IFERROR(__xludf.DUMMYFUNCTION("""COMPUTED_VALUE"""),0.65)</f>
        <v>0.65</v>
      </c>
      <c r="AN676" s="14">
        <f>IFERROR(__xludf.DUMMYFUNCTION("""COMPUTED_VALUE"""),0.67)</f>
        <v>0.67</v>
      </c>
      <c r="AO676" s="14">
        <f>IFERROR(__xludf.DUMMYFUNCTION("""COMPUTED_VALUE"""),0.772)</f>
        <v>0.772</v>
      </c>
      <c r="AP676" s="14">
        <f>IFERROR(__xludf.DUMMYFUNCTION("""COMPUTED_VALUE"""),85.0)</f>
        <v>85</v>
      </c>
      <c r="AQ676" s="14">
        <f>IFERROR(__xludf.DUMMYFUNCTION("""COMPUTED_VALUE"""),107.0)</f>
        <v>107</v>
      </c>
      <c r="AR676" s="14">
        <f>IFERROR(__xludf.DUMMYFUNCTION("""COMPUTED_VALUE"""),21.0)</f>
        <v>21</v>
      </c>
      <c r="AS676" s="14">
        <f>IFERROR(__xludf.DUMMYFUNCTION("""COMPUTED_VALUE"""),1.2)</f>
        <v>1.2</v>
      </c>
      <c r="AT676" s="14">
        <f>IFERROR(__xludf.DUMMYFUNCTION("""COMPUTED_VALUE"""),2.21)</f>
        <v>2.21</v>
      </c>
      <c r="AU676" s="14">
        <f>IFERROR(__xludf.DUMMYFUNCTION("""COMPUTED_VALUE"""),1.09E7)</f>
        <v>10900000</v>
      </c>
      <c r="AV676" s="14">
        <f>IFERROR(__xludf.DUMMYFUNCTION("""COMPUTED_VALUE"""),1.77)</f>
        <v>1.77</v>
      </c>
      <c r="AW676" s="14">
        <f>IFERROR(__xludf.DUMMYFUNCTION("""COMPUTED_VALUE"""),18.8)</f>
        <v>18.8</v>
      </c>
      <c r="AX676" s="14">
        <f>IFERROR(__xludf.DUMMYFUNCTION("""COMPUTED_VALUE"""),960000.0)</f>
        <v>960000</v>
      </c>
      <c r="AY676" s="14">
        <f>IFERROR(__xludf.DUMMYFUNCTION("""COMPUTED_VALUE"""),0.4)</f>
        <v>0.4</v>
      </c>
      <c r="AZ676" s="14">
        <f>IFERROR(__xludf.DUMMYFUNCTION("""COMPUTED_VALUE"""),0.007)</f>
        <v>0.007</v>
      </c>
      <c r="BA676" s="14">
        <f t="shared" si="1"/>
        <v>19.207</v>
      </c>
    </row>
    <row r="677" ht="14.25" customHeight="1">
      <c r="A677" s="10" t="str">
        <f>IFERROR(__xludf.DUMMYFUNCTION("""COMPUTED_VALUE"""),"140622CA02")</f>
        <v>140622CA02</v>
      </c>
      <c r="B677" s="12" t="str">
        <f>IFERROR(__xludf.DUMMYFUNCTION("""COMPUTED_VALUE"""),"CMO-Cantón Norte")</f>
        <v>CMO-Cantón Norte</v>
      </c>
      <c r="C677" s="12"/>
      <c r="D677" s="12"/>
      <c r="E677" s="44">
        <f>IFERROR(__xludf.DUMMYFUNCTION("""COMPUTED_VALUE"""),44726.0)</f>
        <v>44726</v>
      </c>
      <c r="F677" s="12" t="str">
        <f>IFERROR(__xludf.DUMMYFUNCTION("""COMPUTED_VALUE"""),"TIPO I")</f>
        <v>TIPO I</v>
      </c>
      <c r="G677" s="12" t="str">
        <f>IFERROR(__xludf.DUMMYFUNCTION("""COMPUTED_VALUE"""),"Se presenta un lecho en concreto, se percibe color, se observa color y espuma. ")</f>
        <v>Se presenta un lecho en concreto, se percibe color, se observa color y espuma. </v>
      </c>
      <c r="H677" s="45">
        <f>IFERROR(__xludf.DUMMYFUNCTION("""COMPUTED_VALUE"""),0.5)</f>
        <v>0.5</v>
      </c>
      <c r="I677" s="45">
        <f>IFERROR(__xludf.DUMMYFUNCTION("""COMPUTED_VALUE"""),0.5833333333321207)</f>
        <v>0.5833333333</v>
      </c>
      <c r="J677" s="12">
        <f>IFERROR(__xludf.DUMMYFUNCTION("""COMPUTED_VALUE"""),2.2)</f>
        <v>2.2</v>
      </c>
      <c r="K677" s="12">
        <f>IFERROR(__xludf.DUMMYFUNCTION("""COMPUTED_VALUE"""),0.15)</f>
        <v>0.15</v>
      </c>
      <c r="L677" s="14">
        <f>IFERROR(__xludf.DUMMYFUNCTION("""COMPUTED_VALUE"""),146.22)</f>
        <v>146.22</v>
      </c>
      <c r="M677" s="14">
        <f>IFERROR(__xludf.DUMMYFUNCTION("""COMPUTED_VALUE"""),144.26)</f>
        <v>144.26</v>
      </c>
      <c r="N677" s="14">
        <f>IFERROR(__xludf.DUMMYFUNCTION("""COMPUTED_VALUE"""),145.51)</f>
        <v>145.51</v>
      </c>
      <c r="O677" s="14">
        <f>IFERROR(__xludf.DUMMYFUNCTION("""COMPUTED_VALUE"""),147.831)</f>
        <v>147.831</v>
      </c>
      <c r="P677" s="14">
        <f>IFERROR(__xludf.DUMMYFUNCTION("""COMPUTED_VALUE"""),147.847)</f>
        <v>147.847</v>
      </c>
      <c r="Q677" s="14">
        <f>IFERROR(__xludf.DUMMYFUNCTION("""COMPUTED_VALUE"""),146.333)</f>
        <v>146.333</v>
      </c>
      <c r="R677" s="48">
        <f>IFERROR(__xludf.DUMMYFUNCTION("""COMPUTED_VALUE"""),6.58)</f>
        <v>6.58</v>
      </c>
      <c r="S677" s="48">
        <f>IFERROR(__xludf.DUMMYFUNCTION("""COMPUTED_VALUE"""),6.67)</f>
        <v>6.67</v>
      </c>
      <c r="T677" s="48">
        <f>IFERROR(__xludf.DUMMYFUNCTION("""COMPUTED_VALUE"""),6.89)</f>
        <v>6.89</v>
      </c>
      <c r="U677" s="48">
        <f>IFERROR(__xludf.DUMMYFUNCTION("""COMPUTED_VALUE"""),7.0)</f>
        <v>7</v>
      </c>
      <c r="V677" s="48">
        <f>IFERROR(__xludf.DUMMYFUNCTION("""COMPUTED_VALUE"""),6.76)</f>
        <v>6.76</v>
      </c>
      <c r="W677" s="14">
        <f>IFERROR(__xludf.DUMMYFUNCTION("""COMPUTED_VALUE"""),6.779999999999999)</f>
        <v>6.78</v>
      </c>
      <c r="X677" s="14">
        <f>IFERROR(__xludf.DUMMYFUNCTION("""COMPUTED_VALUE"""),12.7)</f>
        <v>12.7</v>
      </c>
      <c r="Y677" s="14">
        <f>IFERROR(__xludf.DUMMYFUNCTION("""COMPUTED_VALUE"""),13.8)</f>
        <v>13.8</v>
      </c>
      <c r="Z677" s="14">
        <f>IFERROR(__xludf.DUMMYFUNCTION("""COMPUTED_VALUE"""),14.3)</f>
        <v>14.3</v>
      </c>
      <c r="AA677" s="14">
        <f>IFERROR(__xludf.DUMMYFUNCTION("""COMPUTED_VALUE"""),13.7)</f>
        <v>13.7</v>
      </c>
      <c r="AB677" s="14">
        <f>IFERROR(__xludf.DUMMYFUNCTION("""COMPUTED_VALUE"""),12.7)</f>
        <v>12.7</v>
      </c>
      <c r="AC677" s="14">
        <f>IFERROR(__xludf.DUMMYFUNCTION("""COMPUTED_VALUE"""),13.440000000000001)</f>
        <v>13.44</v>
      </c>
      <c r="AD677" s="48">
        <f>IFERROR(__xludf.DUMMYFUNCTION("""COMPUTED_VALUE"""),362.0)</f>
        <v>362</v>
      </c>
      <c r="AE677" s="48">
        <f>IFERROR(__xludf.DUMMYFUNCTION("""COMPUTED_VALUE"""),369.0)</f>
        <v>369</v>
      </c>
      <c r="AF677" s="48">
        <f>IFERROR(__xludf.DUMMYFUNCTION("""COMPUTED_VALUE"""),372.0)</f>
        <v>372</v>
      </c>
      <c r="AG677" s="48">
        <f>IFERROR(__xludf.DUMMYFUNCTION("""COMPUTED_VALUE"""),327.0)</f>
        <v>327</v>
      </c>
      <c r="AH677" s="48">
        <f>IFERROR(__xludf.DUMMYFUNCTION("""COMPUTED_VALUE"""),331.0)</f>
        <v>331</v>
      </c>
      <c r="AI677" s="14">
        <f>IFERROR(__xludf.DUMMYFUNCTION("""COMPUTED_VALUE"""),352.2)</f>
        <v>352.2</v>
      </c>
      <c r="AJ677" s="14">
        <f>IFERROR(__xludf.DUMMYFUNCTION("""COMPUTED_VALUE"""),4.7)</f>
        <v>4.7</v>
      </c>
      <c r="AK677" s="14">
        <f>IFERROR(__xludf.DUMMYFUNCTION("""COMPUTED_VALUE"""),3.5)</f>
        <v>3.5</v>
      </c>
      <c r="AL677" s="14">
        <f>IFERROR(__xludf.DUMMYFUNCTION("""COMPUTED_VALUE"""),3.9)</f>
        <v>3.9</v>
      </c>
      <c r="AM677" s="14">
        <f>IFERROR(__xludf.DUMMYFUNCTION("""COMPUTED_VALUE"""),2.8)</f>
        <v>2.8</v>
      </c>
      <c r="AN677" s="14">
        <f>IFERROR(__xludf.DUMMYFUNCTION("""COMPUTED_VALUE"""),3.1)</f>
        <v>3.1</v>
      </c>
      <c r="AO677" s="14">
        <f>IFERROR(__xludf.DUMMYFUNCTION("""COMPUTED_VALUE"""),3.6)</f>
        <v>3.6</v>
      </c>
      <c r="AP677" s="14">
        <f>IFERROR(__xludf.DUMMYFUNCTION("""COMPUTED_VALUE"""),18.0)</f>
        <v>18</v>
      </c>
      <c r="AQ677" s="14">
        <f>IFERROR(__xludf.DUMMYFUNCTION("""COMPUTED_VALUE"""),32.0)</f>
        <v>32</v>
      </c>
      <c r="AR677" s="14">
        <f>IFERROR(__xludf.DUMMYFUNCTION("""COMPUTED_VALUE"""),19.0)</f>
        <v>19</v>
      </c>
      <c r="AS677" s="14">
        <f>IFERROR(__xludf.DUMMYFUNCTION("""COMPUTED_VALUE"""),1.2)</f>
        <v>1.2</v>
      </c>
      <c r="AT677" s="14">
        <f>IFERROR(__xludf.DUMMYFUNCTION("""COMPUTED_VALUE"""),0.07)</f>
        <v>0.07</v>
      </c>
      <c r="AU677" s="14">
        <f>IFERROR(__xludf.DUMMYFUNCTION("""COMPUTED_VALUE"""),6450000.0)</f>
        <v>6450000</v>
      </c>
      <c r="AV677" s="14">
        <f>IFERROR(__xludf.DUMMYFUNCTION("""COMPUTED_VALUE"""),1.97)</f>
        <v>1.97</v>
      </c>
      <c r="AW677" s="14">
        <f>IFERROR(__xludf.DUMMYFUNCTION("""COMPUTED_VALUE"""),16.0)</f>
        <v>16</v>
      </c>
      <c r="AX677" s="14">
        <f>IFERROR(__xludf.DUMMYFUNCTION("""COMPUTED_VALUE"""),512000.0)</f>
        <v>512000</v>
      </c>
      <c r="AY677" s="14">
        <f>IFERROR(__xludf.DUMMYFUNCTION("""COMPUTED_VALUE"""),2.9)</f>
        <v>2.9</v>
      </c>
      <c r="AZ677" s="14">
        <f>IFERROR(__xludf.DUMMYFUNCTION("""COMPUTED_VALUE"""),0.007)</f>
        <v>0.007</v>
      </c>
      <c r="BA677" s="14">
        <f t="shared" si="1"/>
        <v>18.907</v>
      </c>
    </row>
    <row r="678" ht="14.25" customHeight="1">
      <c r="A678" s="10" t="str">
        <f>IFERROR(__xludf.DUMMYFUNCTION("""COMPUTED_VALUE"""),"140622CA03")</f>
        <v>140622CA03</v>
      </c>
      <c r="B678" s="12" t="str">
        <f>IFERROR(__xludf.DUMMYFUNCTION("""COMPUTED_VALUE"""),"CMO-Santa Ana")</f>
        <v>CMO-Santa Ana</v>
      </c>
      <c r="C678" s="12"/>
      <c r="D678" s="12"/>
      <c r="E678" s="44">
        <f>IFERROR(__xludf.DUMMYFUNCTION("""COMPUTED_VALUE"""),44726.0)</f>
        <v>44726</v>
      </c>
      <c r="F678" s="12" t="str">
        <f>IFERROR(__xludf.DUMMYFUNCTION("""COMPUTED_VALUE"""),"TIPO I")</f>
        <v>TIPO I</v>
      </c>
      <c r="G678" s="12" t="str">
        <f>IFERROR(__xludf.DUMMYFUNCTION("""COMPUTED_VALUE"""),"Se presenta un lecho en concreto, se percibe olor , se observa color y material flotante. ")</f>
        <v>Se presenta un lecho en concreto, se percibe olor , se observa color y material flotante. </v>
      </c>
      <c r="H678" s="45">
        <f>IFERROR(__xludf.DUMMYFUNCTION("""COMPUTED_VALUE"""),0.6666666666678793)</f>
        <v>0.6666666667</v>
      </c>
      <c r="I678" s="45">
        <f>IFERROR(__xludf.DUMMYFUNCTION("""COMPUTED_VALUE"""),0.75)</f>
        <v>0.75</v>
      </c>
      <c r="J678" s="12">
        <f>IFERROR(__xludf.DUMMYFUNCTION("""COMPUTED_VALUE"""),3.3)</f>
        <v>3.3</v>
      </c>
      <c r="K678" s="12">
        <f>IFERROR(__xludf.DUMMYFUNCTION("""COMPUTED_VALUE"""),0.18)</f>
        <v>0.18</v>
      </c>
      <c r="L678" s="14">
        <f>IFERROR(__xludf.DUMMYFUNCTION("""COMPUTED_VALUE"""),218.835)</f>
        <v>218.835</v>
      </c>
      <c r="M678" s="14">
        <f>IFERROR(__xludf.DUMMYFUNCTION("""COMPUTED_VALUE"""),218.369)</f>
        <v>218.369</v>
      </c>
      <c r="N678" s="14">
        <f>IFERROR(__xludf.DUMMYFUNCTION("""COMPUTED_VALUE"""),217.361)</f>
        <v>217.361</v>
      </c>
      <c r="O678" s="14">
        <f>IFERROR(__xludf.DUMMYFUNCTION("""COMPUTED_VALUE"""),225.273)</f>
        <v>225.273</v>
      </c>
      <c r="P678" s="14">
        <f>IFERROR(__xludf.DUMMYFUNCTION("""COMPUTED_VALUE"""),220.039)</f>
        <v>220.039</v>
      </c>
      <c r="Q678" s="14">
        <f>IFERROR(__xludf.DUMMYFUNCTION("""COMPUTED_VALUE"""),219.975)</f>
        <v>219.975</v>
      </c>
      <c r="R678" s="48">
        <f>IFERROR(__xludf.DUMMYFUNCTION("""COMPUTED_VALUE"""),6.7)</f>
        <v>6.7</v>
      </c>
      <c r="S678" s="48">
        <f>IFERROR(__xludf.DUMMYFUNCTION("""COMPUTED_VALUE"""),6.39)</f>
        <v>6.39</v>
      </c>
      <c r="T678" s="48">
        <f>IFERROR(__xludf.DUMMYFUNCTION("""COMPUTED_VALUE"""),6.57)</f>
        <v>6.57</v>
      </c>
      <c r="U678" s="48">
        <f>IFERROR(__xludf.DUMMYFUNCTION("""COMPUTED_VALUE"""),6.82)</f>
        <v>6.82</v>
      </c>
      <c r="V678" s="48">
        <f>IFERROR(__xludf.DUMMYFUNCTION("""COMPUTED_VALUE"""),6.64)</f>
        <v>6.64</v>
      </c>
      <c r="W678" s="14">
        <f>IFERROR(__xludf.DUMMYFUNCTION("""COMPUTED_VALUE"""),6.624)</f>
        <v>6.624</v>
      </c>
      <c r="X678" s="14">
        <f>IFERROR(__xludf.DUMMYFUNCTION("""COMPUTED_VALUE"""),16.0)</f>
        <v>16</v>
      </c>
      <c r="Y678" s="14">
        <f>IFERROR(__xludf.DUMMYFUNCTION("""COMPUTED_VALUE"""),15.1)</f>
        <v>15.1</v>
      </c>
      <c r="Z678" s="14">
        <f>IFERROR(__xludf.DUMMYFUNCTION("""COMPUTED_VALUE"""),15.2)</f>
        <v>15.2</v>
      </c>
      <c r="AA678" s="14">
        <f>IFERROR(__xludf.DUMMYFUNCTION("""COMPUTED_VALUE"""),14.6)</f>
        <v>14.6</v>
      </c>
      <c r="AB678" s="14">
        <f>IFERROR(__xludf.DUMMYFUNCTION("""COMPUTED_VALUE"""),14.6)</f>
        <v>14.6</v>
      </c>
      <c r="AC678" s="14">
        <f>IFERROR(__xludf.DUMMYFUNCTION("""COMPUTED_VALUE"""),15.1)</f>
        <v>15.1</v>
      </c>
      <c r="AD678" s="48">
        <f>IFERROR(__xludf.DUMMYFUNCTION("""COMPUTED_VALUE"""),361.0)</f>
        <v>361</v>
      </c>
      <c r="AE678" s="48">
        <f>IFERROR(__xludf.DUMMYFUNCTION("""COMPUTED_VALUE"""),369.0)</f>
        <v>369</v>
      </c>
      <c r="AF678" s="48">
        <f>IFERROR(__xludf.DUMMYFUNCTION("""COMPUTED_VALUE"""),364.0)</f>
        <v>364</v>
      </c>
      <c r="AG678" s="48">
        <f>IFERROR(__xludf.DUMMYFUNCTION("""COMPUTED_VALUE"""),360.0)</f>
        <v>360</v>
      </c>
      <c r="AH678" s="48">
        <f>IFERROR(__xludf.DUMMYFUNCTION("""COMPUTED_VALUE"""),354.0)</f>
        <v>354</v>
      </c>
      <c r="AI678" s="14">
        <f>IFERROR(__xludf.DUMMYFUNCTION("""COMPUTED_VALUE"""),361.6)</f>
        <v>361.6</v>
      </c>
      <c r="AJ678" s="14">
        <f>IFERROR(__xludf.DUMMYFUNCTION("""COMPUTED_VALUE"""),4.0)</f>
        <v>4</v>
      </c>
      <c r="AK678" s="14">
        <f>IFERROR(__xludf.DUMMYFUNCTION("""COMPUTED_VALUE"""),3.8)</f>
        <v>3.8</v>
      </c>
      <c r="AL678" s="14">
        <f>IFERROR(__xludf.DUMMYFUNCTION("""COMPUTED_VALUE"""),3.0)</f>
        <v>3</v>
      </c>
      <c r="AM678" s="14">
        <f>IFERROR(__xludf.DUMMYFUNCTION("""COMPUTED_VALUE"""),2.2)</f>
        <v>2.2</v>
      </c>
      <c r="AN678" s="14">
        <f>IFERROR(__xludf.DUMMYFUNCTION("""COMPUTED_VALUE"""),2.0)</f>
        <v>2</v>
      </c>
      <c r="AO678" s="14">
        <f>IFERROR(__xludf.DUMMYFUNCTION("""COMPUTED_VALUE"""),3.0)</f>
        <v>3</v>
      </c>
      <c r="AP678" s="14">
        <f>IFERROR(__xludf.DUMMYFUNCTION("""COMPUTED_VALUE"""),16.0)</f>
        <v>16</v>
      </c>
      <c r="AQ678" s="14">
        <f>IFERROR(__xludf.DUMMYFUNCTION("""COMPUTED_VALUE"""),35.0)</f>
        <v>35</v>
      </c>
      <c r="AR678" s="14">
        <f>IFERROR(__xludf.DUMMYFUNCTION("""COMPUTED_VALUE"""),18.0)</f>
        <v>18</v>
      </c>
      <c r="AS678" s="14">
        <f>IFERROR(__xludf.DUMMYFUNCTION("""COMPUTED_VALUE"""),1.2)</f>
        <v>1.2</v>
      </c>
      <c r="AT678" s="14">
        <f>IFERROR(__xludf.DUMMYFUNCTION("""COMPUTED_VALUE"""),0.07)</f>
        <v>0.07</v>
      </c>
      <c r="AU678" s="14">
        <f>IFERROR(__xludf.DUMMYFUNCTION("""COMPUTED_VALUE"""),1.126E7)</f>
        <v>11260000</v>
      </c>
      <c r="AV678" s="14">
        <f>IFERROR(__xludf.DUMMYFUNCTION("""COMPUTED_VALUE"""),1.82)</f>
        <v>1.82</v>
      </c>
      <c r="AW678" s="14">
        <f>IFERROR(__xludf.DUMMYFUNCTION("""COMPUTED_VALUE"""),17.4)</f>
        <v>17.4</v>
      </c>
      <c r="AX678" s="14">
        <f>IFERROR(__xludf.DUMMYFUNCTION("""COMPUTED_VALUE"""),722000.0)</f>
        <v>722000</v>
      </c>
      <c r="AY678" s="14">
        <f>IFERROR(__xludf.DUMMYFUNCTION("""COMPUTED_VALUE"""),0.3)</f>
        <v>0.3</v>
      </c>
      <c r="AZ678" s="14">
        <f>IFERROR(__xludf.DUMMYFUNCTION("""COMPUTED_VALUE"""),0.007)</f>
        <v>0.007</v>
      </c>
      <c r="BA678" s="14">
        <f t="shared" si="1"/>
        <v>17.707</v>
      </c>
    </row>
    <row r="679" ht="14.25" customHeight="1">
      <c r="A679" s="10" t="str">
        <f>IFERROR(__xludf.DUMMYFUNCTION("""COMPUTED_VALUE"""),"090622MP01")</f>
        <v>090622MP01</v>
      </c>
      <c r="B679" s="12" t="str">
        <f>IFERROR(__xludf.DUMMYFUNCTION("""COMPUTED_VALUE"""),"QCH-Cantarrana")</f>
        <v>QCH-Cantarrana</v>
      </c>
      <c r="C679" s="12"/>
      <c r="D679" s="12"/>
      <c r="E679" s="44">
        <f>IFERROR(__xludf.DUMMYFUNCTION("""COMPUTED_VALUE"""),44721.0)</f>
        <v>44721</v>
      </c>
      <c r="F679" s="12" t="str">
        <f>IFERROR(__xludf.DUMMYFUNCTION("""COMPUTED_VALUE"""),"TIPO I")</f>
        <v>TIPO I</v>
      </c>
      <c r="G679" s="12" t="str">
        <f>IFERROR(__xludf.DUMMYFUNCTION("""COMPUTED_VALUE"""),"Se observa color , espuma y se percibe olor.
A partir de la cuarta alícuota se aumenta la presencia de espumas. ")</f>
        <v>Se observa color , espuma y se percibe olor.
A partir de la cuarta alícuota se aumenta la presencia de espumas. </v>
      </c>
      <c r="H679" s="45">
        <f>IFERROR(__xludf.DUMMYFUNCTION("""COMPUTED_VALUE"""),0.3333333333321207)</f>
        <v>0.3333333333</v>
      </c>
      <c r="I679" s="45">
        <f>IFERROR(__xludf.DUMMYFUNCTION("""COMPUTED_VALUE"""),0.4166666666678793)</f>
        <v>0.4166666667</v>
      </c>
      <c r="J679" s="12">
        <f>IFERROR(__xludf.DUMMYFUNCTION("""COMPUTED_VALUE"""),0.8)</f>
        <v>0.8</v>
      </c>
      <c r="K679" s="12">
        <f>IFERROR(__xludf.DUMMYFUNCTION("""COMPUTED_VALUE"""),0.35)</f>
        <v>0.35</v>
      </c>
      <c r="L679" s="14">
        <f>IFERROR(__xludf.DUMMYFUNCTION("""COMPUTED_VALUE"""),47.798)</f>
        <v>47.798</v>
      </c>
      <c r="M679" s="14">
        <f>IFERROR(__xludf.DUMMYFUNCTION("""COMPUTED_VALUE"""),50.931)</f>
        <v>50.931</v>
      </c>
      <c r="N679" s="14">
        <f>IFERROR(__xludf.DUMMYFUNCTION("""COMPUTED_VALUE"""),58.922)</f>
        <v>58.922</v>
      </c>
      <c r="O679" s="14">
        <f>IFERROR(__xludf.DUMMYFUNCTION("""COMPUTED_VALUE"""),65.188)</f>
        <v>65.188</v>
      </c>
      <c r="P679" s="14">
        <f>IFERROR(__xludf.DUMMYFUNCTION("""COMPUTED_VALUE"""),67.703)</f>
        <v>67.703</v>
      </c>
      <c r="Q679" s="14">
        <f>IFERROR(__xludf.DUMMYFUNCTION("""COMPUTED_VALUE"""),58.108)</f>
        <v>58.108</v>
      </c>
      <c r="R679" s="48">
        <f>IFERROR(__xludf.DUMMYFUNCTION("""COMPUTED_VALUE"""),7.69)</f>
        <v>7.69</v>
      </c>
      <c r="S679" s="48">
        <f>IFERROR(__xludf.DUMMYFUNCTION("""COMPUTED_VALUE"""),7.83)</f>
        <v>7.83</v>
      </c>
      <c r="T679" s="48">
        <f>IFERROR(__xludf.DUMMYFUNCTION("""COMPUTED_VALUE"""),8.39)</f>
        <v>8.39</v>
      </c>
      <c r="U679" s="48">
        <f>IFERROR(__xludf.DUMMYFUNCTION("""COMPUTED_VALUE"""),8.36)</f>
        <v>8.36</v>
      </c>
      <c r="V679" s="48">
        <f>IFERROR(__xludf.DUMMYFUNCTION("""COMPUTED_VALUE"""),8.35)</f>
        <v>8.35</v>
      </c>
      <c r="W679" s="14">
        <f>IFERROR(__xludf.DUMMYFUNCTION("""COMPUTED_VALUE"""),8.123999999999999)</f>
        <v>8.124</v>
      </c>
      <c r="X679" s="14">
        <f>IFERROR(__xludf.DUMMYFUNCTION("""COMPUTED_VALUE"""),15.9)</f>
        <v>15.9</v>
      </c>
      <c r="Y679" s="14">
        <f>IFERROR(__xludf.DUMMYFUNCTION("""COMPUTED_VALUE"""),15.9)</f>
        <v>15.9</v>
      </c>
      <c r="Z679" s="14">
        <f>IFERROR(__xludf.DUMMYFUNCTION("""COMPUTED_VALUE"""),16.0)</f>
        <v>16</v>
      </c>
      <c r="AA679" s="14">
        <f>IFERROR(__xludf.DUMMYFUNCTION("""COMPUTED_VALUE"""),16.1)</f>
        <v>16.1</v>
      </c>
      <c r="AB679" s="14">
        <f>IFERROR(__xludf.DUMMYFUNCTION("""COMPUTED_VALUE"""),16.2)</f>
        <v>16.2</v>
      </c>
      <c r="AC679" s="14">
        <f>IFERROR(__xludf.DUMMYFUNCTION("""COMPUTED_VALUE"""),16.02)</f>
        <v>16.02</v>
      </c>
      <c r="AD679" s="48">
        <f>IFERROR(__xludf.DUMMYFUNCTION("""COMPUTED_VALUE"""),709.0)</f>
        <v>709</v>
      </c>
      <c r="AE679" s="48">
        <f>IFERROR(__xludf.DUMMYFUNCTION("""COMPUTED_VALUE"""),705.0)</f>
        <v>705</v>
      </c>
      <c r="AF679" s="48">
        <f>IFERROR(__xludf.DUMMYFUNCTION("""COMPUTED_VALUE"""),698.0)</f>
        <v>698</v>
      </c>
      <c r="AG679" s="48">
        <f>IFERROR(__xludf.DUMMYFUNCTION("""COMPUTED_VALUE"""),689.0)</f>
        <v>689</v>
      </c>
      <c r="AH679" s="48">
        <f>IFERROR(__xludf.DUMMYFUNCTION("""COMPUTED_VALUE"""),691.0)</f>
        <v>691</v>
      </c>
      <c r="AI679" s="14">
        <f>IFERROR(__xludf.DUMMYFUNCTION("""COMPUTED_VALUE"""),698.4)</f>
        <v>698.4</v>
      </c>
      <c r="AJ679" s="14">
        <f>IFERROR(__xludf.DUMMYFUNCTION("""COMPUTED_VALUE"""),6.55)</f>
        <v>6.55</v>
      </c>
      <c r="AK679" s="14">
        <f>IFERROR(__xludf.DUMMYFUNCTION("""COMPUTED_VALUE"""),6.41)</f>
        <v>6.41</v>
      </c>
      <c r="AL679" s="14">
        <f>IFERROR(__xludf.DUMMYFUNCTION("""COMPUTED_VALUE"""),6.47)</f>
        <v>6.47</v>
      </c>
      <c r="AM679" s="14">
        <f>IFERROR(__xludf.DUMMYFUNCTION("""COMPUTED_VALUE"""),6.47)</f>
        <v>6.47</v>
      </c>
      <c r="AN679" s="14">
        <f>IFERROR(__xludf.DUMMYFUNCTION("""COMPUTED_VALUE"""),6.55)</f>
        <v>6.55</v>
      </c>
      <c r="AO679" s="14">
        <f>IFERROR(__xludf.DUMMYFUNCTION("""COMPUTED_VALUE"""),6.489999999999999)</f>
        <v>6.49</v>
      </c>
      <c r="AP679" s="14">
        <f>IFERROR(__xludf.DUMMYFUNCTION("""COMPUTED_VALUE"""),175.0)</f>
        <v>175</v>
      </c>
      <c r="AQ679" s="14">
        <f>IFERROR(__xludf.DUMMYFUNCTION("""COMPUTED_VALUE"""),279.0)</f>
        <v>279</v>
      </c>
      <c r="AR679" s="14">
        <f>IFERROR(__xludf.DUMMYFUNCTION("""COMPUTED_VALUE"""),169.0)</f>
        <v>169</v>
      </c>
      <c r="AS679" s="14">
        <f>IFERROR(__xludf.DUMMYFUNCTION("""COMPUTED_VALUE"""),58.0)</f>
        <v>58</v>
      </c>
      <c r="AT679" s="14">
        <f>IFERROR(__xludf.DUMMYFUNCTION("""COMPUTED_VALUE"""),4.69)</f>
        <v>4.69</v>
      </c>
      <c r="AU679" s="14">
        <f>IFERROR(__xludf.DUMMYFUNCTION("""COMPUTED_VALUE"""),1.782E7)</f>
        <v>17820000</v>
      </c>
      <c r="AV679" s="14">
        <f>IFERROR(__xludf.DUMMYFUNCTION("""COMPUTED_VALUE"""),8.8)</f>
        <v>8.8</v>
      </c>
      <c r="AW679" s="14">
        <f>IFERROR(__xludf.DUMMYFUNCTION("""COMPUTED_VALUE"""),53.3)</f>
        <v>53.3</v>
      </c>
      <c r="AX679" s="14">
        <f>IFERROR(__xludf.DUMMYFUNCTION("""COMPUTED_VALUE"""),1130000.0)</f>
        <v>1130000</v>
      </c>
      <c r="AY679" s="14">
        <f>IFERROR(__xludf.DUMMYFUNCTION("""COMPUTED_VALUE"""),0.15)</f>
        <v>0.15</v>
      </c>
      <c r="AZ679" s="14">
        <f>IFERROR(__xludf.DUMMYFUNCTION("""COMPUTED_VALUE"""),0.007)</f>
        <v>0.007</v>
      </c>
      <c r="BA679" s="14">
        <f t="shared" si="1"/>
        <v>53.457</v>
      </c>
    </row>
    <row r="680" ht="14.25" customHeight="1">
      <c r="A680" s="10" t="str">
        <f>IFERROR(__xludf.DUMMYFUNCTION("""COMPUTED_VALUE"""),"080822DU01")</f>
        <v>080822DU01</v>
      </c>
      <c r="B680" s="12" t="str">
        <f>IFERROR(__xludf.DUMMYFUNCTION("""COMPUTED_VALUE"""),"CMO-Santa Ana")</f>
        <v>CMO-Santa Ana</v>
      </c>
      <c r="C680" s="12"/>
      <c r="D680" s="12"/>
      <c r="E680" s="44">
        <f>IFERROR(__xludf.DUMMYFUNCTION("""COMPUTED_VALUE"""),44781.0)</f>
        <v>44781</v>
      </c>
      <c r="F680" s="12" t="str">
        <f>IFERROR(__xludf.DUMMYFUNCTION("""COMPUTED_VALUE"""),"TIPO I")</f>
        <v>TIPO I</v>
      </c>
      <c r="G680" s="12" t="str">
        <f>IFERROR(__xludf.DUMMYFUNCTION("""COMPUTED_VALUE"""),"Se presenta una estructura de canal en concreto, se percibe olor, se observa color, trazas de grasas y material flotante. ")</f>
        <v>Se presenta una estructura de canal en concreto, se percibe olor, se observa color, trazas de grasas y material flotante. </v>
      </c>
      <c r="H680" s="45">
        <f>IFERROR(__xludf.DUMMYFUNCTION("""COMPUTED_VALUE"""),0.25)</f>
        <v>0.25</v>
      </c>
      <c r="I680" s="45">
        <f>IFERROR(__xludf.DUMMYFUNCTION("""COMPUTED_VALUE"""),0.3333333333321207)</f>
        <v>0.3333333333</v>
      </c>
      <c r="J680" s="12">
        <f>IFERROR(__xludf.DUMMYFUNCTION("""COMPUTED_VALUE"""),3.1)</f>
        <v>3.1</v>
      </c>
      <c r="K680" s="12">
        <f>IFERROR(__xludf.DUMMYFUNCTION("""COMPUTED_VALUE"""),0.15)</f>
        <v>0.15</v>
      </c>
      <c r="L680" s="14">
        <f>IFERROR(__xludf.DUMMYFUNCTION("""COMPUTED_VALUE"""),212.528)</f>
        <v>212.528</v>
      </c>
      <c r="M680" s="14">
        <f>IFERROR(__xludf.DUMMYFUNCTION("""COMPUTED_VALUE"""),213.098)</f>
        <v>213.098</v>
      </c>
      <c r="N680" s="14">
        <f>IFERROR(__xludf.DUMMYFUNCTION("""COMPUTED_VALUE"""),216.049)</f>
        <v>216.049</v>
      </c>
      <c r="O680" s="14">
        <f>IFERROR(__xludf.DUMMYFUNCTION("""COMPUTED_VALUE"""),217.175)</f>
        <v>217.175</v>
      </c>
      <c r="P680" s="14">
        <f>IFERROR(__xludf.DUMMYFUNCTION("""COMPUTED_VALUE"""),219.023)</f>
        <v>219.023</v>
      </c>
      <c r="Q680" s="14">
        <f>IFERROR(__xludf.DUMMYFUNCTION("""COMPUTED_VALUE"""),215.575)</f>
        <v>215.575</v>
      </c>
      <c r="R680" s="48">
        <f>IFERROR(__xludf.DUMMYFUNCTION("""COMPUTED_VALUE"""),6.72)</f>
        <v>6.72</v>
      </c>
      <c r="S680" s="48">
        <f>IFERROR(__xludf.DUMMYFUNCTION("""COMPUTED_VALUE"""),6.42)</f>
        <v>6.42</v>
      </c>
      <c r="T680" s="48">
        <f>IFERROR(__xludf.DUMMYFUNCTION("""COMPUTED_VALUE"""),6.46)</f>
        <v>6.46</v>
      </c>
      <c r="U680" s="48">
        <f>IFERROR(__xludf.DUMMYFUNCTION("""COMPUTED_VALUE"""),6.91)</f>
        <v>6.91</v>
      </c>
      <c r="V680" s="48">
        <f>IFERROR(__xludf.DUMMYFUNCTION("""COMPUTED_VALUE"""),6.92)</f>
        <v>6.92</v>
      </c>
      <c r="W680" s="14">
        <f>IFERROR(__xludf.DUMMYFUNCTION("""COMPUTED_VALUE"""),6.686)</f>
        <v>6.686</v>
      </c>
      <c r="X680" s="14">
        <f>IFERROR(__xludf.DUMMYFUNCTION("""COMPUTED_VALUE"""),14.9)</f>
        <v>14.9</v>
      </c>
      <c r="Y680" s="14">
        <f>IFERROR(__xludf.DUMMYFUNCTION("""COMPUTED_VALUE"""),14.8)</f>
        <v>14.8</v>
      </c>
      <c r="Z680" s="14">
        <f>IFERROR(__xludf.DUMMYFUNCTION("""COMPUTED_VALUE"""),14.8)</f>
        <v>14.8</v>
      </c>
      <c r="AA680" s="14">
        <f>IFERROR(__xludf.DUMMYFUNCTION("""COMPUTED_VALUE"""),15.0)</f>
        <v>15</v>
      </c>
      <c r="AB680" s="14">
        <f>IFERROR(__xludf.DUMMYFUNCTION("""COMPUTED_VALUE"""),15.2)</f>
        <v>15.2</v>
      </c>
      <c r="AC680" s="14">
        <f>IFERROR(__xludf.DUMMYFUNCTION("""COMPUTED_VALUE"""),14.940000000000001)</f>
        <v>14.94</v>
      </c>
      <c r="AD680" s="48">
        <f>IFERROR(__xludf.DUMMYFUNCTION("""COMPUTED_VALUE"""),288.0)</f>
        <v>288</v>
      </c>
      <c r="AE680" s="48">
        <f>IFERROR(__xludf.DUMMYFUNCTION("""COMPUTED_VALUE"""),289.0)</f>
        <v>289</v>
      </c>
      <c r="AF680" s="48">
        <f>IFERROR(__xludf.DUMMYFUNCTION("""COMPUTED_VALUE"""),288.0)</f>
        <v>288</v>
      </c>
      <c r="AG680" s="48">
        <f>IFERROR(__xludf.DUMMYFUNCTION("""COMPUTED_VALUE"""),286.0)</f>
        <v>286</v>
      </c>
      <c r="AH680" s="48">
        <f>IFERROR(__xludf.DUMMYFUNCTION("""COMPUTED_VALUE"""),286.0)</f>
        <v>286</v>
      </c>
      <c r="AI680" s="14">
        <f>IFERROR(__xludf.DUMMYFUNCTION("""COMPUTED_VALUE"""),287.4)</f>
        <v>287.4</v>
      </c>
      <c r="AJ680" s="14">
        <f>IFERROR(__xludf.DUMMYFUNCTION("""COMPUTED_VALUE"""),3.34)</f>
        <v>3.34</v>
      </c>
      <c r="AK680" s="14">
        <f>IFERROR(__xludf.DUMMYFUNCTION("""COMPUTED_VALUE"""),3.72)</f>
        <v>3.72</v>
      </c>
      <c r="AL680" s="14">
        <f>IFERROR(__xludf.DUMMYFUNCTION("""COMPUTED_VALUE"""),3.76)</f>
        <v>3.76</v>
      </c>
      <c r="AM680" s="14">
        <f>IFERROR(__xludf.DUMMYFUNCTION("""COMPUTED_VALUE"""),3.84)</f>
        <v>3.84</v>
      </c>
      <c r="AN680" s="14">
        <f>IFERROR(__xludf.DUMMYFUNCTION("""COMPUTED_VALUE"""),3.69)</f>
        <v>3.69</v>
      </c>
      <c r="AO680" s="14">
        <f>IFERROR(__xludf.DUMMYFUNCTION("""COMPUTED_VALUE"""),3.6700000000000004)</f>
        <v>3.67</v>
      </c>
      <c r="AP680" s="14">
        <f>IFERROR(__xludf.DUMMYFUNCTION("""COMPUTED_VALUE"""),65.0)</f>
        <v>65</v>
      </c>
      <c r="AQ680" s="14">
        <f>IFERROR(__xludf.DUMMYFUNCTION("""COMPUTED_VALUE"""),144.0)</f>
        <v>144</v>
      </c>
      <c r="AR680" s="14">
        <f>IFERROR(__xludf.DUMMYFUNCTION("""COMPUTED_VALUE"""),45.0)</f>
        <v>45</v>
      </c>
      <c r="AS680" s="14">
        <f>IFERROR(__xludf.DUMMYFUNCTION("""COMPUTED_VALUE"""),10.0)</f>
        <v>10</v>
      </c>
      <c r="AT680" s="14">
        <f>IFERROR(__xludf.DUMMYFUNCTION("""COMPUTED_VALUE"""),1.51)</f>
        <v>1.51</v>
      </c>
      <c r="AU680" s="14">
        <f>IFERROR(__xludf.DUMMYFUNCTION("""COMPUTED_VALUE"""),1.726E7)</f>
        <v>17260000</v>
      </c>
      <c r="AV680" s="14">
        <f>IFERROR(__xludf.DUMMYFUNCTION("""COMPUTED_VALUE"""),0.81)</f>
        <v>0.81</v>
      </c>
      <c r="AW680" s="14">
        <f>IFERROR(__xludf.DUMMYFUNCTION("""COMPUTED_VALUE"""),16.0)</f>
        <v>16</v>
      </c>
      <c r="AX680" s="14">
        <f>IFERROR(__xludf.DUMMYFUNCTION("""COMPUTED_VALUE"""),1022000.0)</f>
        <v>1022000</v>
      </c>
      <c r="AY680" s="14">
        <f>IFERROR(__xludf.DUMMYFUNCTION("""COMPUTED_VALUE"""),0.1)</f>
        <v>0.1</v>
      </c>
      <c r="AZ680" s="14">
        <f>IFERROR(__xludf.DUMMYFUNCTION("""COMPUTED_VALUE"""),0.007)</f>
        <v>0.007</v>
      </c>
      <c r="BA680" s="14">
        <f t="shared" si="1"/>
        <v>16.107</v>
      </c>
    </row>
    <row r="681" ht="14.25" customHeight="1">
      <c r="A681" s="10" t="str">
        <f>IFERROR(__xludf.DUMMYFUNCTION("""COMPUTED_VALUE"""),"080822WI04")</f>
        <v>080822WI04</v>
      </c>
      <c r="B681" s="12" t="str">
        <f>IFERROR(__xludf.DUMMYFUNCTION("""COMPUTED_VALUE"""),"CMO-Pepe Sierra")</f>
        <v>CMO-Pepe Sierra</v>
      </c>
      <c r="C681" s="12"/>
      <c r="D681" s="12"/>
      <c r="E681" s="44">
        <f>IFERROR(__xludf.DUMMYFUNCTION("""COMPUTED_VALUE"""),44781.0)</f>
        <v>44781</v>
      </c>
      <c r="F681" s="12" t="str">
        <f>IFERROR(__xludf.DUMMYFUNCTION("""COMPUTED_VALUE"""),"TIPO I")</f>
        <v>TIPO I</v>
      </c>
      <c r="G681" s="12" t="str">
        <f>IFERROR(__xludf.DUMMYFUNCTION("""COMPUTED_VALUE"""),"Estructura del canal en concreto, se observa color y se percibe olor.
Altitud: 2570msnm ")</f>
        <v>Estructura del canal en concreto, se observa color y se percibe olor.
Altitud: 2570msnm </v>
      </c>
      <c r="H681" s="45">
        <f>IFERROR(__xludf.DUMMYFUNCTION("""COMPUTED_VALUE"""),0.6666666666678793)</f>
        <v>0.6666666667</v>
      </c>
      <c r="I681" s="45">
        <f>IFERROR(__xludf.DUMMYFUNCTION("""COMPUTED_VALUE"""),0.75)</f>
        <v>0.75</v>
      </c>
      <c r="J681" s="12">
        <f>IFERROR(__xludf.DUMMYFUNCTION("""COMPUTED_VALUE"""),5.8)</f>
        <v>5.8</v>
      </c>
      <c r="K681" s="12">
        <f>IFERROR(__xludf.DUMMYFUNCTION("""COMPUTED_VALUE"""),0.16)</f>
        <v>0.16</v>
      </c>
      <c r="L681" s="14">
        <f>IFERROR(__xludf.DUMMYFUNCTION("""COMPUTED_VALUE"""),223.938)</f>
        <v>223.938</v>
      </c>
      <c r="M681" s="14">
        <f>IFERROR(__xludf.DUMMYFUNCTION("""COMPUTED_VALUE"""),222.443)</f>
        <v>222.443</v>
      </c>
      <c r="N681" s="14">
        <f>IFERROR(__xludf.DUMMYFUNCTION("""COMPUTED_VALUE"""),222.083)</f>
        <v>222.083</v>
      </c>
      <c r="O681" s="14">
        <f>IFERROR(__xludf.DUMMYFUNCTION("""COMPUTED_VALUE"""),221.588)</f>
        <v>221.588</v>
      </c>
      <c r="P681" s="14">
        <f>IFERROR(__xludf.DUMMYFUNCTION("""COMPUTED_VALUE"""),220.206)</f>
        <v>220.206</v>
      </c>
      <c r="Q681" s="14">
        <f>IFERROR(__xludf.DUMMYFUNCTION("""COMPUTED_VALUE"""),222.052)</f>
        <v>222.052</v>
      </c>
      <c r="R681" s="48">
        <f>IFERROR(__xludf.DUMMYFUNCTION("""COMPUTED_VALUE"""),8.5)</f>
        <v>8.5</v>
      </c>
      <c r="S681" s="48">
        <f>IFERROR(__xludf.DUMMYFUNCTION("""COMPUTED_VALUE"""),8.38)</f>
        <v>8.38</v>
      </c>
      <c r="T681" s="48">
        <f>IFERROR(__xludf.DUMMYFUNCTION("""COMPUTED_VALUE"""),8.37)</f>
        <v>8.37</v>
      </c>
      <c r="U681" s="48">
        <f>IFERROR(__xludf.DUMMYFUNCTION("""COMPUTED_VALUE"""),7.96)</f>
        <v>7.96</v>
      </c>
      <c r="V681" s="48">
        <f>IFERROR(__xludf.DUMMYFUNCTION("""COMPUTED_VALUE"""),7.95)</f>
        <v>7.95</v>
      </c>
      <c r="W681" s="14">
        <f>IFERROR(__xludf.DUMMYFUNCTION("""COMPUTED_VALUE"""),8.232000000000001)</f>
        <v>8.232</v>
      </c>
      <c r="X681" s="14">
        <f>IFERROR(__xludf.DUMMYFUNCTION("""COMPUTED_VALUE"""),20.6)</f>
        <v>20.6</v>
      </c>
      <c r="Y681" s="14">
        <f>IFERROR(__xludf.DUMMYFUNCTION("""COMPUTED_VALUE"""),19.6)</f>
        <v>19.6</v>
      </c>
      <c r="Z681" s="14">
        <f>IFERROR(__xludf.DUMMYFUNCTION("""COMPUTED_VALUE"""),19.6)</f>
        <v>19.6</v>
      </c>
      <c r="AA681" s="14">
        <f>IFERROR(__xludf.DUMMYFUNCTION("""COMPUTED_VALUE"""),18.5)</f>
        <v>18.5</v>
      </c>
      <c r="AB681" s="14">
        <f>IFERROR(__xludf.DUMMYFUNCTION("""COMPUTED_VALUE"""),18.5)</f>
        <v>18.5</v>
      </c>
      <c r="AC681" s="14">
        <f>IFERROR(__xludf.DUMMYFUNCTION("""COMPUTED_VALUE"""),19.360000000000003)</f>
        <v>19.36</v>
      </c>
      <c r="AD681" s="48">
        <f>IFERROR(__xludf.DUMMYFUNCTION("""COMPUTED_VALUE"""),519.0)</f>
        <v>519</v>
      </c>
      <c r="AE681" s="48">
        <f>IFERROR(__xludf.DUMMYFUNCTION("""COMPUTED_VALUE"""),546.0)</f>
        <v>546</v>
      </c>
      <c r="AF681" s="48">
        <f>IFERROR(__xludf.DUMMYFUNCTION("""COMPUTED_VALUE"""),547.0)</f>
        <v>547</v>
      </c>
      <c r="AG681" s="48">
        <f>IFERROR(__xludf.DUMMYFUNCTION("""COMPUTED_VALUE"""),545.0)</f>
        <v>545</v>
      </c>
      <c r="AH681" s="48">
        <f>IFERROR(__xludf.DUMMYFUNCTION("""COMPUTED_VALUE"""),545.0)</f>
        <v>545</v>
      </c>
      <c r="AI681" s="14">
        <f>IFERROR(__xludf.DUMMYFUNCTION("""COMPUTED_VALUE"""),540.4)</f>
        <v>540.4</v>
      </c>
      <c r="AJ681" s="14">
        <f>IFERROR(__xludf.DUMMYFUNCTION("""COMPUTED_VALUE"""),3.7)</f>
        <v>3.7</v>
      </c>
      <c r="AK681" s="14">
        <f>IFERROR(__xludf.DUMMYFUNCTION("""COMPUTED_VALUE"""),3.5)</f>
        <v>3.5</v>
      </c>
      <c r="AL681" s="14">
        <f>IFERROR(__xludf.DUMMYFUNCTION("""COMPUTED_VALUE"""),3.5)</f>
        <v>3.5</v>
      </c>
      <c r="AM681" s="14">
        <f>IFERROR(__xludf.DUMMYFUNCTION("""COMPUTED_VALUE"""),3.8)</f>
        <v>3.8</v>
      </c>
      <c r="AN681" s="14">
        <f>IFERROR(__xludf.DUMMYFUNCTION("""COMPUTED_VALUE"""),3.7)</f>
        <v>3.7</v>
      </c>
      <c r="AO681" s="14">
        <f>IFERROR(__xludf.DUMMYFUNCTION("""COMPUTED_VALUE"""),3.6399999999999997)</f>
        <v>3.64</v>
      </c>
      <c r="AP681" s="14">
        <f>IFERROR(__xludf.DUMMYFUNCTION("""COMPUTED_VALUE"""),120.0)</f>
        <v>120</v>
      </c>
      <c r="AQ681" s="14">
        <f>IFERROR(__xludf.DUMMYFUNCTION("""COMPUTED_VALUE"""),156.0)</f>
        <v>156</v>
      </c>
      <c r="AR681" s="14">
        <f>IFERROR(__xludf.DUMMYFUNCTION("""COMPUTED_VALUE"""),38.0)</f>
        <v>38</v>
      </c>
      <c r="AS681" s="14">
        <f>IFERROR(__xludf.DUMMYFUNCTION("""COMPUTED_VALUE"""),29.0)</f>
        <v>29</v>
      </c>
      <c r="AT681" s="14">
        <f>IFERROR(__xludf.DUMMYFUNCTION("""COMPUTED_VALUE"""),4.09)</f>
        <v>4.09</v>
      </c>
      <c r="AU681" s="14">
        <f>IFERROR(__xludf.DUMMYFUNCTION("""COMPUTED_VALUE"""),1.296E7)</f>
        <v>12960000</v>
      </c>
      <c r="AV681" s="14">
        <f>IFERROR(__xludf.DUMMYFUNCTION("""COMPUTED_VALUE"""),3.21)</f>
        <v>3.21</v>
      </c>
      <c r="AW681" s="14">
        <f>IFERROR(__xludf.DUMMYFUNCTION("""COMPUTED_VALUE"""),34.7)</f>
        <v>34.7</v>
      </c>
      <c r="AX681" s="14">
        <f>IFERROR(__xludf.DUMMYFUNCTION("""COMPUTED_VALUE"""),683000.0)</f>
        <v>683000</v>
      </c>
      <c r="AY681" s="14">
        <f>IFERROR(__xludf.DUMMYFUNCTION("""COMPUTED_VALUE"""),0.1)</f>
        <v>0.1</v>
      </c>
      <c r="AZ681" s="14">
        <f>IFERROR(__xludf.DUMMYFUNCTION("""COMPUTED_VALUE"""),0.007)</f>
        <v>0.007</v>
      </c>
      <c r="BA681" s="14">
        <f t="shared" si="1"/>
        <v>34.807</v>
      </c>
    </row>
    <row r="682" ht="14.25" customHeight="1">
      <c r="A682" s="10" t="str">
        <f>IFERROR(__xludf.DUMMYFUNCTION("""COMPUTED_VALUE"""),"080822WI03")</f>
        <v>080822WI03</v>
      </c>
      <c r="B682" s="12" t="str">
        <f>IFERROR(__xludf.DUMMYFUNCTION("""COMPUTED_VALUE"""),"CMO-Alhambra")</f>
        <v>CMO-Alhambra</v>
      </c>
      <c r="C682" s="12"/>
      <c r="D682" s="12"/>
      <c r="E682" s="44">
        <f>IFERROR(__xludf.DUMMYFUNCTION("""COMPUTED_VALUE"""),44781.0)</f>
        <v>44781</v>
      </c>
      <c r="F682" s="12" t="str">
        <f>IFERROR(__xludf.DUMMYFUNCTION("""COMPUTED_VALUE"""),"TIPO I")</f>
        <v>TIPO I</v>
      </c>
      <c r="G682" s="12" t="str">
        <f>IFERROR(__xludf.DUMMYFUNCTION("""COMPUTED_VALUE"""),"Se presenta un canal en concreto, se evidencia pluma contaminante en la margen derecha del cauce.
Se observa color y se percibe olor. ")</f>
        <v>Se presenta un canal en concreto, se evidencia pluma contaminante en la margen derecha del cauce.
Se observa color y se percibe olor. </v>
      </c>
      <c r="H682" s="45">
        <f>IFERROR(__xludf.DUMMYFUNCTION("""COMPUTED_VALUE"""),0.5)</f>
        <v>0.5</v>
      </c>
      <c r="I682" s="45">
        <f>IFERROR(__xludf.DUMMYFUNCTION("""COMPUTED_VALUE"""),0.5833333333321207)</f>
        <v>0.5833333333</v>
      </c>
      <c r="J682" s="12">
        <f>IFERROR(__xludf.DUMMYFUNCTION("""COMPUTED_VALUE"""),6.8)</f>
        <v>6.8</v>
      </c>
      <c r="K682" s="12">
        <f>IFERROR(__xludf.DUMMYFUNCTION("""COMPUTED_VALUE"""),0.18)</f>
        <v>0.18</v>
      </c>
      <c r="L682" s="14">
        <f>IFERROR(__xludf.DUMMYFUNCTION("""COMPUTED_VALUE"""),274.369)</f>
        <v>274.369</v>
      </c>
      <c r="M682" s="14">
        <f>IFERROR(__xludf.DUMMYFUNCTION("""COMPUTED_VALUE"""),272.381)</f>
        <v>272.381</v>
      </c>
      <c r="N682" s="14">
        <f>IFERROR(__xludf.DUMMYFUNCTION("""COMPUTED_VALUE"""),273.02)</f>
        <v>273.02</v>
      </c>
      <c r="O682" s="14">
        <f>IFERROR(__xludf.DUMMYFUNCTION("""COMPUTED_VALUE"""),272.985)</f>
        <v>272.985</v>
      </c>
      <c r="P682" s="14">
        <f>IFERROR(__xludf.DUMMYFUNCTION("""COMPUTED_VALUE"""),276.143)</f>
        <v>276.143</v>
      </c>
      <c r="Q682" s="14">
        <f>IFERROR(__xludf.DUMMYFUNCTION("""COMPUTED_VALUE"""),273.78)</f>
        <v>273.78</v>
      </c>
      <c r="R682" s="48">
        <f>IFERROR(__xludf.DUMMYFUNCTION("""COMPUTED_VALUE"""),9.05)</f>
        <v>9.05</v>
      </c>
      <c r="S682" s="48">
        <f>IFERROR(__xludf.DUMMYFUNCTION("""COMPUTED_VALUE"""),9.04)</f>
        <v>9.04</v>
      </c>
      <c r="T682" s="48">
        <f>IFERROR(__xludf.DUMMYFUNCTION("""COMPUTED_VALUE"""),8.75)</f>
        <v>8.75</v>
      </c>
      <c r="U682" s="48">
        <f>IFERROR(__xludf.DUMMYFUNCTION("""COMPUTED_VALUE"""),8.49)</f>
        <v>8.49</v>
      </c>
      <c r="V682" s="48">
        <f>IFERROR(__xludf.DUMMYFUNCTION("""COMPUTED_VALUE"""),8.4)</f>
        <v>8.4</v>
      </c>
      <c r="W682" s="14">
        <f>IFERROR(__xludf.DUMMYFUNCTION("""COMPUTED_VALUE"""),8.745999999999999)</f>
        <v>8.746</v>
      </c>
      <c r="X682" s="14">
        <f>IFERROR(__xludf.DUMMYFUNCTION("""COMPUTED_VALUE"""),20.6)</f>
        <v>20.6</v>
      </c>
      <c r="Y682" s="14">
        <f>IFERROR(__xludf.DUMMYFUNCTION("""COMPUTED_VALUE"""),20.7)</f>
        <v>20.7</v>
      </c>
      <c r="Z682" s="14">
        <f>IFERROR(__xludf.DUMMYFUNCTION("""COMPUTED_VALUE"""),20.9)</f>
        <v>20.9</v>
      </c>
      <c r="AA682" s="14">
        <f>IFERROR(__xludf.DUMMYFUNCTION("""COMPUTED_VALUE"""),21.4)</f>
        <v>21.4</v>
      </c>
      <c r="AB682" s="14">
        <f>IFERROR(__xludf.DUMMYFUNCTION("""COMPUTED_VALUE"""),21.3)</f>
        <v>21.3</v>
      </c>
      <c r="AC682" s="14">
        <f>IFERROR(__xludf.DUMMYFUNCTION("""COMPUTED_VALUE"""),20.979999999999997)</f>
        <v>20.98</v>
      </c>
      <c r="AD682" s="48">
        <f>IFERROR(__xludf.DUMMYFUNCTION("""COMPUTED_VALUE"""),470.0)</f>
        <v>470</v>
      </c>
      <c r="AE682" s="48">
        <f>IFERROR(__xludf.DUMMYFUNCTION("""COMPUTED_VALUE"""),477.0)</f>
        <v>477</v>
      </c>
      <c r="AF682" s="48">
        <f>IFERROR(__xludf.DUMMYFUNCTION("""COMPUTED_VALUE"""),480.0)</f>
        <v>480</v>
      </c>
      <c r="AG682" s="48">
        <f>IFERROR(__xludf.DUMMYFUNCTION("""COMPUTED_VALUE"""),482.0)</f>
        <v>482</v>
      </c>
      <c r="AH682" s="48">
        <f>IFERROR(__xludf.DUMMYFUNCTION("""COMPUTED_VALUE"""),491.0)</f>
        <v>491</v>
      </c>
      <c r="AI682" s="14">
        <f>IFERROR(__xludf.DUMMYFUNCTION("""COMPUTED_VALUE"""),480.0)</f>
        <v>480</v>
      </c>
      <c r="AJ682" s="14">
        <f>IFERROR(__xludf.DUMMYFUNCTION("""COMPUTED_VALUE"""),3.2)</f>
        <v>3.2</v>
      </c>
      <c r="AK682" s="14">
        <f>IFERROR(__xludf.DUMMYFUNCTION("""COMPUTED_VALUE"""),3.3)</f>
        <v>3.3</v>
      </c>
      <c r="AL682" s="14">
        <f>IFERROR(__xludf.DUMMYFUNCTION("""COMPUTED_VALUE"""),3.1)</f>
        <v>3.1</v>
      </c>
      <c r="AM682" s="14">
        <f>IFERROR(__xludf.DUMMYFUNCTION("""COMPUTED_VALUE"""),3.3)</f>
        <v>3.3</v>
      </c>
      <c r="AN682" s="14">
        <f>IFERROR(__xludf.DUMMYFUNCTION("""COMPUTED_VALUE"""),3.4)</f>
        <v>3.4</v>
      </c>
      <c r="AO682" s="14">
        <f>IFERROR(__xludf.DUMMYFUNCTION("""COMPUTED_VALUE"""),3.2599999999999993)</f>
        <v>3.26</v>
      </c>
      <c r="AP682" s="14">
        <f>IFERROR(__xludf.DUMMYFUNCTION("""COMPUTED_VALUE"""),105.0)</f>
        <v>105</v>
      </c>
      <c r="AQ682" s="14">
        <f>IFERROR(__xludf.DUMMYFUNCTION("""COMPUTED_VALUE"""),185.0)</f>
        <v>185</v>
      </c>
      <c r="AR682" s="14">
        <f>IFERROR(__xludf.DUMMYFUNCTION("""COMPUTED_VALUE"""),49.0)</f>
        <v>49</v>
      </c>
      <c r="AS682" s="14">
        <f>IFERROR(__xludf.DUMMYFUNCTION("""COMPUTED_VALUE"""),33.0)</f>
        <v>33</v>
      </c>
      <c r="AT682" s="14">
        <f>IFERROR(__xludf.DUMMYFUNCTION("""COMPUTED_VALUE"""),4.8)</f>
        <v>4.8</v>
      </c>
      <c r="AU682" s="14">
        <f>IFERROR(__xludf.DUMMYFUNCTION("""COMPUTED_VALUE"""),1.081E7)</f>
        <v>10810000</v>
      </c>
      <c r="AV682" s="14">
        <f>IFERROR(__xludf.DUMMYFUNCTION("""COMPUTED_VALUE"""),2.46)</f>
        <v>2.46</v>
      </c>
      <c r="AW682" s="14">
        <f>IFERROR(__xludf.DUMMYFUNCTION("""COMPUTED_VALUE"""),1.0)</f>
        <v>1</v>
      </c>
      <c r="AX682" s="14">
        <f>IFERROR(__xludf.DUMMYFUNCTION("""COMPUTED_VALUE"""),573000.0)</f>
        <v>573000</v>
      </c>
      <c r="AY682" s="14">
        <f>IFERROR(__xludf.DUMMYFUNCTION("""COMPUTED_VALUE"""),0.1)</f>
        <v>0.1</v>
      </c>
      <c r="AZ682" s="14">
        <f>IFERROR(__xludf.DUMMYFUNCTION("""COMPUTED_VALUE"""),0.007)</f>
        <v>0.007</v>
      </c>
      <c r="BA682" s="14">
        <f t="shared" si="1"/>
        <v>1.107</v>
      </c>
    </row>
    <row r="683" ht="14.25" customHeight="1">
      <c r="A683" s="10" t="str">
        <f>IFERROR(__xludf.DUMMYFUNCTION("""COMPUTED_VALUE"""),"080822DU02")</f>
        <v>080822DU02</v>
      </c>
      <c r="B683" s="12" t="str">
        <f>IFERROR(__xludf.DUMMYFUNCTION("""COMPUTED_VALUE"""),"CMO-Cantón Norte")</f>
        <v>CMO-Cantón Norte</v>
      </c>
      <c r="C683" s="12"/>
      <c r="D683" s="12"/>
      <c r="E683" s="44">
        <f>IFERROR(__xludf.DUMMYFUNCTION("""COMPUTED_VALUE"""),44781.0)</f>
        <v>44781</v>
      </c>
      <c r="F683" s="12" t="str">
        <f>IFERROR(__xludf.DUMMYFUNCTION("""COMPUTED_VALUE"""),"TIPO I")</f>
        <v>TIPO I</v>
      </c>
      <c r="G683" s="12" t="str">
        <f>IFERROR(__xludf.DUMMYFUNCTION("""COMPUTED_VALUE"""),"Presenta coloración, se perciben olores, se observa espuma y residuos solidos ")</f>
        <v>Presenta coloración, se perciben olores, se observa espuma y residuos solidos </v>
      </c>
      <c r="H683" s="45">
        <f>IFERROR(__xludf.DUMMYFUNCTION("""COMPUTED_VALUE"""),0.4166666666678793)</f>
        <v>0.4166666667</v>
      </c>
      <c r="I683" s="45">
        <f>IFERROR(__xludf.DUMMYFUNCTION("""COMPUTED_VALUE"""),0.5)</f>
        <v>0.5</v>
      </c>
      <c r="J683" s="12">
        <f>IFERROR(__xludf.DUMMYFUNCTION("""COMPUTED_VALUE"""),1.5)</f>
        <v>1.5</v>
      </c>
      <c r="K683" s="12">
        <f>IFERROR(__xludf.DUMMYFUNCTION("""COMPUTED_VALUE"""),0.13)</f>
        <v>0.13</v>
      </c>
      <c r="L683" s="14">
        <f>IFERROR(__xludf.DUMMYFUNCTION("""COMPUTED_VALUE"""),75.97)</f>
        <v>75.97</v>
      </c>
      <c r="M683" s="14">
        <f>IFERROR(__xludf.DUMMYFUNCTION("""COMPUTED_VALUE"""),76.609)</f>
        <v>76.609</v>
      </c>
      <c r="N683" s="14">
        <f>IFERROR(__xludf.DUMMYFUNCTION("""COMPUTED_VALUE"""),80.967)</f>
        <v>80.967</v>
      </c>
      <c r="O683" s="14">
        <f>IFERROR(__xludf.DUMMYFUNCTION("""COMPUTED_VALUE"""),83.114)</f>
        <v>83.114</v>
      </c>
      <c r="P683" s="14">
        <f>IFERROR(__xludf.DUMMYFUNCTION("""COMPUTED_VALUE"""),84.136)</f>
        <v>84.136</v>
      </c>
      <c r="Q683" s="14">
        <f>IFERROR(__xludf.DUMMYFUNCTION("""COMPUTED_VALUE"""),80.159)</f>
        <v>80.159</v>
      </c>
      <c r="R683" s="48">
        <f>IFERROR(__xludf.DUMMYFUNCTION("""COMPUTED_VALUE"""),7.36)</f>
        <v>7.36</v>
      </c>
      <c r="S683" s="48">
        <f>IFERROR(__xludf.DUMMYFUNCTION("""COMPUTED_VALUE"""),7.38)</f>
        <v>7.38</v>
      </c>
      <c r="T683" s="48">
        <f>IFERROR(__xludf.DUMMYFUNCTION("""COMPUTED_VALUE"""),7.43)</f>
        <v>7.43</v>
      </c>
      <c r="U683" s="48">
        <f>IFERROR(__xludf.DUMMYFUNCTION("""COMPUTED_VALUE"""),7.51)</f>
        <v>7.51</v>
      </c>
      <c r="V683" s="48">
        <f>IFERROR(__xludf.DUMMYFUNCTION("""COMPUTED_VALUE"""),7.53)</f>
        <v>7.53</v>
      </c>
      <c r="W683" s="14">
        <f>IFERROR(__xludf.DUMMYFUNCTION("""COMPUTED_VALUE"""),7.442)</f>
        <v>7.442</v>
      </c>
      <c r="X683" s="14">
        <f>IFERROR(__xludf.DUMMYFUNCTION("""COMPUTED_VALUE"""),12.9)</f>
        <v>12.9</v>
      </c>
      <c r="Y683" s="14">
        <f>IFERROR(__xludf.DUMMYFUNCTION("""COMPUTED_VALUE"""),13.1)</f>
        <v>13.1</v>
      </c>
      <c r="Z683" s="14">
        <f>IFERROR(__xludf.DUMMYFUNCTION("""COMPUTED_VALUE"""),13.3)</f>
        <v>13.3</v>
      </c>
      <c r="AA683" s="14">
        <f>IFERROR(__xludf.DUMMYFUNCTION("""COMPUTED_VALUE"""),13.7)</f>
        <v>13.7</v>
      </c>
      <c r="AB683" s="14">
        <f>IFERROR(__xludf.DUMMYFUNCTION("""COMPUTED_VALUE"""),13.5)</f>
        <v>13.5</v>
      </c>
      <c r="AC683" s="14">
        <f>IFERROR(__xludf.DUMMYFUNCTION("""COMPUTED_VALUE"""),13.3)</f>
        <v>13.3</v>
      </c>
      <c r="AD683" s="48">
        <f>IFERROR(__xludf.DUMMYFUNCTION("""COMPUTED_VALUE"""),232.0)</f>
        <v>232</v>
      </c>
      <c r="AE683" s="48">
        <f>IFERROR(__xludf.DUMMYFUNCTION("""COMPUTED_VALUE"""),221.0)</f>
        <v>221</v>
      </c>
      <c r="AF683" s="48">
        <f>IFERROR(__xludf.DUMMYFUNCTION("""COMPUTED_VALUE"""),223.0)</f>
        <v>223</v>
      </c>
      <c r="AG683" s="48">
        <f>IFERROR(__xludf.DUMMYFUNCTION("""COMPUTED_VALUE"""),220.0)</f>
        <v>220</v>
      </c>
      <c r="AH683" s="48">
        <f>IFERROR(__xludf.DUMMYFUNCTION("""COMPUTED_VALUE"""),220.0)</f>
        <v>220</v>
      </c>
      <c r="AI683" s="14">
        <f>IFERROR(__xludf.DUMMYFUNCTION("""COMPUTED_VALUE"""),223.2)</f>
        <v>223.2</v>
      </c>
      <c r="AJ683" s="14">
        <f>IFERROR(__xludf.DUMMYFUNCTION("""COMPUTED_VALUE"""),6.15)</f>
        <v>6.15</v>
      </c>
      <c r="AK683" s="14">
        <f>IFERROR(__xludf.DUMMYFUNCTION("""COMPUTED_VALUE"""),6.41)</f>
        <v>6.41</v>
      </c>
      <c r="AL683" s="14">
        <f>IFERROR(__xludf.DUMMYFUNCTION("""COMPUTED_VALUE"""),6.47)</f>
        <v>6.47</v>
      </c>
      <c r="AM683" s="14">
        <f>IFERROR(__xludf.DUMMYFUNCTION("""COMPUTED_VALUE"""),6.69)</f>
        <v>6.69</v>
      </c>
      <c r="AN683" s="14">
        <f>IFERROR(__xludf.DUMMYFUNCTION("""COMPUTED_VALUE"""),6.6)</f>
        <v>6.6</v>
      </c>
      <c r="AO683" s="14">
        <f>IFERROR(__xludf.DUMMYFUNCTION("""COMPUTED_VALUE"""),6.464)</f>
        <v>6.464</v>
      </c>
      <c r="AP683" s="14">
        <f>IFERROR(__xludf.DUMMYFUNCTION("""COMPUTED_VALUE"""),13.0)</f>
        <v>13</v>
      </c>
      <c r="AQ683" s="14">
        <f>IFERROR(__xludf.DUMMYFUNCTION("""COMPUTED_VALUE"""),21.0)</f>
        <v>21</v>
      </c>
      <c r="AR683" s="14">
        <f>IFERROR(__xludf.DUMMYFUNCTION("""COMPUTED_VALUE"""),13.0)</f>
        <v>13</v>
      </c>
      <c r="AS683" s="14">
        <f>IFERROR(__xludf.DUMMYFUNCTION("""COMPUTED_VALUE"""),13.0)</f>
        <v>13</v>
      </c>
      <c r="AT683" s="14">
        <f>IFERROR(__xludf.DUMMYFUNCTION("""COMPUTED_VALUE"""),0.19)</f>
        <v>0.19</v>
      </c>
      <c r="AU683" s="14">
        <f>IFERROR(__xludf.DUMMYFUNCTION("""COMPUTED_VALUE"""),1090000.0)</f>
        <v>1090000</v>
      </c>
      <c r="AV683" s="14">
        <f>IFERROR(__xludf.DUMMYFUNCTION("""COMPUTED_VALUE"""),1.66)</f>
        <v>1.66</v>
      </c>
      <c r="AW683" s="14">
        <f>IFERROR(__xludf.DUMMYFUNCTION("""COMPUTED_VALUE"""),14.3)</f>
        <v>14.3</v>
      </c>
      <c r="AX683" s="14">
        <f>IFERROR(__xludf.DUMMYFUNCTION("""COMPUTED_VALUE"""),852000.0)</f>
        <v>852000</v>
      </c>
      <c r="AY683" s="14">
        <f>IFERROR(__xludf.DUMMYFUNCTION("""COMPUTED_VALUE"""),1.1)</f>
        <v>1.1</v>
      </c>
      <c r="AZ683" s="14">
        <f>IFERROR(__xludf.DUMMYFUNCTION("""COMPUTED_VALUE"""),0.098)</f>
        <v>0.098</v>
      </c>
      <c r="BA683" s="14">
        <f t="shared" si="1"/>
        <v>15.498</v>
      </c>
    </row>
    <row r="684" ht="14.25" customHeight="1">
      <c r="A684" s="10" t="str">
        <f>IFERROR(__xludf.DUMMYFUNCTION("""COMPUTED_VALUE"""),"110822FE02")</f>
        <v>110822FE02</v>
      </c>
      <c r="B684" s="12" t="str">
        <f>IFERROR(__xludf.DUMMYFUNCTION("""COMPUTED_VALUE"""),"CRN-Quebrada Chicó")</f>
        <v>CRN-Quebrada Chicó</v>
      </c>
      <c r="C684" s="12"/>
      <c r="D684" s="12"/>
      <c r="E684" s="44">
        <f>IFERROR(__xludf.DUMMYFUNCTION("""COMPUTED_VALUE"""),44784.0)</f>
        <v>44784</v>
      </c>
      <c r="F684" s="12" t="str">
        <f>IFERROR(__xludf.DUMMYFUNCTION("""COMPUTED_VALUE"""),"TIPO I")</f>
        <v>TIPO I</v>
      </c>
      <c r="G684" s="12" t="str">
        <f>IFERROR(__xludf.DUMMYFUNCTION("""COMPUTED_VALUE"""),"Se percibe olor y se observa coloración. 
Altura: 2634 msnm")</f>
        <v>Se percibe olor y se observa coloración. 
Altura: 2634 msnm</v>
      </c>
      <c r="H684" s="45">
        <f>IFERROR(__xludf.DUMMYFUNCTION("""COMPUTED_VALUE"""),0.5)</f>
        <v>0.5</v>
      </c>
      <c r="I684" s="45">
        <f>IFERROR(__xludf.DUMMYFUNCTION("""COMPUTED_VALUE"""),0.5833333333321207)</f>
        <v>0.5833333333</v>
      </c>
      <c r="J684" s="12"/>
      <c r="K684" s="12"/>
      <c r="L684" s="14">
        <f>IFERROR(__xludf.DUMMYFUNCTION("""COMPUTED_VALUE"""),1.927)</f>
        <v>1.927</v>
      </c>
      <c r="M684" s="14">
        <f>IFERROR(__xludf.DUMMYFUNCTION("""COMPUTED_VALUE"""),2.273)</f>
        <v>2.273</v>
      </c>
      <c r="N684" s="14">
        <f>IFERROR(__xludf.DUMMYFUNCTION("""COMPUTED_VALUE"""),3.694)</f>
        <v>3.694</v>
      </c>
      <c r="O684" s="14">
        <f>IFERROR(__xludf.DUMMYFUNCTION("""COMPUTED_VALUE"""),3.929)</f>
        <v>3.929</v>
      </c>
      <c r="P684" s="14">
        <f>IFERROR(__xludf.DUMMYFUNCTION("""COMPUTED_VALUE"""),3.892)</f>
        <v>3.892</v>
      </c>
      <c r="Q684" s="14">
        <f>IFERROR(__xludf.DUMMYFUNCTION("""COMPUTED_VALUE"""),3.143)</f>
        <v>3.143</v>
      </c>
      <c r="R684" s="48">
        <f>IFERROR(__xludf.DUMMYFUNCTION("""COMPUTED_VALUE"""),7.18)</f>
        <v>7.18</v>
      </c>
      <c r="S684" s="48">
        <f>IFERROR(__xludf.DUMMYFUNCTION("""COMPUTED_VALUE"""),6.76)</f>
        <v>6.76</v>
      </c>
      <c r="T684" s="48">
        <f>IFERROR(__xludf.DUMMYFUNCTION("""COMPUTED_VALUE"""),6.75)</f>
        <v>6.75</v>
      </c>
      <c r="U684" s="48">
        <f>IFERROR(__xludf.DUMMYFUNCTION("""COMPUTED_VALUE"""),6.61)</f>
        <v>6.61</v>
      </c>
      <c r="V684" s="48">
        <f>IFERROR(__xludf.DUMMYFUNCTION("""COMPUTED_VALUE"""),6.5)</f>
        <v>6.5</v>
      </c>
      <c r="W684" s="14">
        <f>IFERROR(__xludf.DUMMYFUNCTION("""COMPUTED_VALUE"""),6.76)</f>
        <v>6.76</v>
      </c>
      <c r="X684" s="14">
        <f>IFERROR(__xludf.DUMMYFUNCTION("""COMPUTED_VALUE"""),17.0)</f>
        <v>17</v>
      </c>
      <c r="Y684" s="14">
        <f>IFERROR(__xludf.DUMMYFUNCTION("""COMPUTED_VALUE"""),16.8)</f>
        <v>16.8</v>
      </c>
      <c r="Z684" s="14">
        <f>IFERROR(__xludf.DUMMYFUNCTION("""COMPUTED_VALUE"""),17.0)</f>
        <v>17</v>
      </c>
      <c r="AA684" s="14">
        <f>IFERROR(__xludf.DUMMYFUNCTION("""COMPUTED_VALUE"""),16.7)</f>
        <v>16.7</v>
      </c>
      <c r="AB684" s="14">
        <f>IFERROR(__xludf.DUMMYFUNCTION("""COMPUTED_VALUE"""),16.5)</f>
        <v>16.5</v>
      </c>
      <c r="AC684" s="14">
        <f>IFERROR(__xludf.DUMMYFUNCTION("""COMPUTED_VALUE"""),16.8)</f>
        <v>16.8</v>
      </c>
      <c r="AD684" s="48">
        <f>IFERROR(__xludf.DUMMYFUNCTION("""COMPUTED_VALUE"""),242.0)</f>
        <v>242</v>
      </c>
      <c r="AE684" s="48">
        <f>IFERROR(__xludf.DUMMYFUNCTION("""COMPUTED_VALUE"""),297.0)</f>
        <v>297</v>
      </c>
      <c r="AF684" s="48">
        <f>IFERROR(__xludf.DUMMYFUNCTION("""COMPUTED_VALUE"""),286.0)</f>
        <v>286</v>
      </c>
      <c r="AG684" s="48">
        <f>IFERROR(__xludf.DUMMYFUNCTION("""COMPUTED_VALUE"""),173.0)</f>
        <v>173</v>
      </c>
      <c r="AH684" s="48">
        <f>IFERROR(__xludf.DUMMYFUNCTION("""COMPUTED_VALUE"""),141.0)</f>
        <v>141</v>
      </c>
      <c r="AI684" s="14">
        <f>IFERROR(__xludf.DUMMYFUNCTION("""COMPUTED_VALUE"""),227.8)</f>
        <v>227.8</v>
      </c>
      <c r="AJ684" s="14">
        <f>IFERROR(__xludf.DUMMYFUNCTION("""COMPUTED_VALUE"""),4.58)</f>
        <v>4.58</v>
      </c>
      <c r="AK684" s="14">
        <f>IFERROR(__xludf.DUMMYFUNCTION("""COMPUTED_VALUE"""),4.23)</f>
        <v>4.23</v>
      </c>
      <c r="AL684" s="14">
        <f>IFERROR(__xludf.DUMMYFUNCTION("""COMPUTED_VALUE"""),4.3)</f>
        <v>4.3</v>
      </c>
      <c r="AM684" s="14">
        <f>IFERROR(__xludf.DUMMYFUNCTION("""COMPUTED_VALUE"""),4.54)</f>
        <v>4.54</v>
      </c>
      <c r="AN684" s="14">
        <f>IFERROR(__xludf.DUMMYFUNCTION("""COMPUTED_VALUE"""),4.6)</f>
        <v>4.6</v>
      </c>
      <c r="AO684" s="14">
        <f>IFERROR(__xludf.DUMMYFUNCTION("""COMPUTED_VALUE"""),4.45)</f>
        <v>4.45</v>
      </c>
      <c r="AP684" s="14">
        <f>IFERROR(__xludf.DUMMYFUNCTION("""COMPUTED_VALUE"""),69.0)</f>
        <v>69</v>
      </c>
      <c r="AQ684" s="14">
        <f>IFERROR(__xludf.DUMMYFUNCTION("""COMPUTED_VALUE"""),78.0)</f>
        <v>78</v>
      </c>
      <c r="AR684" s="14">
        <f>IFERROR(__xludf.DUMMYFUNCTION("""COMPUTED_VALUE"""),48.0)</f>
        <v>48</v>
      </c>
      <c r="AS684" s="14">
        <f>IFERROR(__xludf.DUMMYFUNCTION("""COMPUTED_VALUE"""),10.0)</f>
        <v>10</v>
      </c>
      <c r="AT684" s="14">
        <f>IFERROR(__xludf.DUMMYFUNCTION("""COMPUTED_VALUE"""),4.51)</f>
        <v>4.51</v>
      </c>
      <c r="AU684" s="14">
        <f>IFERROR(__xludf.DUMMYFUNCTION("""COMPUTED_VALUE"""),1.1E7)</f>
        <v>11000000</v>
      </c>
      <c r="AV684" s="14">
        <f>IFERROR(__xludf.DUMMYFUNCTION("""COMPUTED_VALUE"""),1.07)</f>
        <v>1.07</v>
      </c>
      <c r="AW684" s="14">
        <f>IFERROR(__xludf.DUMMYFUNCTION("""COMPUTED_VALUE"""),9.2)</f>
        <v>9.2</v>
      </c>
      <c r="AX684" s="14">
        <f>IFERROR(__xludf.DUMMYFUNCTION("""COMPUTED_VALUE"""),1025000.0)</f>
        <v>1025000</v>
      </c>
      <c r="AY684" s="14">
        <f>IFERROR(__xludf.DUMMYFUNCTION("""COMPUTED_VALUE"""),0.3)</f>
        <v>0.3</v>
      </c>
      <c r="AZ684" s="14">
        <f>IFERROR(__xludf.DUMMYFUNCTION("""COMPUTED_VALUE"""),0.007)</f>
        <v>0.007</v>
      </c>
      <c r="BA684" s="14">
        <f t="shared" si="1"/>
        <v>9.507</v>
      </c>
    </row>
    <row r="685" ht="14.25" customHeight="1">
      <c r="A685" s="10" t="str">
        <f>IFERROR(__xludf.DUMMYFUNCTION("""COMPUTED_VALUE"""),"110822FE03")</f>
        <v>110822FE03</v>
      </c>
      <c r="B685" s="12" t="str">
        <f>IFERROR(__xludf.DUMMYFUNCTION("""COMPUTED_VALUE"""),"CRN-El Virrey")</f>
        <v>CRN-El Virrey</v>
      </c>
      <c r="C685" s="12"/>
      <c r="D685" s="12"/>
      <c r="E685" s="44">
        <f>IFERROR(__xludf.DUMMYFUNCTION("""COMPUTED_VALUE"""),44784.0)</f>
        <v>44784</v>
      </c>
      <c r="F685" s="12" t="str">
        <f>IFERROR(__xludf.DUMMYFUNCTION("""COMPUTED_VALUE"""),"TIPO I")</f>
        <v>TIPO I</v>
      </c>
      <c r="G685" s="12" t="str">
        <f>IFERROR(__xludf.DUMMYFUNCTION("""COMPUTED_VALUE"""),"Se percibe olor y se observa color, solidos flotantes y residuos solidos.
Altura: 2573 msnm")</f>
        <v>Se percibe olor y se observa color, solidos flotantes y residuos solidos.
Altura: 2573 msnm</v>
      </c>
      <c r="H685" s="45">
        <f>IFERROR(__xludf.DUMMYFUNCTION("""COMPUTED_VALUE"""),0.6666666666678793)</f>
        <v>0.6666666667</v>
      </c>
      <c r="I685" s="45">
        <f>IFERROR(__xludf.DUMMYFUNCTION("""COMPUTED_VALUE"""),0.75)</f>
        <v>0.75</v>
      </c>
      <c r="J685" s="12">
        <f>IFERROR(__xludf.DUMMYFUNCTION("""COMPUTED_VALUE"""),2.4)</f>
        <v>2.4</v>
      </c>
      <c r="K685" s="12">
        <f>IFERROR(__xludf.DUMMYFUNCTION("""COMPUTED_VALUE"""),0.12)</f>
        <v>0.12</v>
      </c>
      <c r="L685" s="14">
        <f>IFERROR(__xludf.DUMMYFUNCTION("""COMPUTED_VALUE"""),128.055)</f>
        <v>128.055</v>
      </c>
      <c r="M685" s="14">
        <f>IFERROR(__xludf.DUMMYFUNCTION("""COMPUTED_VALUE"""),129.5)</f>
        <v>129.5</v>
      </c>
      <c r="N685" s="14">
        <f>IFERROR(__xludf.DUMMYFUNCTION("""COMPUTED_VALUE"""),125.039)</f>
        <v>125.039</v>
      </c>
      <c r="O685" s="14">
        <f>IFERROR(__xludf.DUMMYFUNCTION("""COMPUTED_VALUE"""),123.716)</f>
        <v>123.716</v>
      </c>
      <c r="P685" s="14">
        <f>IFERROR(__xludf.DUMMYFUNCTION("""COMPUTED_VALUE"""),122.783)</f>
        <v>122.783</v>
      </c>
      <c r="Q685" s="14">
        <f>IFERROR(__xludf.DUMMYFUNCTION("""COMPUTED_VALUE"""),125.819)</f>
        <v>125.819</v>
      </c>
      <c r="R685" s="48">
        <f>IFERROR(__xludf.DUMMYFUNCTION("""COMPUTED_VALUE"""),7.11)</f>
        <v>7.11</v>
      </c>
      <c r="S685" s="48">
        <f>IFERROR(__xludf.DUMMYFUNCTION("""COMPUTED_VALUE"""),7.2)</f>
        <v>7.2</v>
      </c>
      <c r="T685" s="48">
        <f>IFERROR(__xludf.DUMMYFUNCTION("""COMPUTED_VALUE"""),7.14)</f>
        <v>7.14</v>
      </c>
      <c r="U685" s="48">
        <f>IFERROR(__xludf.DUMMYFUNCTION("""COMPUTED_VALUE"""),7.04)</f>
        <v>7.04</v>
      </c>
      <c r="V685" s="48">
        <f>IFERROR(__xludf.DUMMYFUNCTION("""COMPUTED_VALUE"""),7.06)</f>
        <v>7.06</v>
      </c>
      <c r="W685" s="14">
        <f>IFERROR(__xludf.DUMMYFUNCTION("""COMPUTED_VALUE"""),7.109999999999999)</f>
        <v>7.11</v>
      </c>
      <c r="X685" s="14">
        <f>IFERROR(__xludf.DUMMYFUNCTION("""COMPUTED_VALUE"""),19.9)</f>
        <v>19.9</v>
      </c>
      <c r="Y685" s="14">
        <f>IFERROR(__xludf.DUMMYFUNCTION("""COMPUTED_VALUE"""),19.0)</f>
        <v>19</v>
      </c>
      <c r="Z685" s="14">
        <f>IFERROR(__xludf.DUMMYFUNCTION("""COMPUTED_VALUE"""),19.0)</f>
        <v>19</v>
      </c>
      <c r="AA685" s="14">
        <f>IFERROR(__xludf.DUMMYFUNCTION("""COMPUTED_VALUE"""),18.5)</f>
        <v>18.5</v>
      </c>
      <c r="AB685" s="14">
        <f>IFERROR(__xludf.DUMMYFUNCTION("""COMPUTED_VALUE"""),18.5)</f>
        <v>18.5</v>
      </c>
      <c r="AC685" s="14">
        <f>IFERROR(__xludf.DUMMYFUNCTION("""COMPUTED_VALUE"""),18.98)</f>
        <v>18.98</v>
      </c>
      <c r="AD685" s="48">
        <f>IFERROR(__xludf.DUMMYFUNCTION("""COMPUTED_VALUE"""),506.0)</f>
        <v>506</v>
      </c>
      <c r="AE685" s="48">
        <f>IFERROR(__xludf.DUMMYFUNCTION("""COMPUTED_VALUE"""),529.0)</f>
        <v>529</v>
      </c>
      <c r="AF685" s="48">
        <f>IFERROR(__xludf.DUMMYFUNCTION("""COMPUTED_VALUE"""),526.0)</f>
        <v>526</v>
      </c>
      <c r="AG685" s="48">
        <f>IFERROR(__xludf.DUMMYFUNCTION("""COMPUTED_VALUE"""),528.0)</f>
        <v>528</v>
      </c>
      <c r="AH685" s="48">
        <f>IFERROR(__xludf.DUMMYFUNCTION("""COMPUTED_VALUE"""),530.0)</f>
        <v>530</v>
      </c>
      <c r="AI685" s="14">
        <f>IFERROR(__xludf.DUMMYFUNCTION("""COMPUTED_VALUE"""),523.8)</f>
        <v>523.8</v>
      </c>
      <c r="AJ685" s="14">
        <f>IFERROR(__xludf.DUMMYFUNCTION("""COMPUTED_VALUE"""),1.75)</f>
        <v>1.75</v>
      </c>
      <c r="AK685" s="14">
        <f>IFERROR(__xludf.DUMMYFUNCTION("""COMPUTED_VALUE"""),1.42)</f>
        <v>1.42</v>
      </c>
      <c r="AL685" s="14">
        <f>IFERROR(__xludf.DUMMYFUNCTION("""COMPUTED_VALUE"""),1.87)</f>
        <v>1.87</v>
      </c>
      <c r="AM685" s="14">
        <f>IFERROR(__xludf.DUMMYFUNCTION("""COMPUTED_VALUE"""),1.72)</f>
        <v>1.72</v>
      </c>
      <c r="AN685" s="14">
        <f>IFERROR(__xludf.DUMMYFUNCTION("""COMPUTED_VALUE"""),1.54)</f>
        <v>1.54</v>
      </c>
      <c r="AO685" s="14">
        <f>IFERROR(__xludf.DUMMYFUNCTION("""COMPUTED_VALUE"""),1.6600000000000001)</f>
        <v>1.66</v>
      </c>
      <c r="AP685" s="14">
        <f>IFERROR(__xludf.DUMMYFUNCTION("""COMPUTED_VALUE"""),209.0)</f>
        <v>209</v>
      </c>
      <c r="AQ685" s="14">
        <f>IFERROR(__xludf.DUMMYFUNCTION("""COMPUTED_VALUE"""),282.0)</f>
        <v>282</v>
      </c>
      <c r="AR685" s="14">
        <f>IFERROR(__xludf.DUMMYFUNCTION("""COMPUTED_VALUE"""),116.0)</f>
        <v>116</v>
      </c>
      <c r="AS685" s="14">
        <f>IFERROR(__xludf.DUMMYFUNCTION("""COMPUTED_VALUE"""),87.0)</f>
        <v>87</v>
      </c>
      <c r="AT685" s="14">
        <f>IFERROR(__xludf.DUMMYFUNCTION("""COMPUTED_VALUE"""),6.28)</f>
        <v>6.28</v>
      </c>
      <c r="AU685" s="14">
        <f>IFERROR(__xludf.DUMMYFUNCTION("""COMPUTED_VALUE"""),1.046E7)</f>
        <v>10460000</v>
      </c>
      <c r="AV685" s="14">
        <f>IFERROR(__xludf.DUMMYFUNCTION("""COMPUTED_VALUE"""),3.57)</f>
        <v>3.57</v>
      </c>
      <c r="AW685" s="14">
        <f>IFERROR(__xludf.DUMMYFUNCTION("""COMPUTED_VALUE"""),30.8)</f>
        <v>30.8</v>
      </c>
      <c r="AX685" s="14">
        <f>IFERROR(__xludf.DUMMYFUNCTION("""COMPUTED_VALUE"""),931000.0)</f>
        <v>931000</v>
      </c>
      <c r="AY685" s="14">
        <f>IFERROR(__xludf.DUMMYFUNCTION("""COMPUTED_VALUE"""),0.8)</f>
        <v>0.8</v>
      </c>
      <c r="AZ685" s="14">
        <f>IFERROR(__xludf.DUMMYFUNCTION("""COMPUTED_VALUE"""),0.007)</f>
        <v>0.007</v>
      </c>
      <c r="BA685" s="14">
        <f t="shared" si="1"/>
        <v>31.607</v>
      </c>
    </row>
    <row r="686" ht="14.25" customHeight="1">
      <c r="A686" s="10" t="str">
        <f>IFERROR(__xludf.DUMMYFUNCTION("""COMPUTED_VALUE"""),"100822DI02")</f>
        <v>100822DI02</v>
      </c>
      <c r="B686" s="12" t="str">
        <f>IFERROR(__xludf.DUMMYFUNCTION("""COMPUTED_VALUE"""),"QLI-Bella Flor")</f>
        <v>QLI-Bella Flor</v>
      </c>
      <c r="C686" s="12"/>
      <c r="D686" s="12"/>
      <c r="E686" s="44">
        <f>IFERROR(__xludf.DUMMYFUNCTION("""COMPUTED_VALUE"""),44783.0)</f>
        <v>44783</v>
      </c>
      <c r="F686" s="12" t="str">
        <f>IFERROR(__xludf.DUMMYFUNCTION("""COMPUTED_VALUE"""),"TIPO I")</f>
        <v>TIPO I</v>
      </c>
      <c r="G686" s="12" t="str">
        <f>IFERROR(__xludf.DUMMYFUNCTION("""COMPUTED_VALUE"""),"Estructura del canal natural. Durante el monitoreo se observó color en el agua y presencia de residuos sólidos en las orillas del cauce tanto aguas arriba como aguas abajo del punto de monitoreo.")</f>
        <v>Estructura del canal natural. Durante el monitoreo se observó color en el agua y presencia de residuos sólidos en las orillas del cauce tanto aguas arriba como aguas abajo del punto de monitoreo.</v>
      </c>
      <c r="H686" s="45">
        <f>IFERROR(__xludf.DUMMYFUNCTION("""COMPUTED_VALUE"""),0.4166666666678793)</f>
        <v>0.4166666667</v>
      </c>
      <c r="I686" s="45">
        <f>IFERROR(__xludf.DUMMYFUNCTION("""COMPUTED_VALUE"""),0.5)</f>
        <v>0.5</v>
      </c>
      <c r="J686" s="12">
        <f>IFERROR(__xludf.DUMMYFUNCTION("""COMPUTED_VALUE"""),1.3)</f>
        <v>1.3</v>
      </c>
      <c r="K686" s="12">
        <f>IFERROR(__xludf.DUMMYFUNCTION("""COMPUTED_VALUE"""),0.38)</f>
        <v>0.38</v>
      </c>
      <c r="L686" s="14">
        <f>IFERROR(__xludf.DUMMYFUNCTION("""COMPUTED_VALUE"""),55.083)</f>
        <v>55.083</v>
      </c>
      <c r="M686" s="14">
        <f>IFERROR(__xludf.DUMMYFUNCTION("""COMPUTED_VALUE"""),56.123)</f>
        <v>56.123</v>
      </c>
      <c r="N686" s="14">
        <f>IFERROR(__xludf.DUMMYFUNCTION("""COMPUTED_VALUE"""),57.701)</f>
        <v>57.701</v>
      </c>
      <c r="O686" s="14">
        <f>IFERROR(__xludf.DUMMYFUNCTION("""COMPUTED_VALUE"""),58.268)</f>
        <v>58.268</v>
      </c>
      <c r="P686" s="14">
        <f>IFERROR(__xludf.DUMMYFUNCTION("""COMPUTED_VALUE"""),58.811)</f>
        <v>58.811</v>
      </c>
      <c r="Q686" s="14">
        <f>IFERROR(__xludf.DUMMYFUNCTION("""COMPUTED_VALUE"""),57.197)</f>
        <v>57.197</v>
      </c>
      <c r="R686" s="48">
        <f>IFERROR(__xludf.DUMMYFUNCTION("""COMPUTED_VALUE"""),8.34)</f>
        <v>8.34</v>
      </c>
      <c r="S686" s="48">
        <f>IFERROR(__xludf.DUMMYFUNCTION("""COMPUTED_VALUE"""),9.21)</f>
        <v>9.21</v>
      </c>
      <c r="T686" s="48">
        <f>IFERROR(__xludf.DUMMYFUNCTION("""COMPUTED_VALUE"""),8.13)</f>
        <v>8.13</v>
      </c>
      <c r="U686" s="48">
        <f>IFERROR(__xludf.DUMMYFUNCTION("""COMPUTED_VALUE"""),8.46)</f>
        <v>8.46</v>
      </c>
      <c r="V686" s="48">
        <f>IFERROR(__xludf.DUMMYFUNCTION("""COMPUTED_VALUE"""),8.34)</f>
        <v>8.34</v>
      </c>
      <c r="W686" s="14">
        <f>IFERROR(__xludf.DUMMYFUNCTION("""COMPUTED_VALUE"""),8.496)</f>
        <v>8.496</v>
      </c>
      <c r="X686" s="14">
        <f>IFERROR(__xludf.DUMMYFUNCTION("""COMPUTED_VALUE"""),14.0)</f>
        <v>14</v>
      </c>
      <c r="Y686" s="14">
        <f>IFERROR(__xludf.DUMMYFUNCTION("""COMPUTED_VALUE"""),14.3)</f>
        <v>14.3</v>
      </c>
      <c r="Z686" s="14">
        <f>IFERROR(__xludf.DUMMYFUNCTION("""COMPUTED_VALUE"""),13.8)</f>
        <v>13.8</v>
      </c>
      <c r="AA686" s="14">
        <f>IFERROR(__xludf.DUMMYFUNCTION("""COMPUTED_VALUE"""),14.0)</f>
        <v>14</v>
      </c>
      <c r="AB686" s="14">
        <f>IFERROR(__xludf.DUMMYFUNCTION("""COMPUTED_VALUE"""),13.9)</f>
        <v>13.9</v>
      </c>
      <c r="AC686" s="14">
        <f>IFERROR(__xludf.DUMMYFUNCTION("""COMPUTED_VALUE"""),14.0)</f>
        <v>14</v>
      </c>
      <c r="AD686" s="48">
        <f>IFERROR(__xludf.DUMMYFUNCTION("""COMPUTED_VALUE"""),224.0)</f>
        <v>224</v>
      </c>
      <c r="AE686" s="48">
        <f>IFERROR(__xludf.DUMMYFUNCTION("""COMPUTED_VALUE"""),222.0)</f>
        <v>222</v>
      </c>
      <c r="AF686" s="48">
        <f>IFERROR(__xludf.DUMMYFUNCTION("""COMPUTED_VALUE"""),224.0)</f>
        <v>224</v>
      </c>
      <c r="AG686" s="48">
        <f>IFERROR(__xludf.DUMMYFUNCTION("""COMPUTED_VALUE"""),223.0)</f>
        <v>223</v>
      </c>
      <c r="AH686" s="48">
        <f>IFERROR(__xludf.DUMMYFUNCTION("""COMPUTED_VALUE"""),222.0)</f>
        <v>222</v>
      </c>
      <c r="AI686" s="14">
        <f>IFERROR(__xludf.DUMMYFUNCTION("""COMPUTED_VALUE"""),223.0)</f>
        <v>223</v>
      </c>
      <c r="AJ686" s="14">
        <f>IFERROR(__xludf.DUMMYFUNCTION("""COMPUTED_VALUE"""),6.25)</f>
        <v>6.25</v>
      </c>
      <c r="AK686" s="14">
        <f>IFERROR(__xludf.DUMMYFUNCTION("""COMPUTED_VALUE"""),5.9)</f>
        <v>5.9</v>
      </c>
      <c r="AL686" s="14">
        <f>IFERROR(__xludf.DUMMYFUNCTION("""COMPUTED_VALUE"""),6.4)</f>
        <v>6.4</v>
      </c>
      <c r="AM686" s="14">
        <f>IFERROR(__xludf.DUMMYFUNCTION("""COMPUTED_VALUE"""),6.0)</f>
        <v>6</v>
      </c>
      <c r="AN686" s="14">
        <f>IFERROR(__xludf.DUMMYFUNCTION("""COMPUTED_VALUE"""),5.8)</f>
        <v>5.8</v>
      </c>
      <c r="AO686" s="14">
        <f>IFERROR(__xludf.DUMMYFUNCTION("""COMPUTED_VALUE"""),6.07)</f>
        <v>6.07</v>
      </c>
      <c r="AP686" s="14">
        <f>IFERROR(__xludf.DUMMYFUNCTION("""COMPUTED_VALUE"""),13.0)</f>
        <v>13</v>
      </c>
      <c r="AQ686" s="14">
        <f>IFERROR(__xludf.DUMMYFUNCTION("""COMPUTED_VALUE"""),27.0)</f>
        <v>27</v>
      </c>
      <c r="AR686" s="14">
        <f>IFERROR(__xludf.DUMMYFUNCTION("""COMPUTED_VALUE"""),37.0)</f>
        <v>37</v>
      </c>
      <c r="AS686" s="14">
        <f>IFERROR(__xludf.DUMMYFUNCTION("""COMPUTED_VALUE"""),10.0)</f>
        <v>10</v>
      </c>
      <c r="AT686" s="14">
        <f>IFERROR(__xludf.DUMMYFUNCTION("""COMPUTED_VALUE"""),0.24)</f>
        <v>0.24</v>
      </c>
      <c r="AU686" s="14">
        <f>IFERROR(__xludf.DUMMYFUNCTION("""COMPUTED_VALUE"""),8200.0)</f>
        <v>8200</v>
      </c>
      <c r="AV686" s="14">
        <f>IFERROR(__xludf.DUMMYFUNCTION("""COMPUTED_VALUE"""),0.45)</f>
        <v>0.45</v>
      </c>
      <c r="AW686" s="14">
        <f>IFERROR(__xludf.DUMMYFUNCTION("""COMPUTED_VALUE"""),26.9)</f>
        <v>26.9</v>
      </c>
      <c r="AX686" s="14">
        <f>IFERROR(__xludf.DUMMYFUNCTION("""COMPUTED_VALUE"""),481.0)</f>
        <v>481</v>
      </c>
      <c r="AY686" s="14">
        <f>IFERROR(__xludf.DUMMYFUNCTION("""COMPUTED_VALUE"""),0.7)</f>
        <v>0.7</v>
      </c>
      <c r="AZ686" s="14">
        <f>IFERROR(__xludf.DUMMYFUNCTION("""COMPUTED_VALUE"""),0.139)</f>
        <v>0.139</v>
      </c>
      <c r="BA686" s="14">
        <f t="shared" si="1"/>
        <v>27.739</v>
      </c>
    </row>
    <row r="687" ht="14.25" customHeight="1">
      <c r="A687" s="10" t="str">
        <f>IFERROR(__xludf.DUMMYFUNCTION("""COMPUTED_VALUE"""),"100822DI03")</f>
        <v>100822DI03</v>
      </c>
      <c r="B687" s="12" t="str">
        <f>IFERROR(__xludf.DUMMYFUNCTION("""COMPUTED_VALUE"""),"QLI-Villa del Diamante")</f>
        <v>QLI-Villa del Diamante</v>
      </c>
      <c r="C687" s="12"/>
      <c r="D687" s="12"/>
      <c r="E687" s="44">
        <f>IFERROR(__xludf.DUMMYFUNCTION("""COMPUTED_VALUE"""),44783.0)</f>
        <v>44783</v>
      </c>
      <c r="F687" s="12" t="str">
        <f>IFERROR(__xludf.DUMMYFUNCTION("""COMPUTED_VALUE"""),"TIPO I")</f>
        <v>TIPO I</v>
      </c>
      <c r="G687" s="12" t="str">
        <f>IFERROR(__xludf.DUMMYFUNCTION("""COMPUTED_VALUE"""),"Estructura del canal en concreto, se observo color, durante el monitoreo se percibe olor. 
Altitud: 2641msnm")</f>
        <v>Estructura del canal en concreto, se observo color, durante el monitoreo se percibe olor. 
Altitud: 2641msnm</v>
      </c>
      <c r="H687" s="45">
        <f>IFERROR(__xludf.DUMMYFUNCTION("""COMPUTED_VALUE"""),0.5833333333321207)</f>
        <v>0.5833333333</v>
      </c>
      <c r="I687" s="45">
        <f>IFERROR(__xludf.DUMMYFUNCTION("""COMPUTED_VALUE"""),0.6666666666678793)</f>
        <v>0.6666666667</v>
      </c>
      <c r="J687" s="12">
        <f>IFERROR(__xludf.DUMMYFUNCTION("""COMPUTED_VALUE"""),1.9)</f>
        <v>1.9</v>
      </c>
      <c r="K687" s="12">
        <f>IFERROR(__xludf.DUMMYFUNCTION("""COMPUTED_VALUE"""),0.09)</f>
        <v>0.09</v>
      </c>
      <c r="L687" s="14">
        <f>IFERROR(__xludf.DUMMYFUNCTION("""COMPUTED_VALUE"""),63.482)</f>
        <v>63.482</v>
      </c>
      <c r="M687" s="14">
        <f>IFERROR(__xludf.DUMMYFUNCTION("""COMPUTED_VALUE"""),64.23)</f>
        <v>64.23</v>
      </c>
      <c r="N687" s="14">
        <f>IFERROR(__xludf.DUMMYFUNCTION("""COMPUTED_VALUE"""),61.887)</f>
        <v>61.887</v>
      </c>
      <c r="O687" s="14">
        <f>IFERROR(__xludf.DUMMYFUNCTION("""COMPUTED_VALUE"""),52.565)</f>
        <v>52.565</v>
      </c>
      <c r="P687" s="14">
        <f>IFERROR(__xludf.DUMMYFUNCTION("""COMPUTED_VALUE"""),53.428)</f>
        <v>53.428</v>
      </c>
      <c r="Q687" s="14">
        <f>IFERROR(__xludf.DUMMYFUNCTION("""COMPUTED_VALUE"""),59.119)</f>
        <v>59.119</v>
      </c>
      <c r="R687" s="48">
        <f>IFERROR(__xludf.DUMMYFUNCTION("""COMPUTED_VALUE"""),8.51)</f>
        <v>8.51</v>
      </c>
      <c r="S687" s="48">
        <f>IFERROR(__xludf.DUMMYFUNCTION("""COMPUTED_VALUE"""),8.66)</f>
        <v>8.66</v>
      </c>
      <c r="T687" s="48">
        <f>IFERROR(__xludf.DUMMYFUNCTION("""COMPUTED_VALUE"""),8.32)</f>
        <v>8.32</v>
      </c>
      <c r="U687" s="48">
        <f>IFERROR(__xludf.DUMMYFUNCTION("""COMPUTED_VALUE"""),8.36)</f>
        <v>8.36</v>
      </c>
      <c r="V687" s="48">
        <f>IFERROR(__xludf.DUMMYFUNCTION("""COMPUTED_VALUE"""),8.78)</f>
        <v>8.78</v>
      </c>
      <c r="W687" s="14">
        <f>IFERROR(__xludf.DUMMYFUNCTION("""COMPUTED_VALUE"""),8.526)</f>
        <v>8.526</v>
      </c>
      <c r="X687" s="14">
        <f>IFERROR(__xludf.DUMMYFUNCTION("""COMPUTED_VALUE"""),16.3)</f>
        <v>16.3</v>
      </c>
      <c r="Y687" s="14">
        <f>IFERROR(__xludf.DUMMYFUNCTION("""COMPUTED_VALUE"""),16.0)</f>
        <v>16</v>
      </c>
      <c r="Z687" s="14">
        <f>IFERROR(__xludf.DUMMYFUNCTION("""COMPUTED_VALUE"""),15.7)</f>
        <v>15.7</v>
      </c>
      <c r="AA687" s="14">
        <f>IFERROR(__xludf.DUMMYFUNCTION("""COMPUTED_VALUE"""),15.5)</f>
        <v>15.5</v>
      </c>
      <c r="AB687" s="14">
        <f>IFERROR(__xludf.DUMMYFUNCTION("""COMPUTED_VALUE"""),15.5)</f>
        <v>15.5</v>
      </c>
      <c r="AC687" s="14">
        <f>IFERROR(__xludf.DUMMYFUNCTION("""COMPUTED_VALUE"""),15.8)</f>
        <v>15.8</v>
      </c>
      <c r="AD687" s="48">
        <f>IFERROR(__xludf.DUMMYFUNCTION("""COMPUTED_VALUE"""),283.0)</f>
        <v>283</v>
      </c>
      <c r="AE687" s="48">
        <f>IFERROR(__xludf.DUMMYFUNCTION("""COMPUTED_VALUE"""),271.0)</f>
        <v>271</v>
      </c>
      <c r="AF687" s="48">
        <f>IFERROR(__xludf.DUMMYFUNCTION("""COMPUTED_VALUE"""),266.0)</f>
        <v>266</v>
      </c>
      <c r="AG687" s="48">
        <f>IFERROR(__xludf.DUMMYFUNCTION("""COMPUTED_VALUE"""),259.0)</f>
        <v>259</v>
      </c>
      <c r="AH687" s="48">
        <f>IFERROR(__xludf.DUMMYFUNCTION("""COMPUTED_VALUE"""),257.0)</f>
        <v>257</v>
      </c>
      <c r="AI687" s="14">
        <f>IFERROR(__xludf.DUMMYFUNCTION("""COMPUTED_VALUE"""),267.2)</f>
        <v>267.2</v>
      </c>
      <c r="AJ687" s="14">
        <f>IFERROR(__xludf.DUMMYFUNCTION("""COMPUTED_VALUE"""),6.3)</f>
        <v>6.3</v>
      </c>
      <c r="AK687" s="14">
        <f>IFERROR(__xludf.DUMMYFUNCTION("""COMPUTED_VALUE"""),6.2)</f>
        <v>6.2</v>
      </c>
      <c r="AL687" s="14">
        <f>IFERROR(__xludf.DUMMYFUNCTION("""COMPUTED_VALUE"""),6.5)</f>
        <v>6.5</v>
      </c>
      <c r="AM687" s="14">
        <f>IFERROR(__xludf.DUMMYFUNCTION("""COMPUTED_VALUE"""),6.2)</f>
        <v>6.2</v>
      </c>
      <c r="AN687" s="14">
        <f>IFERROR(__xludf.DUMMYFUNCTION("""COMPUTED_VALUE"""),6.2)</f>
        <v>6.2</v>
      </c>
      <c r="AO687" s="14">
        <f>IFERROR(__xludf.DUMMYFUNCTION("""COMPUTED_VALUE"""),6.279999999999999)</f>
        <v>6.28</v>
      </c>
      <c r="AP687" s="14">
        <f>IFERROR(__xludf.DUMMYFUNCTION("""COMPUTED_VALUE"""),9.0)</f>
        <v>9</v>
      </c>
      <c r="AQ687" s="14">
        <f>IFERROR(__xludf.DUMMYFUNCTION("""COMPUTED_VALUE"""),26.0)</f>
        <v>26</v>
      </c>
      <c r="AR687" s="14">
        <f>IFERROR(__xludf.DUMMYFUNCTION("""COMPUTED_VALUE"""),48.0)</f>
        <v>48</v>
      </c>
      <c r="AS687" s="14">
        <f>IFERROR(__xludf.DUMMYFUNCTION("""COMPUTED_VALUE"""),1.2)</f>
        <v>1.2</v>
      </c>
      <c r="AT687" s="14">
        <f>IFERROR(__xludf.DUMMYFUNCTION("""COMPUTED_VALUE"""),0.22)</f>
        <v>0.22</v>
      </c>
      <c r="AU687" s="14">
        <f>IFERROR(__xludf.DUMMYFUNCTION("""COMPUTED_VALUE"""),80500.0)</f>
        <v>80500</v>
      </c>
      <c r="AV687" s="14">
        <f>IFERROR(__xludf.DUMMYFUNCTION("""COMPUTED_VALUE"""),0.66)</f>
        <v>0.66</v>
      </c>
      <c r="AW687" s="14">
        <f>IFERROR(__xludf.DUMMYFUNCTION("""COMPUTED_VALUE"""),10.1)</f>
        <v>10.1</v>
      </c>
      <c r="AX687" s="14">
        <f>IFERROR(__xludf.DUMMYFUNCTION("""COMPUTED_VALUE"""),5880.0)</f>
        <v>5880</v>
      </c>
      <c r="AY687" s="14">
        <f>IFERROR(__xludf.DUMMYFUNCTION("""COMPUTED_VALUE"""),2.9)</f>
        <v>2.9</v>
      </c>
      <c r="AZ687" s="14">
        <f>IFERROR(__xludf.DUMMYFUNCTION("""COMPUTED_VALUE"""),0.342)</f>
        <v>0.342</v>
      </c>
      <c r="BA687" s="14">
        <f t="shared" si="1"/>
        <v>13.342</v>
      </c>
    </row>
    <row r="688" ht="14.25" customHeight="1">
      <c r="A688" s="10" t="str">
        <f>IFERROR(__xludf.DUMMYFUNCTION("""COMPUTED_VALUE"""),"100822FE02")</f>
        <v>100822FE02</v>
      </c>
      <c r="B688" s="12" t="str">
        <f>IFERROR(__xludf.DUMMYFUNCTION("""COMPUTED_VALUE"""),"QLI-San Francisco")</f>
        <v>QLI-San Francisco</v>
      </c>
      <c r="C688" s="12"/>
      <c r="D688" s="12"/>
      <c r="E688" s="44">
        <f>IFERROR(__xludf.DUMMYFUNCTION("""COMPUTED_VALUE"""),44783.0)</f>
        <v>44783</v>
      </c>
      <c r="F688" s="12" t="str">
        <f>IFERROR(__xludf.DUMMYFUNCTION("""COMPUTED_VALUE"""),"TIPO I")</f>
        <v>TIPO I</v>
      </c>
      <c r="G688" s="12" t="str">
        <f>IFERROR(__xludf.DUMMYFUNCTION("""COMPUTED_VALUE"""),"Durante el monitoreo se percibe olor y se observa color.")</f>
        <v>Durante el monitoreo se percibe olor y se observa color.</v>
      </c>
      <c r="H688" s="45">
        <f>IFERROR(__xludf.DUMMYFUNCTION("""COMPUTED_VALUE"""),0.4166666666678793)</f>
        <v>0.4166666667</v>
      </c>
      <c r="I688" s="45">
        <f>IFERROR(__xludf.DUMMYFUNCTION("""COMPUTED_VALUE"""),0.5)</f>
        <v>0.5</v>
      </c>
      <c r="J688" s="12">
        <f>IFERROR(__xludf.DUMMYFUNCTION("""COMPUTED_VALUE"""),1.7)</f>
        <v>1.7</v>
      </c>
      <c r="K688" s="12">
        <f>IFERROR(__xludf.DUMMYFUNCTION("""COMPUTED_VALUE"""),0.32)</f>
        <v>0.32</v>
      </c>
      <c r="L688" s="14">
        <f>IFERROR(__xludf.DUMMYFUNCTION("""COMPUTED_VALUE"""),107.623)</f>
        <v>107.623</v>
      </c>
      <c r="M688" s="14">
        <f>IFERROR(__xludf.DUMMYFUNCTION("""COMPUTED_VALUE"""),108.083)</f>
        <v>108.083</v>
      </c>
      <c r="N688" s="14">
        <f>IFERROR(__xludf.DUMMYFUNCTION("""COMPUTED_VALUE"""),110.025)</f>
        <v>110.025</v>
      </c>
      <c r="O688" s="14">
        <f>IFERROR(__xludf.DUMMYFUNCTION("""COMPUTED_VALUE"""),110.298)</f>
        <v>110.298</v>
      </c>
      <c r="P688" s="14">
        <f>IFERROR(__xludf.DUMMYFUNCTION("""COMPUTED_VALUE"""),109.128)</f>
        <v>109.128</v>
      </c>
      <c r="Q688" s="14">
        <f>IFERROR(__xludf.DUMMYFUNCTION("""COMPUTED_VALUE"""),109.031)</f>
        <v>109.031</v>
      </c>
      <c r="R688" s="48">
        <f>IFERROR(__xludf.DUMMYFUNCTION("""COMPUTED_VALUE"""),7.44)</f>
        <v>7.44</v>
      </c>
      <c r="S688" s="48">
        <f>IFERROR(__xludf.DUMMYFUNCTION("""COMPUTED_VALUE"""),7.38)</f>
        <v>7.38</v>
      </c>
      <c r="T688" s="48">
        <f>IFERROR(__xludf.DUMMYFUNCTION("""COMPUTED_VALUE"""),7.25)</f>
        <v>7.25</v>
      </c>
      <c r="U688" s="48">
        <f>IFERROR(__xludf.DUMMYFUNCTION("""COMPUTED_VALUE"""),7.33)</f>
        <v>7.33</v>
      </c>
      <c r="V688" s="48">
        <f>IFERROR(__xludf.DUMMYFUNCTION("""COMPUTED_VALUE"""),7.06)</f>
        <v>7.06</v>
      </c>
      <c r="W688" s="14">
        <f>IFERROR(__xludf.DUMMYFUNCTION("""COMPUTED_VALUE"""),7.292)</f>
        <v>7.292</v>
      </c>
      <c r="X688" s="14">
        <f>IFERROR(__xludf.DUMMYFUNCTION("""COMPUTED_VALUE"""),15.0)</f>
        <v>15</v>
      </c>
      <c r="Y688" s="14">
        <f>IFERROR(__xludf.DUMMYFUNCTION("""COMPUTED_VALUE"""),14.8)</f>
        <v>14.8</v>
      </c>
      <c r="Z688" s="14">
        <f>IFERROR(__xludf.DUMMYFUNCTION("""COMPUTED_VALUE"""),16.1)</f>
        <v>16.1</v>
      </c>
      <c r="AA688" s="14">
        <f>IFERROR(__xludf.DUMMYFUNCTION("""COMPUTED_VALUE"""),15.7)</f>
        <v>15.7</v>
      </c>
      <c r="AB688" s="14">
        <f>IFERROR(__xludf.DUMMYFUNCTION("""COMPUTED_VALUE"""),15.6)</f>
        <v>15.6</v>
      </c>
      <c r="AC688" s="14">
        <f>IFERROR(__xludf.DUMMYFUNCTION("""COMPUTED_VALUE"""),15.440000000000001)</f>
        <v>15.44</v>
      </c>
      <c r="AD688" s="48">
        <f>IFERROR(__xludf.DUMMYFUNCTION("""COMPUTED_VALUE"""),428.0)</f>
        <v>428</v>
      </c>
      <c r="AE688" s="48">
        <f>IFERROR(__xludf.DUMMYFUNCTION("""COMPUTED_VALUE"""),430.0)</f>
        <v>430</v>
      </c>
      <c r="AF688" s="48">
        <f>IFERROR(__xludf.DUMMYFUNCTION("""COMPUTED_VALUE"""),395.0)</f>
        <v>395</v>
      </c>
      <c r="AG688" s="48">
        <f>IFERROR(__xludf.DUMMYFUNCTION("""COMPUTED_VALUE"""),412.0)</f>
        <v>412</v>
      </c>
      <c r="AH688" s="48">
        <f>IFERROR(__xludf.DUMMYFUNCTION("""COMPUTED_VALUE"""),431.0)</f>
        <v>431</v>
      </c>
      <c r="AI688" s="14">
        <f>IFERROR(__xludf.DUMMYFUNCTION("""COMPUTED_VALUE"""),419.2)</f>
        <v>419.2</v>
      </c>
      <c r="AJ688" s="14">
        <f>IFERROR(__xludf.DUMMYFUNCTION("""COMPUTED_VALUE"""),4.48)</f>
        <v>4.48</v>
      </c>
      <c r="AK688" s="14">
        <f>IFERROR(__xludf.DUMMYFUNCTION("""COMPUTED_VALUE"""),4.96)</f>
        <v>4.96</v>
      </c>
      <c r="AL688" s="14">
        <f>IFERROR(__xludf.DUMMYFUNCTION("""COMPUTED_VALUE"""),4.33)</f>
        <v>4.33</v>
      </c>
      <c r="AM688" s="14">
        <f>IFERROR(__xludf.DUMMYFUNCTION("""COMPUTED_VALUE"""),4.61)</f>
        <v>4.61</v>
      </c>
      <c r="AN688" s="14">
        <f>IFERROR(__xludf.DUMMYFUNCTION("""COMPUTED_VALUE"""),4.2)</f>
        <v>4.2</v>
      </c>
      <c r="AO688" s="14">
        <f>IFERROR(__xludf.DUMMYFUNCTION("""COMPUTED_VALUE"""),4.516)</f>
        <v>4.516</v>
      </c>
      <c r="AP688" s="14">
        <f>IFERROR(__xludf.DUMMYFUNCTION("""COMPUTED_VALUE"""),30.0)</f>
        <v>30</v>
      </c>
      <c r="AQ688" s="14">
        <f>IFERROR(__xludf.DUMMYFUNCTION("""COMPUTED_VALUE"""),38.0)</f>
        <v>38</v>
      </c>
      <c r="AR688" s="14">
        <f>IFERROR(__xludf.DUMMYFUNCTION("""COMPUTED_VALUE"""),59.0)</f>
        <v>59</v>
      </c>
      <c r="AS688" s="14">
        <f>IFERROR(__xludf.DUMMYFUNCTION("""COMPUTED_VALUE"""),15.0)</f>
        <v>15</v>
      </c>
      <c r="AT688" s="14">
        <f>IFERROR(__xludf.DUMMYFUNCTION("""COMPUTED_VALUE"""),1.42)</f>
        <v>1.42</v>
      </c>
      <c r="AU688" s="14">
        <f>IFERROR(__xludf.DUMMYFUNCTION("""COMPUTED_VALUE"""),932000.0)</f>
        <v>932000</v>
      </c>
      <c r="AV688" s="14">
        <f>IFERROR(__xludf.DUMMYFUNCTION("""COMPUTED_VALUE"""),1.47)</f>
        <v>1.47</v>
      </c>
      <c r="AW688" s="14">
        <f>IFERROR(__xludf.DUMMYFUNCTION("""COMPUTED_VALUE"""),19.3)</f>
        <v>19.3</v>
      </c>
      <c r="AX688" s="14">
        <f>IFERROR(__xludf.DUMMYFUNCTION("""COMPUTED_VALUE"""),504000.0)</f>
        <v>504000</v>
      </c>
      <c r="AY688" s="14">
        <f>IFERROR(__xludf.DUMMYFUNCTION("""COMPUTED_VALUE"""),0.8)</f>
        <v>0.8</v>
      </c>
      <c r="AZ688" s="14">
        <f>IFERROR(__xludf.DUMMYFUNCTION("""COMPUTED_VALUE"""),0.502)</f>
        <v>0.502</v>
      </c>
      <c r="BA688" s="14">
        <f t="shared" si="1"/>
        <v>20.602</v>
      </c>
    </row>
    <row r="689" ht="14.25" customHeight="1">
      <c r="A689" s="10" t="str">
        <f>IFERROR(__xludf.DUMMYFUNCTION("""COMPUTED_VALUE"""),"110822DU02")</f>
        <v>110822DU02</v>
      </c>
      <c r="B689" s="12" t="str">
        <f>IFERROR(__xludf.DUMMYFUNCTION("""COMPUTED_VALUE"""),"CRN-La Castellana")</f>
        <v>CRN-La Castellana</v>
      </c>
      <c r="C689" s="12"/>
      <c r="D689" s="12"/>
      <c r="E689" s="44">
        <f>IFERROR(__xludf.DUMMYFUNCTION("""COMPUTED_VALUE"""),44784.0)</f>
        <v>44784</v>
      </c>
      <c r="F689" s="12" t="str">
        <f>IFERROR(__xludf.DUMMYFUNCTION("""COMPUTED_VALUE"""),"TIPO I")</f>
        <v>TIPO I</v>
      </c>
      <c r="G689" s="12" t="str">
        <f>IFERROR(__xludf.DUMMYFUNCTION("""COMPUTED_VALUE"""),"Se presenta un canal en concreto, durante el monitoreo se percibe olor y se observa color, además de material flotante.
Altitud: 2568 m.s.n.m.")</f>
        <v>Se presenta un canal en concreto, durante el monitoreo se percibe olor y se observa color, además de material flotante.
Altitud: 2568 m.s.n.m.</v>
      </c>
      <c r="H689" s="45">
        <f>IFERROR(__xludf.DUMMYFUNCTION("""COMPUTED_VALUE"""),0.5)</f>
        <v>0.5</v>
      </c>
      <c r="I689" s="45">
        <f>IFERROR(__xludf.DUMMYFUNCTION("""COMPUTED_VALUE"""),0.5833333333321207)</f>
        <v>0.5833333333</v>
      </c>
      <c r="J689" s="12">
        <f>IFERROR(__xludf.DUMMYFUNCTION("""COMPUTED_VALUE"""),5.7)</f>
        <v>5.7</v>
      </c>
      <c r="K689" s="12">
        <f>IFERROR(__xludf.DUMMYFUNCTION("""COMPUTED_VALUE"""),0.2)</f>
        <v>0.2</v>
      </c>
      <c r="L689" s="14">
        <f>IFERROR(__xludf.DUMMYFUNCTION("""COMPUTED_VALUE"""),299.077)</f>
        <v>299.077</v>
      </c>
      <c r="M689" s="14">
        <f>IFERROR(__xludf.DUMMYFUNCTION("""COMPUTED_VALUE"""),300.361)</f>
        <v>300.361</v>
      </c>
      <c r="N689" s="14">
        <f>IFERROR(__xludf.DUMMYFUNCTION("""COMPUTED_VALUE"""),301.853)</f>
        <v>301.853</v>
      </c>
      <c r="O689" s="14">
        <f>IFERROR(__xludf.DUMMYFUNCTION("""COMPUTED_VALUE"""),301.751)</f>
        <v>301.751</v>
      </c>
      <c r="P689" s="14">
        <f>IFERROR(__xludf.DUMMYFUNCTION("""COMPUTED_VALUE"""),298.636)</f>
        <v>298.636</v>
      </c>
      <c r="Q689" s="14">
        <f>IFERROR(__xludf.DUMMYFUNCTION("""COMPUTED_VALUE"""),300.335)</f>
        <v>300.335</v>
      </c>
      <c r="R689" s="48">
        <f>IFERROR(__xludf.DUMMYFUNCTION("""COMPUTED_VALUE"""),8.8)</f>
        <v>8.8</v>
      </c>
      <c r="S689" s="48">
        <f>IFERROR(__xludf.DUMMYFUNCTION("""COMPUTED_VALUE"""),8.67)</f>
        <v>8.67</v>
      </c>
      <c r="T689" s="48">
        <f>IFERROR(__xludf.DUMMYFUNCTION("""COMPUTED_VALUE"""),8.77)</f>
        <v>8.77</v>
      </c>
      <c r="U689" s="48">
        <f>IFERROR(__xludf.DUMMYFUNCTION("""COMPUTED_VALUE"""),8.59)</f>
        <v>8.59</v>
      </c>
      <c r="V689" s="48">
        <f>IFERROR(__xludf.DUMMYFUNCTION("""COMPUTED_VALUE"""),8.67)</f>
        <v>8.67</v>
      </c>
      <c r="W689" s="14">
        <f>IFERROR(__xludf.DUMMYFUNCTION("""COMPUTED_VALUE"""),8.7)</f>
        <v>8.7</v>
      </c>
      <c r="X689" s="14">
        <f>IFERROR(__xludf.DUMMYFUNCTION("""COMPUTED_VALUE"""),19.3)</f>
        <v>19.3</v>
      </c>
      <c r="Y689" s="14">
        <f>IFERROR(__xludf.DUMMYFUNCTION("""COMPUTED_VALUE"""),19.0)</f>
        <v>19</v>
      </c>
      <c r="Z689" s="14">
        <f>IFERROR(__xludf.DUMMYFUNCTION("""COMPUTED_VALUE"""),19.5)</f>
        <v>19.5</v>
      </c>
      <c r="AA689" s="14">
        <f>IFERROR(__xludf.DUMMYFUNCTION("""COMPUTED_VALUE"""),19.5)</f>
        <v>19.5</v>
      </c>
      <c r="AB689" s="14">
        <f>IFERROR(__xludf.DUMMYFUNCTION("""COMPUTED_VALUE"""),19.8)</f>
        <v>19.8</v>
      </c>
      <c r="AC689" s="14">
        <f>IFERROR(__xludf.DUMMYFUNCTION("""COMPUTED_VALUE"""),19.419999999999998)</f>
        <v>19.42</v>
      </c>
      <c r="AD689" s="48">
        <f>IFERROR(__xludf.DUMMYFUNCTION("""COMPUTED_VALUE"""),575.0)</f>
        <v>575</v>
      </c>
      <c r="AE689" s="48">
        <f>IFERROR(__xludf.DUMMYFUNCTION("""COMPUTED_VALUE"""),606.0)</f>
        <v>606</v>
      </c>
      <c r="AF689" s="48">
        <f>IFERROR(__xludf.DUMMYFUNCTION("""COMPUTED_VALUE"""),593.0)</f>
        <v>593</v>
      </c>
      <c r="AG689" s="48">
        <f>IFERROR(__xludf.DUMMYFUNCTION("""COMPUTED_VALUE"""),626.0)</f>
        <v>626</v>
      </c>
      <c r="AH689" s="48">
        <f>IFERROR(__xludf.DUMMYFUNCTION("""COMPUTED_VALUE"""),643.0)</f>
        <v>643</v>
      </c>
      <c r="AI689" s="14">
        <f>IFERROR(__xludf.DUMMYFUNCTION("""COMPUTED_VALUE"""),608.6)</f>
        <v>608.6</v>
      </c>
      <c r="AJ689" s="14">
        <f>IFERROR(__xludf.DUMMYFUNCTION("""COMPUTED_VALUE"""),3.4)</f>
        <v>3.4</v>
      </c>
      <c r="AK689" s="14">
        <f>IFERROR(__xludf.DUMMYFUNCTION("""COMPUTED_VALUE"""),3.4)</f>
        <v>3.4</v>
      </c>
      <c r="AL689" s="14">
        <f>IFERROR(__xludf.DUMMYFUNCTION("""COMPUTED_VALUE"""),3.4)</f>
        <v>3.4</v>
      </c>
      <c r="AM689" s="14">
        <f>IFERROR(__xludf.DUMMYFUNCTION("""COMPUTED_VALUE"""),3.3)</f>
        <v>3.3</v>
      </c>
      <c r="AN689" s="14">
        <f>IFERROR(__xludf.DUMMYFUNCTION("""COMPUTED_VALUE"""),3.2)</f>
        <v>3.2</v>
      </c>
      <c r="AO689" s="14">
        <f>IFERROR(__xludf.DUMMYFUNCTION("""COMPUTED_VALUE"""),3.34)</f>
        <v>3.34</v>
      </c>
      <c r="AP689" s="14">
        <f>IFERROR(__xludf.DUMMYFUNCTION("""COMPUTED_VALUE"""),190.0)</f>
        <v>190</v>
      </c>
      <c r="AQ689" s="14">
        <f>IFERROR(__xludf.DUMMYFUNCTION("""COMPUTED_VALUE"""),241.0)</f>
        <v>241</v>
      </c>
      <c r="AR689" s="14">
        <f>IFERROR(__xludf.DUMMYFUNCTION("""COMPUTED_VALUE"""),50.0)</f>
        <v>50</v>
      </c>
      <c r="AS689" s="14">
        <f>IFERROR(__xludf.DUMMYFUNCTION("""COMPUTED_VALUE"""),68.0)</f>
        <v>68</v>
      </c>
      <c r="AT689" s="14">
        <f>IFERROR(__xludf.DUMMYFUNCTION("""COMPUTED_VALUE"""),9.98)</f>
        <v>9.98</v>
      </c>
      <c r="AU689" s="14">
        <f>IFERROR(__xludf.DUMMYFUNCTION("""COMPUTED_VALUE"""),1.354E7)</f>
        <v>13540000</v>
      </c>
      <c r="AV689" s="14">
        <f>IFERROR(__xludf.DUMMYFUNCTION("""COMPUTED_VALUE"""),4.02)</f>
        <v>4.02</v>
      </c>
      <c r="AW689" s="14">
        <f>IFERROR(__xludf.DUMMYFUNCTION("""COMPUTED_VALUE"""),30.0)</f>
        <v>30</v>
      </c>
      <c r="AX689" s="14">
        <f>IFERROR(__xludf.DUMMYFUNCTION("""COMPUTED_VALUE"""),1239000.0)</f>
        <v>1239000</v>
      </c>
      <c r="AY689" s="14">
        <f>IFERROR(__xludf.DUMMYFUNCTION("""COMPUTED_VALUE"""),0.8)</f>
        <v>0.8</v>
      </c>
      <c r="AZ689" s="14">
        <f>IFERROR(__xludf.DUMMYFUNCTION("""COMPUTED_VALUE"""),0.007)</f>
        <v>0.007</v>
      </c>
      <c r="BA689" s="14">
        <f t="shared" si="1"/>
        <v>30.807</v>
      </c>
    </row>
    <row r="690" ht="14.25" customHeight="1">
      <c r="A690" s="10" t="str">
        <f>IFERROR(__xludf.DUMMYFUNCTION("""COMPUTED_VALUE"""),"100822FE03")</f>
        <v>100822FE03</v>
      </c>
      <c r="B690" s="12" t="str">
        <f>IFERROR(__xludf.DUMMYFUNCTION("""COMPUTED_VALUE"""),"QLI-El Satélite")</f>
        <v>QLI-El Satélite</v>
      </c>
      <c r="C690" s="12"/>
      <c r="D690" s="12"/>
      <c r="E690" s="44">
        <f>IFERROR(__xludf.DUMMYFUNCTION("""COMPUTED_VALUE"""),44783.0)</f>
        <v>44783</v>
      </c>
      <c r="F690" s="12" t="str">
        <f>IFERROR(__xludf.DUMMYFUNCTION("""COMPUTED_VALUE"""),"TIPO I")</f>
        <v>TIPO I</v>
      </c>
      <c r="G690" s="12" t="str">
        <f>IFERROR(__xludf.DUMMYFUNCTION("""COMPUTED_VALUE"""),"Estructura del canal natural, durante el monitoreo se observa color y se percibe olor.
Altitud: 2570msnm. ")</f>
        <v>Estructura del canal natural, durante el monitoreo se observa color y se percibe olor.
Altitud: 2570msnm. </v>
      </c>
      <c r="H690" s="45">
        <f>IFERROR(__xludf.DUMMYFUNCTION("""COMPUTED_VALUE"""),0.5833333333321207)</f>
        <v>0.5833333333</v>
      </c>
      <c r="I690" s="45">
        <f>IFERROR(__xludf.DUMMYFUNCTION("""COMPUTED_VALUE"""),0.6666666666678793)</f>
        <v>0.6666666667</v>
      </c>
      <c r="J690" s="12">
        <f>IFERROR(__xludf.DUMMYFUNCTION("""COMPUTED_VALUE"""),2.3)</f>
        <v>2.3</v>
      </c>
      <c r="K690" s="12">
        <f>IFERROR(__xludf.DUMMYFUNCTION("""COMPUTED_VALUE"""),0.22)</f>
        <v>0.22</v>
      </c>
      <c r="L690" s="14">
        <f>IFERROR(__xludf.DUMMYFUNCTION("""COMPUTED_VALUE"""),142.71)</f>
        <v>142.71</v>
      </c>
      <c r="M690" s="14">
        <f>IFERROR(__xludf.DUMMYFUNCTION("""COMPUTED_VALUE"""),139.441)</f>
        <v>139.441</v>
      </c>
      <c r="N690" s="14">
        <f>IFERROR(__xludf.DUMMYFUNCTION("""COMPUTED_VALUE"""),137.479)</f>
        <v>137.479</v>
      </c>
      <c r="O690" s="14">
        <f>IFERROR(__xludf.DUMMYFUNCTION("""COMPUTED_VALUE"""),136.135)</f>
        <v>136.135</v>
      </c>
      <c r="P690" s="14">
        <f>IFERROR(__xludf.DUMMYFUNCTION("""COMPUTED_VALUE"""),135.924)</f>
        <v>135.924</v>
      </c>
      <c r="Q690" s="14">
        <f>IFERROR(__xludf.DUMMYFUNCTION("""COMPUTED_VALUE"""),138.338)</f>
        <v>138.338</v>
      </c>
      <c r="R690" s="48">
        <f>IFERROR(__xludf.DUMMYFUNCTION("""COMPUTED_VALUE"""),7.54)</f>
        <v>7.54</v>
      </c>
      <c r="S690" s="48">
        <f>IFERROR(__xludf.DUMMYFUNCTION("""COMPUTED_VALUE"""),7.35)</f>
        <v>7.35</v>
      </c>
      <c r="T690" s="48">
        <f>IFERROR(__xludf.DUMMYFUNCTION("""COMPUTED_VALUE"""),7.48)</f>
        <v>7.48</v>
      </c>
      <c r="U690" s="48">
        <f>IFERROR(__xludf.DUMMYFUNCTION("""COMPUTED_VALUE"""),7.52)</f>
        <v>7.52</v>
      </c>
      <c r="V690" s="48">
        <f>IFERROR(__xludf.DUMMYFUNCTION("""COMPUTED_VALUE"""),7.19)</f>
        <v>7.19</v>
      </c>
      <c r="W690" s="14">
        <f>IFERROR(__xludf.DUMMYFUNCTION("""COMPUTED_VALUE"""),7.4159999999999995)</f>
        <v>7.416</v>
      </c>
      <c r="X690" s="14">
        <f>IFERROR(__xludf.DUMMYFUNCTION("""COMPUTED_VALUE"""),17.5)</f>
        <v>17.5</v>
      </c>
      <c r="Y690" s="14">
        <f>IFERROR(__xludf.DUMMYFUNCTION("""COMPUTED_VALUE"""),16.8)</f>
        <v>16.8</v>
      </c>
      <c r="Z690" s="14">
        <f>IFERROR(__xludf.DUMMYFUNCTION("""COMPUTED_VALUE"""),17.0)</f>
        <v>17</v>
      </c>
      <c r="AA690" s="14">
        <f>IFERROR(__xludf.DUMMYFUNCTION("""COMPUTED_VALUE"""),16.8)</f>
        <v>16.8</v>
      </c>
      <c r="AB690" s="14">
        <f>IFERROR(__xludf.DUMMYFUNCTION("""COMPUTED_VALUE"""),16.5)</f>
        <v>16.5</v>
      </c>
      <c r="AC690" s="14">
        <f>IFERROR(__xludf.DUMMYFUNCTION("""COMPUTED_VALUE"""),16.919999999999998)</f>
        <v>16.92</v>
      </c>
      <c r="AD690" s="48">
        <f>IFERROR(__xludf.DUMMYFUNCTION("""COMPUTED_VALUE"""),537.0)</f>
        <v>537</v>
      </c>
      <c r="AE690" s="48">
        <f>IFERROR(__xludf.DUMMYFUNCTION("""COMPUTED_VALUE"""),542.0)</f>
        <v>542</v>
      </c>
      <c r="AF690" s="48">
        <f>IFERROR(__xludf.DUMMYFUNCTION("""COMPUTED_VALUE"""),537.0)</f>
        <v>537</v>
      </c>
      <c r="AG690" s="48">
        <f>IFERROR(__xludf.DUMMYFUNCTION("""COMPUTED_VALUE"""),514.0)</f>
        <v>514</v>
      </c>
      <c r="AH690" s="48">
        <f>IFERROR(__xludf.DUMMYFUNCTION("""COMPUTED_VALUE"""),536.0)</f>
        <v>536</v>
      </c>
      <c r="AI690" s="14">
        <f>IFERROR(__xludf.DUMMYFUNCTION("""COMPUTED_VALUE"""),533.2)</f>
        <v>533.2</v>
      </c>
      <c r="AJ690" s="14">
        <f>IFERROR(__xludf.DUMMYFUNCTION("""COMPUTED_VALUE"""),2.97)</f>
        <v>2.97</v>
      </c>
      <c r="AK690" s="14">
        <f>IFERROR(__xludf.DUMMYFUNCTION("""COMPUTED_VALUE"""),3.0)</f>
        <v>3</v>
      </c>
      <c r="AL690" s="14">
        <f>IFERROR(__xludf.DUMMYFUNCTION("""COMPUTED_VALUE"""),2.93)</f>
        <v>2.93</v>
      </c>
      <c r="AM690" s="14">
        <f>IFERROR(__xludf.DUMMYFUNCTION("""COMPUTED_VALUE"""),2.78)</f>
        <v>2.78</v>
      </c>
      <c r="AN690" s="14">
        <f>IFERROR(__xludf.DUMMYFUNCTION("""COMPUTED_VALUE"""),2.8)</f>
        <v>2.8</v>
      </c>
      <c r="AO690" s="14">
        <f>IFERROR(__xludf.DUMMYFUNCTION("""COMPUTED_VALUE"""),2.896)</f>
        <v>2.896</v>
      </c>
      <c r="AP690" s="14">
        <f>IFERROR(__xludf.DUMMYFUNCTION("""COMPUTED_VALUE"""),73.0)</f>
        <v>73</v>
      </c>
      <c r="AQ690" s="14">
        <f>IFERROR(__xludf.DUMMYFUNCTION("""COMPUTED_VALUE"""),80.0)</f>
        <v>80</v>
      </c>
      <c r="AR690" s="14">
        <f>IFERROR(__xludf.DUMMYFUNCTION("""COMPUTED_VALUE"""),168.0)</f>
        <v>168</v>
      </c>
      <c r="AS690" s="14">
        <f>IFERROR(__xludf.DUMMYFUNCTION("""COMPUTED_VALUE"""),29.0)</f>
        <v>29</v>
      </c>
      <c r="AT690" s="14">
        <f>IFERROR(__xludf.DUMMYFUNCTION("""COMPUTED_VALUE"""),3.8)</f>
        <v>3.8</v>
      </c>
      <c r="AU690" s="14">
        <f>IFERROR(__xludf.DUMMYFUNCTION("""COMPUTED_VALUE"""),157600.0)</f>
        <v>157600</v>
      </c>
      <c r="AV690" s="14">
        <f>IFERROR(__xludf.DUMMYFUNCTION("""COMPUTED_VALUE"""),1.31)</f>
        <v>1.31</v>
      </c>
      <c r="AW690" s="14">
        <f>IFERROR(__xludf.DUMMYFUNCTION("""COMPUTED_VALUE"""),31.1)</f>
        <v>31.1</v>
      </c>
      <c r="AX690" s="14">
        <f>IFERROR(__xludf.DUMMYFUNCTION("""COMPUTED_VALUE"""),113700.0)</f>
        <v>113700</v>
      </c>
      <c r="AY690" s="14">
        <f>IFERROR(__xludf.DUMMYFUNCTION("""COMPUTED_VALUE"""),0.1)</f>
        <v>0.1</v>
      </c>
      <c r="AZ690" s="14">
        <f>IFERROR(__xludf.DUMMYFUNCTION("""COMPUTED_VALUE"""),0.007)</f>
        <v>0.007</v>
      </c>
      <c r="BA690" s="14">
        <f t="shared" si="1"/>
        <v>31.207</v>
      </c>
    </row>
    <row r="691" ht="14.25" customHeight="1">
      <c r="A691" s="10" t="str">
        <f>IFERROR(__xludf.DUMMYFUNCTION("""COMPUTED_VALUE"""),"110822DU03")</f>
        <v>110822DU03</v>
      </c>
      <c r="B691" s="12" t="str">
        <f>IFERROR(__xludf.DUMMYFUNCTION("""COMPUTED_VALUE"""),"CRN-Entre Ríos")</f>
        <v>CRN-Entre Ríos</v>
      </c>
      <c r="C691" s="12"/>
      <c r="D691" s="12"/>
      <c r="E691" s="44">
        <f>IFERROR(__xludf.DUMMYFUNCTION("""COMPUTED_VALUE"""),44784.0)</f>
        <v>44784</v>
      </c>
      <c r="F691" s="12" t="str">
        <f>IFERROR(__xludf.DUMMYFUNCTION("""COMPUTED_VALUE"""),"TIPO I")</f>
        <v>TIPO I</v>
      </c>
      <c r="G691" s="12" t="str">
        <f>IFERROR(__xludf.DUMMYFUNCTION("""COMPUTED_VALUE"""),"Estructura del canal en concreto, se observa color y se percibe olor.
Altitud: 2574msnm ")</f>
        <v>Estructura del canal en concreto, se observa color y se percibe olor.
Altitud: 2574msnm </v>
      </c>
      <c r="H691" s="45">
        <f>IFERROR(__xludf.DUMMYFUNCTION("""COMPUTED_VALUE"""),0.6666666666678793)</f>
        <v>0.6666666667</v>
      </c>
      <c r="I691" s="45">
        <f>IFERROR(__xludf.DUMMYFUNCTION("""COMPUTED_VALUE"""),0.75)</f>
        <v>0.75</v>
      </c>
      <c r="J691" s="12">
        <f>IFERROR(__xludf.DUMMYFUNCTION("""COMPUTED_VALUE"""),8.0)</f>
        <v>8</v>
      </c>
      <c r="K691" s="12">
        <f>IFERROR(__xludf.DUMMYFUNCTION("""COMPUTED_VALUE"""),0.2)</f>
        <v>0.2</v>
      </c>
      <c r="L691" s="14">
        <f>IFERROR(__xludf.DUMMYFUNCTION("""COMPUTED_VALUE"""),358.515)</f>
        <v>358.515</v>
      </c>
      <c r="M691" s="14">
        <f>IFERROR(__xludf.DUMMYFUNCTION("""COMPUTED_VALUE"""),357.445)</f>
        <v>357.445</v>
      </c>
      <c r="N691" s="14">
        <f>IFERROR(__xludf.DUMMYFUNCTION("""COMPUTED_VALUE"""),358.34)</f>
        <v>358.34</v>
      </c>
      <c r="O691" s="14">
        <f>IFERROR(__xludf.DUMMYFUNCTION("""COMPUTED_VALUE"""),360.393)</f>
        <v>360.393</v>
      </c>
      <c r="P691" s="14">
        <f>IFERROR(__xludf.DUMMYFUNCTION("""COMPUTED_VALUE"""),361.682)</f>
        <v>361.682</v>
      </c>
      <c r="Q691" s="14">
        <f>IFERROR(__xludf.DUMMYFUNCTION("""COMPUTED_VALUE"""),359.275)</f>
        <v>359.275</v>
      </c>
      <c r="R691" s="48">
        <f>IFERROR(__xludf.DUMMYFUNCTION("""COMPUTED_VALUE"""),8.68)</f>
        <v>8.68</v>
      </c>
      <c r="S691" s="48">
        <f>IFERROR(__xludf.DUMMYFUNCTION("""COMPUTED_VALUE"""),8.52)</f>
        <v>8.52</v>
      </c>
      <c r="T691" s="48">
        <f>IFERROR(__xludf.DUMMYFUNCTION("""COMPUTED_VALUE"""),8.37)</f>
        <v>8.37</v>
      </c>
      <c r="U691" s="48">
        <f>IFERROR(__xludf.DUMMYFUNCTION("""COMPUTED_VALUE"""),8.16)</f>
        <v>8.16</v>
      </c>
      <c r="V691" s="48">
        <f>IFERROR(__xludf.DUMMYFUNCTION("""COMPUTED_VALUE"""),8.14)</f>
        <v>8.14</v>
      </c>
      <c r="W691" s="14">
        <f>IFERROR(__xludf.DUMMYFUNCTION("""COMPUTED_VALUE"""),8.374)</f>
        <v>8.374</v>
      </c>
      <c r="X691" s="14">
        <f>IFERROR(__xludf.DUMMYFUNCTION("""COMPUTED_VALUE"""),20.2)</f>
        <v>20.2</v>
      </c>
      <c r="Y691" s="14">
        <f>IFERROR(__xludf.DUMMYFUNCTION("""COMPUTED_VALUE"""),20.3)</f>
        <v>20.3</v>
      </c>
      <c r="Z691" s="14">
        <f>IFERROR(__xludf.DUMMYFUNCTION("""COMPUTED_VALUE"""),20.0)</f>
        <v>20</v>
      </c>
      <c r="AA691" s="14">
        <f>IFERROR(__xludf.DUMMYFUNCTION("""COMPUTED_VALUE"""),19.3)</f>
        <v>19.3</v>
      </c>
      <c r="AB691" s="14">
        <f>IFERROR(__xludf.DUMMYFUNCTION("""COMPUTED_VALUE"""),19.4)</f>
        <v>19.4</v>
      </c>
      <c r="AC691" s="14">
        <f>IFERROR(__xludf.DUMMYFUNCTION("""COMPUTED_VALUE"""),19.839999999999996)</f>
        <v>19.84</v>
      </c>
      <c r="AD691" s="48">
        <f>IFERROR(__xludf.DUMMYFUNCTION("""COMPUTED_VALUE"""),686.0)</f>
        <v>686</v>
      </c>
      <c r="AE691" s="48">
        <f>IFERROR(__xludf.DUMMYFUNCTION("""COMPUTED_VALUE"""),710.0)</f>
        <v>710</v>
      </c>
      <c r="AF691" s="48">
        <f>IFERROR(__xludf.DUMMYFUNCTION("""COMPUTED_VALUE"""),705.0)</f>
        <v>705</v>
      </c>
      <c r="AG691" s="48">
        <f>IFERROR(__xludf.DUMMYFUNCTION("""COMPUTED_VALUE"""),717.0)</f>
        <v>717</v>
      </c>
      <c r="AH691" s="48">
        <f>IFERROR(__xludf.DUMMYFUNCTION("""COMPUTED_VALUE"""),722.0)</f>
        <v>722</v>
      </c>
      <c r="AI691" s="14">
        <f>IFERROR(__xludf.DUMMYFUNCTION("""COMPUTED_VALUE"""),708.0)</f>
        <v>708</v>
      </c>
      <c r="AJ691" s="14">
        <f>IFERROR(__xludf.DUMMYFUNCTION("""COMPUTED_VALUE"""),3.4)</f>
        <v>3.4</v>
      </c>
      <c r="AK691" s="14">
        <f>IFERROR(__xludf.DUMMYFUNCTION("""COMPUTED_VALUE"""),3.3)</f>
        <v>3.3</v>
      </c>
      <c r="AL691" s="14">
        <f>IFERROR(__xludf.DUMMYFUNCTION("""COMPUTED_VALUE"""),3.5)</f>
        <v>3.5</v>
      </c>
      <c r="AM691" s="14">
        <f>IFERROR(__xludf.DUMMYFUNCTION("""COMPUTED_VALUE"""),3.6)</f>
        <v>3.6</v>
      </c>
      <c r="AN691" s="14">
        <f>IFERROR(__xludf.DUMMYFUNCTION("""COMPUTED_VALUE"""),3.4)</f>
        <v>3.4</v>
      </c>
      <c r="AO691" s="14">
        <f>IFERROR(__xludf.DUMMYFUNCTION("""COMPUTED_VALUE"""),3.44)</f>
        <v>3.44</v>
      </c>
      <c r="AP691" s="14">
        <f>IFERROR(__xludf.DUMMYFUNCTION("""COMPUTED_VALUE"""),198.0)</f>
        <v>198</v>
      </c>
      <c r="AQ691" s="14">
        <f>IFERROR(__xludf.DUMMYFUNCTION("""COMPUTED_VALUE"""),278.0)</f>
        <v>278</v>
      </c>
      <c r="AR691" s="14">
        <f>IFERROR(__xludf.DUMMYFUNCTION("""COMPUTED_VALUE"""),87.0)</f>
        <v>87</v>
      </c>
      <c r="AS691" s="14">
        <f>IFERROR(__xludf.DUMMYFUNCTION("""COMPUTED_VALUE"""),15.0)</f>
        <v>15</v>
      </c>
      <c r="AT691" s="14">
        <f>IFERROR(__xludf.DUMMYFUNCTION("""COMPUTED_VALUE"""),8.45)</f>
        <v>8.45</v>
      </c>
      <c r="AU691" s="14">
        <f>IFERROR(__xludf.DUMMYFUNCTION("""COMPUTED_VALUE"""),1.43E7)</f>
        <v>14300000</v>
      </c>
      <c r="AV691" s="14">
        <f>IFERROR(__xludf.DUMMYFUNCTION("""COMPUTED_VALUE"""),4.21)</f>
        <v>4.21</v>
      </c>
      <c r="AW691" s="14">
        <f>IFERROR(__xludf.DUMMYFUNCTION("""COMPUTED_VALUE"""),42.8)</f>
        <v>42.8</v>
      </c>
      <c r="AX691" s="14">
        <f>IFERROR(__xludf.DUMMYFUNCTION("""COMPUTED_VALUE"""),1050000.0)</f>
        <v>1050000</v>
      </c>
      <c r="AY691" s="14">
        <f>IFERROR(__xludf.DUMMYFUNCTION("""COMPUTED_VALUE"""),0.8)</f>
        <v>0.8</v>
      </c>
      <c r="AZ691" s="14">
        <f>IFERROR(__xludf.DUMMYFUNCTION("""COMPUTED_VALUE"""),0.007)</f>
        <v>0.007</v>
      </c>
      <c r="BA691" s="14">
        <f t="shared" si="1"/>
        <v>43.607</v>
      </c>
    </row>
    <row r="692" ht="14.25" customHeight="1">
      <c r="A692" s="10" t="str">
        <f>IFERROR(__xludf.DUMMYFUNCTION("""COMPUTED_VALUE"""),"240822MP01")</f>
        <v>240822MP01</v>
      </c>
      <c r="B692" s="12" t="str">
        <f>IFERROR(__xludf.DUMMYFUNCTION("""COMPUTED_VALUE"""),"QZA-Molinos")</f>
        <v>QZA-Molinos</v>
      </c>
      <c r="C692" s="12"/>
      <c r="D692" s="12"/>
      <c r="E692" s="44">
        <f>IFERROR(__xludf.DUMMYFUNCTION("""COMPUTED_VALUE"""),44797.0)</f>
        <v>44797</v>
      </c>
      <c r="F692" s="12" t="str">
        <f>IFERROR(__xludf.DUMMYFUNCTION("""COMPUTED_VALUE"""),"TIPO I")</f>
        <v>TIPO I</v>
      </c>
      <c r="G692" s="12" t="str">
        <f>IFERROR(__xludf.DUMMYFUNCTION("""COMPUTED_VALUE"""),"Se presenta un cauce natural, durante el monitoreo se percibe olor, se observa color, material flotante y residuos solidos. Altitud 2577 msnm")</f>
        <v>Se presenta un cauce natural, durante el monitoreo se percibe olor, se observa color, material flotante y residuos solidos. Altitud 2577 msnm</v>
      </c>
      <c r="H692" s="45">
        <f>IFERROR(__xludf.DUMMYFUNCTION("""COMPUTED_VALUE"""),0.5)</f>
        <v>0.5</v>
      </c>
      <c r="I692" s="45">
        <f>IFERROR(__xludf.DUMMYFUNCTION("""COMPUTED_VALUE"""),0.5833333333321207)</f>
        <v>0.5833333333</v>
      </c>
      <c r="J692" s="12">
        <f>IFERROR(__xludf.DUMMYFUNCTION("""COMPUTED_VALUE"""),3.0)</f>
        <v>3</v>
      </c>
      <c r="K692" s="12">
        <f>IFERROR(__xludf.DUMMYFUNCTION("""COMPUTED_VALUE"""),0.45)</f>
        <v>0.45</v>
      </c>
      <c r="L692" s="14">
        <f>IFERROR(__xludf.DUMMYFUNCTION("""COMPUTED_VALUE"""),308.146)</f>
        <v>308.146</v>
      </c>
      <c r="M692" s="14">
        <f>IFERROR(__xludf.DUMMYFUNCTION("""COMPUTED_VALUE"""),336.386)</f>
        <v>336.386</v>
      </c>
      <c r="N692" s="14">
        <f>IFERROR(__xludf.DUMMYFUNCTION("""COMPUTED_VALUE"""),327.524)</f>
        <v>327.524</v>
      </c>
      <c r="O692" s="14">
        <f>IFERROR(__xludf.DUMMYFUNCTION("""COMPUTED_VALUE"""),314.551)</f>
        <v>314.551</v>
      </c>
      <c r="P692" s="14">
        <f>IFERROR(__xludf.DUMMYFUNCTION("""COMPUTED_VALUE"""),323.617)</f>
        <v>323.617</v>
      </c>
      <c r="Q692" s="14">
        <f>IFERROR(__xludf.DUMMYFUNCTION("""COMPUTED_VALUE"""),322.045)</f>
        <v>322.045</v>
      </c>
      <c r="R692" s="48">
        <f>IFERROR(__xludf.DUMMYFUNCTION("""COMPUTED_VALUE"""),7.91)</f>
        <v>7.91</v>
      </c>
      <c r="S692" s="48">
        <f>IFERROR(__xludf.DUMMYFUNCTION("""COMPUTED_VALUE"""),8.92)</f>
        <v>8.92</v>
      </c>
      <c r="T692" s="48">
        <f>IFERROR(__xludf.DUMMYFUNCTION("""COMPUTED_VALUE"""),8.13)</f>
        <v>8.13</v>
      </c>
      <c r="U692" s="48">
        <f>IFERROR(__xludf.DUMMYFUNCTION("""COMPUTED_VALUE"""),7.98)</f>
        <v>7.98</v>
      </c>
      <c r="V692" s="48">
        <f>IFERROR(__xludf.DUMMYFUNCTION("""COMPUTED_VALUE"""),8.21)</f>
        <v>8.21</v>
      </c>
      <c r="W692" s="14">
        <f>IFERROR(__xludf.DUMMYFUNCTION("""COMPUTED_VALUE"""),8.23)</f>
        <v>8.23</v>
      </c>
      <c r="X692" s="14">
        <f>IFERROR(__xludf.DUMMYFUNCTION("""COMPUTED_VALUE"""),17.4)</f>
        <v>17.4</v>
      </c>
      <c r="Y692" s="14">
        <f>IFERROR(__xludf.DUMMYFUNCTION("""COMPUTED_VALUE"""),17.6)</f>
        <v>17.6</v>
      </c>
      <c r="Z692" s="14">
        <f>IFERROR(__xludf.DUMMYFUNCTION("""COMPUTED_VALUE"""),18.7)</f>
        <v>18.7</v>
      </c>
      <c r="AA692" s="14">
        <f>IFERROR(__xludf.DUMMYFUNCTION("""COMPUTED_VALUE"""),19.3)</f>
        <v>19.3</v>
      </c>
      <c r="AB692" s="14">
        <f>IFERROR(__xludf.DUMMYFUNCTION("""COMPUTED_VALUE"""),19.2)</f>
        <v>19.2</v>
      </c>
      <c r="AC692" s="14">
        <f>IFERROR(__xludf.DUMMYFUNCTION("""COMPUTED_VALUE"""),18.44)</f>
        <v>18.44</v>
      </c>
      <c r="AD692" s="48">
        <f>IFERROR(__xludf.DUMMYFUNCTION("""COMPUTED_VALUE"""),711.0)</f>
        <v>711</v>
      </c>
      <c r="AE692" s="48">
        <f>IFERROR(__xludf.DUMMYFUNCTION("""COMPUTED_VALUE"""),734.0)</f>
        <v>734</v>
      </c>
      <c r="AF692" s="48">
        <f>IFERROR(__xludf.DUMMYFUNCTION("""COMPUTED_VALUE"""),735.0)</f>
        <v>735</v>
      </c>
      <c r="AG692" s="48">
        <f>IFERROR(__xludf.DUMMYFUNCTION("""COMPUTED_VALUE"""),722.0)</f>
        <v>722</v>
      </c>
      <c r="AH692" s="48">
        <f>IFERROR(__xludf.DUMMYFUNCTION("""COMPUTED_VALUE"""),712.0)</f>
        <v>712</v>
      </c>
      <c r="AI692" s="14">
        <f>IFERROR(__xludf.DUMMYFUNCTION("""COMPUTED_VALUE"""),722.8)</f>
        <v>722.8</v>
      </c>
      <c r="AJ692" s="14">
        <f>IFERROR(__xludf.DUMMYFUNCTION("""COMPUTED_VALUE"""),1.87)</f>
        <v>1.87</v>
      </c>
      <c r="AK692" s="14">
        <f>IFERROR(__xludf.DUMMYFUNCTION("""COMPUTED_VALUE"""),2.11)</f>
        <v>2.11</v>
      </c>
      <c r="AL692" s="14">
        <f>IFERROR(__xludf.DUMMYFUNCTION("""COMPUTED_VALUE"""),2.22)</f>
        <v>2.22</v>
      </c>
      <c r="AM692" s="14">
        <f>IFERROR(__xludf.DUMMYFUNCTION("""COMPUTED_VALUE"""),2.13)</f>
        <v>2.13</v>
      </c>
      <c r="AN692" s="14">
        <f>IFERROR(__xludf.DUMMYFUNCTION("""COMPUTED_VALUE"""),2.3)</f>
        <v>2.3</v>
      </c>
      <c r="AO692" s="14">
        <f>IFERROR(__xludf.DUMMYFUNCTION("""COMPUTED_VALUE"""),2.126)</f>
        <v>2.126</v>
      </c>
      <c r="AP692" s="14">
        <f>IFERROR(__xludf.DUMMYFUNCTION("""COMPUTED_VALUE"""),151.0)</f>
        <v>151</v>
      </c>
      <c r="AQ692" s="14">
        <f>IFERROR(__xludf.DUMMYFUNCTION("""COMPUTED_VALUE"""),259.0)</f>
        <v>259</v>
      </c>
      <c r="AR692" s="14">
        <f>IFERROR(__xludf.DUMMYFUNCTION("""COMPUTED_VALUE"""),208.0)</f>
        <v>208</v>
      </c>
      <c r="AS692" s="14">
        <f>IFERROR(__xludf.DUMMYFUNCTION("""COMPUTED_VALUE"""),53.0)</f>
        <v>53</v>
      </c>
      <c r="AT692" s="14">
        <f>IFERROR(__xludf.DUMMYFUNCTION("""COMPUTED_VALUE"""),6.35)</f>
        <v>6.35</v>
      </c>
      <c r="AU692" s="14">
        <f>IFERROR(__xludf.DUMMYFUNCTION("""COMPUTED_VALUE"""),8450000.0)</f>
        <v>8450000</v>
      </c>
      <c r="AV692" s="14">
        <f>IFERROR(__xludf.DUMMYFUNCTION("""COMPUTED_VALUE"""),4.72)</f>
        <v>4.72</v>
      </c>
      <c r="AW692" s="14">
        <f>IFERROR(__xludf.DUMMYFUNCTION("""COMPUTED_VALUE"""),35.6)</f>
        <v>35.6</v>
      </c>
      <c r="AX692" s="14">
        <f>IFERROR(__xludf.DUMMYFUNCTION("""COMPUTED_VALUE"""),651000.0)</f>
        <v>651000</v>
      </c>
      <c r="AY692" s="14">
        <f>IFERROR(__xludf.DUMMYFUNCTION("""COMPUTED_VALUE"""),0.9)</f>
        <v>0.9</v>
      </c>
      <c r="AZ692" s="14">
        <f>IFERROR(__xludf.DUMMYFUNCTION("""COMPUTED_VALUE"""),0.03)</f>
        <v>0.03</v>
      </c>
      <c r="BA692" s="14">
        <f t="shared" si="1"/>
        <v>36.53</v>
      </c>
    </row>
    <row r="693" ht="14.25" customHeight="1">
      <c r="A693" s="10" t="str">
        <f>IFERROR(__xludf.DUMMYFUNCTION("""COMPUTED_VALUE"""),"240822MI03")</f>
        <v>240822MI03</v>
      </c>
      <c r="B693" s="12" t="str">
        <f>IFERROR(__xludf.DUMMYFUNCTION("""COMPUTED_VALUE"""),"QZA-Entre Nubes")</f>
        <v>QZA-Entre Nubes</v>
      </c>
      <c r="C693" s="12"/>
      <c r="D693" s="12"/>
      <c r="E693" s="44">
        <f>IFERROR(__xludf.DUMMYFUNCTION("""COMPUTED_VALUE"""),44797.0)</f>
        <v>44797</v>
      </c>
      <c r="F693" s="12" t="str">
        <f>IFERROR(__xludf.DUMMYFUNCTION("""COMPUTED_VALUE"""),"TIPO I")</f>
        <v>TIPO I</v>
      </c>
      <c r="G693" s="12" t="str">
        <f>IFERROR(__xludf.DUMMYFUNCTION("""COMPUTED_VALUE"""),"Presenta coloracion, se perciben olores, se observan espumas y presencia de residuos solidos. Altitud de 2676 msnm")</f>
        <v>Presenta coloracion, se perciben olores, se observan espumas y presencia de residuos solidos. Altitud de 2676 msnm</v>
      </c>
      <c r="H693" s="45">
        <f>IFERROR(__xludf.DUMMYFUNCTION("""COMPUTED_VALUE"""),0.6666666666678793)</f>
        <v>0.6666666667</v>
      </c>
      <c r="I693" s="45">
        <f>IFERROR(__xludf.DUMMYFUNCTION("""COMPUTED_VALUE"""),0.75)</f>
        <v>0.75</v>
      </c>
      <c r="J693" s="12">
        <f>IFERROR(__xludf.DUMMYFUNCTION("""COMPUTED_VALUE"""),3.0)</f>
        <v>3</v>
      </c>
      <c r="K693" s="12">
        <f>IFERROR(__xludf.DUMMYFUNCTION("""COMPUTED_VALUE"""),0.29)</f>
        <v>0.29</v>
      </c>
      <c r="L693" s="14">
        <f>IFERROR(__xludf.DUMMYFUNCTION("""COMPUTED_VALUE"""),144.416)</f>
        <v>144.416</v>
      </c>
      <c r="M693" s="14">
        <f>IFERROR(__xludf.DUMMYFUNCTION("""COMPUTED_VALUE"""),146.235)</f>
        <v>146.235</v>
      </c>
      <c r="N693" s="14">
        <f>IFERROR(__xludf.DUMMYFUNCTION("""COMPUTED_VALUE"""),144.337)</f>
        <v>144.337</v>
      </c>
      <c r="O693" s="14">
        <f>IFERROR(__xludf.DUMMYFUNCTION("""COMPUTED_VALUE"""),146.413)</f>
        <v>146.413</v>
      </c>
      <c r="P693" s="14">
        <f>IFERROR(__xludf.DUMMYFUNCTION("""COMPUTED_VALUE"""),146.978)</f>
        <v>146.978</v>
      </c>
      <c r="Q693" s="14">
        <f>IFERROR(__xludf.DUMMYFUNCTION("""COMPUTED_VALUE"""),145.676)</f>
        <v>145.676</v>
      </c>
      <c r="R693" s="48">
        <f>IFERROR(__xludf.DUMMYFUNCTION("""COMPUTED_VALUE"""),7.6)</f>
        <v>7.6</v>
      </c>
      <c r="S693" s="48">
        <f>IFERROR(__xludf.DUMMYFUNCTION("""COMPUTED_VALUE"""),7.56)</f>
        <v>7.56</v>
      </c>
      <c r="T693" s="48">
        <f>IFERROR(__xludf.DUMMYFUNCTION("""COMPUTED_VALUE"""),7.41)</f>
        <v>7.41</v>
      </c>
      <c r="U693" s="48">
        <f>IFERROR(__xludf.DUMMYFUNCTION("""COMPUTED_VALUE"""),7.27)</f>
        <v>7.27</v>
      </c>
      <c r="V693" s="48">
        <f>IFERROR(__xludf.DUMMYFUNCTION("""COMPUTED_VALUE"""),7.25)</f>
        <v>7.25</v>
      </c>
      <c r="W693" s="14">
        <f>IFERROR(__xludf.DUMMYFUNCTION("""COMPUTED_VALUE"""),7.418000000000001)</f>
        <v>7.418</v>
      </c>
      <c r="X693" s="14">
        <f>IFERROR(__xludf.DUMMYFUNCTION("""COMPUTED_VALUE"""),16.21)</f>
        <v>16.21</v>
      </c>
      <c r="Y693" s="14">
        <f>IFERROR(__xludf.DUMMYFUNCTION("""COMPUTED_VALUE"""),16.09)</f>
        <v>16.09</v>
      </c>
      <c r="Z693" s="14">
        <f>IFERROR(__xludf.DUMMYFUNCTION("""COMPUTED_VALUE"""),16.08)</f>
        <v>16.08</v>
      </c>
      <c r="AA693" s="14">
        <f>IFERROR(__xludf.DUMMYFUNCTION("""COMPUTED_VALUE"""),15.95)</f>
        <v>15.95</v>
      </c>
      <c r="AB693" s="14">
        <f>IFERROR(__xludf.DUMMYFUNCTION("""COMPUTED_VALUE"""),15.94)</f>
        <v>15.94</v>
      </c>
      <c r="AC693" s="14">
        <f>IFERROR(__xludf.DUMMYFUNCTION("""COMPUTED_VALUE"""),16.054)</f>
        <v>16.054</v>
      </c>
      <c r="AD693" s="48">
        <f>IFERROR(__xludf.DUMMYFUNCTION("""COMPUTED_VALUE"""),467.0)</f>
        <v>467</v>
      </c>
      <c r="AE693" s="48">
        <f>IFERROR(__xludf.DUMMYFUNCTION("""COMPUTED_VALUE"""),475.0)</f>
        <v>475</v>
      </c>
      <c r="AF693" s="48">
        <f>IFERROR(__xludf.DUMMYFUNCTION("""COMPUTED_VALUE"""),476.0)</f>
        <v>476</v>
      </c>
      <c r="AG693" s="48">
        <f>IFERROR(__xludf.DUMMYFUNCTION("""COMPUTED_VALUE"""),469.0)</f>
        <v>469</v>
      </c>
      <c r="AH693" s="48">
        <f>IFERROR(__xludf.DUMMYFUNCTION("""COMPUTED_VALUE"""),470.0)</f>
        <v>470</v>
      </c>
      <c r="AI693" s="14">
        <f>IFERROR(__xludf.DUMMYFUNCTION("""COMPUTED_VALUE"""),471.4)</f>
        <v>471.4</v>
      </c>
      <c r="AJ693" s="14">
        <f>IFERROR(__xludf.DUMMYFUNCTION("""COMPUTED_VALUE"""),5.82)</f>
        <v>5.82</v>
      </c>
      <c r="AK693" s="14">
        <f>IFERROR(__xludf.DUMMYFUNCTION("""COMPUTED_VALUE"""),5.92)</f>
        <v>5.92</v>
      </c>
      <c r="AL693" s="14">
        <f>IFERROR(__xludf.DUMMYFUNCTION("""COMPUTED_VALUE"""),5.8)</f>
        <v>5.8</v>
      </c>
      <c r="AM693" s="14">
        <f>IFERROR(__xludf.DUMMYFUNCTION("""COMPUTED_VALUE"""),5.88)</f>
        <v>5.88</v>
      </c>
      <c r="AN693" s="14">
        <f>IFERROR(__xludf.DUMMYFUNCTION("""COMPUTED_VALUE"""),5.57)</f>
        <v>5.57</v>
      </c>
      <c r="AO693" s="14">
        <f>IFERROR(__xludf.DUMMYFUNCTION("""COMPUTED_VALUE"""),5.798)</f>
        <v>5.798</v>
      </c>
      <c r="AP693" s="14">
        <f>IFERROR(__xludf.DUMMYFUNCTION("""COMPUTED_VALUE"""),104.0)</f>
        <v>104</v>
      </c>
      <c r="AQ693" s="14">
        <f>IFERROR(__xludf.DUMMYFUNCTION("""COMPUTED_VALUE"""),165.0)</f>
        <v>165</v>
      </c>
      <c r="AR693" s="14">
        <f>IFERROR(__xludf.DUMMYFUNCTION("""COMPUTED_VALUE"""),104.0)</f>
        <v>104</v>
      </c>
      <c r="AS693" s="14">
        <f>IFERROR(__xludf.DUMMYFUNCTION("""COMPUTED_VALUE"""),47.0)</f>
        <v>47</v>
      </c>
      <c r="AT693" s="14">
        <f>IFERROR(__xludf.DUMMYFUNCTION("""COMPUTED_VALUE"""),6.54)</f>
        <v>6.54</v>
      </c>
      <c r="AU693" s="14">
        <f>IFERROR(__xludf.DUMMYFUNCTION("""COMPUTED_VALUE"""),7480000.0)</f>
        <v>7480000</v>
      </c>
      <c r="AV693" s="14">
        <f>IFERROR(__xludf.DUMMYFUNCTION("""COMPUTED_VALUE"""),2.87)</f>
        <v>2.87</v>
      </c>
      <c r="AW693" s="14">
        <f>IFERROR(__xludf.DUMMYFUNCTION("""COMPUTED_VALUE"""),22.7)</f>
        <v>22.7</v>
      </c>
      <c r="AX693" s="14">
        <f>IFERROR(__xludf.DUMMYFUNCTION("""COMPUTED_VALUE"""),616000.0)</f>
        <v>616000</v>
      </c>
      <c r="AY693" s="14">
        <f>IFERROR(__xludf.DUMMYFUNCTION("""COMPUTED_VALUE"""),0.8)</f>
        <v>0.8</v>
      </c>
      <c r="AZ693" s="14">
        <f>IFERROR(__xludf.DUMMYFUNCTION("""COMPUTED_VALUE"""),0.007)</f>
        <v>0.007</v>
      </c>
      <c r="BA693" s="14">
        <f t="shared" si="1"/>
        <v>23.507</v>
      </c>
    </row>
    <row r="694" ht="14.25" customHeight="1">
      <c r="A694" s="10" t="str">
        <f>IFERROR(__xludf.DUMMYFUNCTION("""COMPUTED_VALUE"""),"250822FE02")</f>
        <v>250822FE02</v>
      </c>
      <c r="B694" s="12" t="str">
        <f>IFERROR(__xludf.DUMMYFUNCTION("""COMPUTED_VALUE"""),"CRN-Quebrada Chicó")</f>
        <v>CRN-Quebrada Chicó</v>
      </c>
      <c r="C694" s="12"/>
      <c r="D694" s="12"/>
      <c r="E694" s="44">
        <f>IFERROR(__xludf.DUMMYFUNCTION("""COMPUTED_VALUE"""),44798.0)</f>
        <v>44798</v>
      </c>
      <c r="F694" s="12" t="str">
        <f>IFERROR(__xludf.DUMMYFUNCTION("""COMPUTED_VALUE"""),"TIPO I")</f>
        <v>TIPO I</v>
      </c>
      <c r="G694" s="12" t="str">
        <f>IFERROR(__xludf.DUMMYFUNCTION("""COMPUTED_VALUE"""),"Tubería en concreto y canal en mampostería. Se evidencia presencia de vegetación arbórea, color, olor y espuma. La estructura de la tubería presenta un diámetro de 1.6m y debido a que la profundidad de la lámina de agua es de 0.04m se realiza el aforo por"&amp;" el método volumétrico. Altitud: 2602 msnm")</f>
        <v>Tubería en concreto y canal en mampostería. Se evidencia presencia de vegetación arbórea, color, olor y espuma. La estructura de la tubería presenta un diámetro de 1.6m y debido a que la profundidad de la lámina de agua es de 0.04m se realiza el aforo por el método volumétrico. Altitud: 2602 msnm</v>
      </c>
      <c r="H694" s="45">
        <f>IFERROR(__xludf.DUMMYFUNCTION("""COMPUTED_VALUE"""),0.5)</f>
        <v>0.5</v>
      </c>
      <c r="I694" s="45">
        <f>IFERROR(__xludf.DUMMYFUNCTION("""COMPUTED_VALUE"""),0.5833333333321207)</f>
        <v>0.5833333333</v>
      </c>
      <c r="J694" s="12">
        <f>IFERROR(__xludf.DUMMYFUNCTION("""COMPUTED_VALUE"""),1.6)</f>
        <v>1.6</v>
      </c>
      <c r="K694" s="12">
        <f>IFERROR(__xludf.DUMMYFUNCTION("""COMPUTED_VALUE"""),0.04)</f>
        <v>0.04</v>
      </c>
      <c r="L694" s="14">
        <f>IFERROR(__xludf.DUMMYFUNCTION("""COMPUTED_VALUE"""),2.78)</f>
        <v>2.78</v>
      </c>
      <c r="M694" s="14">
        <f>IFERROR(__xludf.DUMMYFUNCTION("""COMPUTED_VALUE"""),2.785)</f>
        <v>2.785</v>
      </c>
      <c r="N694" s="14">
        <f>IFERROR(__xludf.DUMMYFUNCTION("""COMPUTED_VALUE"""),2.867)</f>
        <v>2.867</v>
      </c>
      <c r="O694" s="14">
        <f>IFERROR(__xludf.DUMMYFUNCTION("""COMPUTED_VALUE"""),2.655)</f>
        <v>2.655</v>
      </c>
      <c r="P694" s="14">
        <f>IFERROR(__xludf.DUMMYFUNCTION("""COMPUTED_VALUE"""),2.769)</f>
        <v>2.769</v>
      </c>
      <c r="Q694" s="14">
        <f>IFERROR(__xludf.DUMMYFUNCTION("""COMPUTED_VALUE"""),2.771)</f>
        <v>2.771</v>
      </c>
      <c r="R694" s="48">
        <f>IFERROR(__xludf.DUMMYFUNCTION("""COMPUTED_VALUE"""),7.56)</f>
        <v>7.56</v>
      </c>
      <c r="S694" s="48">
        <f>IFERROR(__xludf.DUMMYFUNCTION("""COMPUTED_VALUE"""),7.31)</f>
        <v>7.31</v>
      </c>
      <c r="T694" s="48">
        <f>IFERROR(__xludf.DUMMYFUNCTION("""COMPUTED_VALUE"""),7.03)</f>
        <v>7.03</v>
      </c>
      <c r="U694" s="48">
        <f>IFERROR(__xludf.DUMMYFUNCTION("""COMPUTED_VALUE"""),7.27)</f>
        <v>7.27</v>
      </c>
      <c r="V694" s="48">
        <f>IFERROR(__xludf.DUMMYFUNCTION("""COMPUTED_VALUE"""),7.29)</f>
        <v>7.29</v>
      </c>
      <c r="W694" s="14">
        <f>IFERROR(__xludf.DUMMYFUNCTION("""COMPUTED_VALUE"""),7.292)</f>
        <v>7.292</v>
      </c>
      <c r="X694" s="14">
        <f>IFERROR(__xludf.DUMMYFUNCTION("""COMPUTED_VALUE"""),16.98)</f>
        <v>16.98</v>
      </c>
      <c r="Y694" s="14">
        <f>IFERROR(__xludf.DUMMYFUNCTION("""COMPUTED_VALUE"""),16.69)</f>
        <v>16.69</v>
      </c>
      <c r="Z694" s="14">
        <f>IFERROR(__xludf.DUMMYFUNCTION("""COMPUTED_VALUE"""),16.83)</f>
        <v>16.83</v>
      </c>
      <c r="AA694" s="14">
        <f>IFERROR(__xludf.DUMMYFUNCTION("""COMPUTED_VALUE"""),16.75)</f>
        <v>16.75</v>
      </c>
      <c r="AB694" s="14">
        <f>IFERROR(__xludf.DUMMYFUNCTION("""COMPUTED_VALUE"""),16.73)</f>
        <v>16.73</v>
      </c>
      <c r="AC694" s="14">
        <f>IFERROR(__xludf.DUMMYFUNCTION("""COMPUTED_VALUE"""),16.796)</f>
        <v>16.796</v>
      </c>
      <c r="AD694" s="48">
        <f>IFERROR(__xludf.DUMMYFUNCTION("""COMPUTED_VALUE"""),233.0)</f>
        <v>233</v>
      </c>
      <c r="AE694" s="48">
        <f>IFERROR(__xludf.DUMMYFUNCTION("""COMPUTED_VALUE"""),226.0)</f>
        <v>226</v>
      </c>
      <c r="AF694" s="48">
        <f>IFERROR(__xludf.DUMMYFUNCTION("""COMPUTED_VALUE"""),247.0)</f>
        <v>247</v>
      </c>
      <c r="AG694" s="48">
        <f>IFERROR(__xludf.DUMMYFUNCTION("""COMPUTED_VALUE"""),229.0)</f>
        <v>229</v>
      </c>
      <c r="AH694" s="48">
        <f>IFERROR(__xludf.DUMMYFUNCTION("""COMPUTED_VALUE"""),231.0)</f>
        <v>231</v>
      </c>
      <c r="AI694" s="14">
        <f>IFERROR(__xludf.DUMMYFUNCTION("""COMPUTED_VALUE"""),233.2)</f>
        <v>233.2</v>
      </c>
      <c r="AJ694" s="14">
        <f>IFERROR(__xludf.DUMMYFUNCTION("""COMPUTED_VALUE"""),4.04)</f>
        <v>4.04</v>
      </c>
      <c r="AK694" s="14">
        <f>IFERROR(__xludf.DUMMYFUNCTION("""COMPUTED_VALUE"""),4.55)</f>
        <v>4.55</v>
      </c>
      <c r="AL694" s="14">
        <f>IFERROR(__xludf.DUMMYFUNCTION("""COMPUTED_VALUE"""),4.46)</f>
        <v>4.46</v>
      </c>
      <c r="AM694" s="14">
        <f>IFERROR(__xludf.DUMMYFUNCTION("""COMPUTED_VALUE"""),4.34)</f>
        <v>4.34</v>
      </c>
      <c r="AN694" s="14">
        <f>IFERROR(__xludf.DUMMYFUNCTION("""COMPUTED_VALUE"""),4.36)</f>
        <v>4.36</v>
      </c>
      <c r="AO694" s="14">
        <f>IFERROR(__xludf.DUMMYFUNCTION("""COMPUTED_VALUE"""),4.35)</f>
        <v>4.35</v>
      </c>
      <c r="AP694" s="14">
        <f>IFERROR(__xludf.DUMMYFUNCTION("""COMPUTED_VALUE"""),49.0)</f>
        <v>49</v>
      </c>
      <c r="AQ694" s="14">
        <f>IFERROR(__xludf.DUMMYFUNCTION("""COMPUTED_VALUE"""),63.0)</f>
        <v>63</v>
      </c>
      <c r="AR694" s="14">
        <f>IFERROR(__xludf.DUMMYFUNCTION("""COMPUTED_VALUE"""),37.0)</f>
        <v>37</v>
      </c>
      <c r="AS694" s="14">
        <f>IFERROR(__xludf.DUMMYFUNCTION("""COMPUTED_VALUE"""),60.0)</f>
        <v>60</v>
      </c>
      <c r="AT694" s="14">
        <f>IFERROR(__xludf.DUMMYFUNCTION("""COMPUTED_VALUE"""),5.5)</f>
        <v>5.5</v>
      </c>
      <c r="AU694" s="14">
        <f>IFERROR(__xludf.DUMMYFUNCTION("""COMPUTED_VALUE"""),7630000.0)</f>
        <v>7630000</v>
      </c>
      <c r="AV694" s="14">
        <f>IFERROR(__xludf.DUMMYFUNCTION("""COMPUTED_VALUE"""),1.22)</f>
        <v>1.22</v>
      </c>
      <c r="AW694" s="14">
        <f>IFERROR(__xludf.DUMMYFUNCTION("""COMPUTED_VALUE"""),10.1)</f>
        <v>10.1</v>
      </c>
      <c r="AX694" s="14">
        <f>IFERROR(__xludf.DUMMYFUNCTION("""COMPUTED_VALUE"""),69500.0)</f>
        <v>69500</v>
      </c>
      <c r="AY694" s="14">
        <f>IFERROR(__xludf.DUMMYFUNCTION("""COMPUTED_VALUE"""),0.8)</f>
        <v>0.8</v>
      </c>
      <c r="AZ694" s="14">
        <f>IFERROR(__xludf.DUMMYFUNCTION("""COMPUTED_VALUE"""),0.007)</f>
        <v>0.007</v>
      </c>
      <c r="BA694" s="14">
        <f t="shared" si="1"/>
        <v>10.907</v>
      </c>
    </row>
    <row r="695" ht="14.25" customHeight="1">
      <c r="A695" s="10" t="str">
        <f>IFERROR(__xludf.DUMMYFUNCTION("""COMPUTED_VALUE"""),"240822MI02")</f>
        <v>240822MI02</v>
      </c>
      <c r="B695" s="12" t="str">
        <f>IFERROR(__xludf.DUMMYFUNCTION("""COMPUTED_VALUE"""),"QZA-Quindío")</f>
        <v>QZA-Quindío</v>
      </c>
      <c r="C695" s="12"/>
      <c r="D695" s="12"/>
      <c r="E695" s="44">
        <f>IFERROR(__xludf.DUMMYFUNCTION("""COMPUTED_VALUE"""),44797.0)</f>
        <v>44797</v>
      </c>
      <c r="F695" s="12" t="str">
        <f>IFERROR(__xludf.DUMMYFUNCTION("""COMPUTED_VALUE"""),"TIPO I")</f>
        <v>TIPO I</v>
      </c>
      <c r="G695" s="12" t="str">
        <f>IFERROR(__xludf.DUMMYFUNCTION("""COMPUTED_VALUE"""),"No se presenta olor y no se percibe olor. Altura 2948 msnm")</f>
        <v>No se presenta olor y no se percibe olor. Altura 2948 msnm</v>
      </c>
      <c r="H695" s="45">
        <f>IFERROR(__xludf.DUMMYFUNCTION("""COMPUTED_VALUE"""),0.5)</f>
        <v>0.5</v>
      </c>
      <c r="I695" s="45">
        <f>IFERROR(__xludf.DUMMYFUNCTION("""COMPUTED_VALUE"""),0.5833333333321207)</f>
        <v>0.5833333333</v>
      </c>
      <c r="J695" s="12">
        <f>IFERROR(__xludf.DUMMYFUNCTION("""COMPUTED_VALUE"""),0.55)</f>
        <v>0.55</v>
      </c>
      <c r="K695" s="12">
        <f>IFERROR(__xludf.DUMMYFUNCTION("""COMPUTED_VALUE"""),0.2)</f>
        <v>0.2</v>
      </c>
      <c r="L695" s="14">
        <f>IFERROR(__xludf.DUMMYFUNCTION("""COMPUTED_VALUE"""),30.824)</f>
        <v>30.824</v>
      </c>
      <c r="M695" s="14">
        <f>IFERROR(__xludf.DUMMYFUNCTION("""COMPUTED_VALUE"""),30.201)</f>
        <v>30.201</v>
      </c>
      <c r="N695" s="14">
        <f>IFERROR(__xludf.DUMMYFUNCTION("""COMPUTED_VALUE"""),29.341)</f>
        <v>29.341</v>
      </c>
      <c r="O695" s="14">
        <f>IFERROR(__xludf.DUMMYFUNCTION("""COMPUTED_VALUE"""),29.937)</f>
        <v>29.937</v>
      </c>
      <c r="P695" s="14">
        <f>IFERROR(__xludf.DUMMYFUNCTION("""COMPUTED_VALUE"""),32.3)</f>
        <v>32.3</v>
      </c>
      <c r="Q695" s="14">
        <f>IFERROR(__xludf.DUMMYFUNCTION("""COMPUTED_VALUE"""),30.521)</f>
        <v>30.521</v>
      </c>
      <c r="R695" s="48">
        <f>IFERROR(__xludf.DUMMYFUNCTION("""COMPUTED_VALUE"""),8.72)</f>
        <v>8.72</v>
      </c>
      <c r="S695" s="48">
        <f>IFERROR(__xludf.DUMMYFUNCTION("""COMPUTED_VALUE"""),8.39)</f>
        <v>8.39</v>
      </c>
      <c r="T695" s="48">
        <f>IFERROR(__xludf.DUMMYFUNCTION("""COMPUTED_VALUE"""),8.12)</f>
        <v>8.12</v>
      </c>
      <c r="U695" s="48">
        <f>IFERROR(__xludf.DUMMYFUNCTION("""COMPUTED_VALUE"""),8.15)</f>
        <v>8.15</v>
      </c>
      <c r="V695" s="48">
        <f>IFERROR(__xludf.DUMMYFUNCTION("""COMPUTED_VALUE"""),7.96)</f>
        <v>7.96</v>
      </c>
      <c r="W695" s="14">
        <f>IFERROR(__xludf.DUMMYFUNCTION("""COMPUTED_VALUE"""),8.267999999999999)</f>
        <v>8.268</v>
      </c>
      <c r="X695" s="14">
        <f>IFERROR(__xludf.DUMMYFUNCTION("""COMPUTED_VALUE"""),11.09)</f>
        <v>11.09</v>
      </c>
      <c r="Y695" s="14">
        <f>IFERROR(__xludf.DUMMYFUNCTION("""COMPUTED_VALUE"""),11.23)</f>
        <v>11.23</v>
      </c>
      <c r="Z695" s="14">
        <f>IFERROR(__xludf.DUMMYFUNCTION("""COMPUTED_VALUE"""),11.37)</f>
        <v>11.37</v>
      </c>
      <c r="AA695" s="14">
        <f>IFERROR(__xludf.DUMMYFUNCTION("""COMPUTED_VALUE"""),11.39)</f>
        <v>11.39</v>
      </c>
      <c r="AB695" s="14">
        <f>IFERROR(__xludf.DUMMYFUNCTION("""COMPUTED_VALUE"""),11.35)</f>
        <v>11.35</v>
      </c>
      <c r="AC695" s="14">
        <f>IFERROR(__xludf.DUMMYFUNCTION("""COMPUTED_VALUE"""),11.286)</f>
        <v>11.286</v>
      </c>
      <c r="AD695" s="48">
        <f>IFERROR(__xludf.DUMMYFUNCTION("""COMPUTED_VALUE"""),16.0)</f>
        <v>16</v>
      </c>
      <c r="AE695" s="48">
        <f>IFERROR(__xludf.DUMMYFUNCTION("""COMPUTED_VALUE"""),14.0)</f>
        <v>14</v>
      </c>
      <c r="AF695" s="48">
        <f>IFERROR(__xludf.DUMMYFUNCTION("""COMPUTED_VALUE"""),17.0)</f>
        <v>17</v>
      </c>
      <c r="AG695" s="48">
        <f>IFERROR(__xludf.DUMMYFUNCTION("""COMPUTED_VALUE"""),15.0)</f>
        <v>15</v>
      </c>
      <c r="AH695" s="48">
        <f>IFERROR(__xludf.DUMMYFUNCTION("""COMPUTED_VALUE"""),14.0)</f>
        <v>14</v>
      </c>
      <c r="AI695" s="14">
        <f>IFERROR(__xludf.DUMMYFUNCTION("""COMPUTED_VALUE"""),15.2)</f>
        <v>15.2</v>
      </c>
      <c r="AJ695" s="14">
        <f>IFERROR(__xludf.DUMMYFUNCTION("""COMPUTED_VALUE"""),7.98)</f>
        <v>7.98</v>
      </c>
      <c r="AK695" s="14">
        <f>IFERROR(__xludf.DUMMYFUNCTION("""COMPUTED_VALUE"""),7.82)</f>
        <v>7.82</v>
      </c>
      <c r="AL695" s="14">
        <f>IFERROR(__xludf.DUMMYFUNCTION("""COMPUTED_VALUE"""),7.76)</f>
        <v>7.76</v>
      </c>
      <c r="AM695" s="14">
        <f>IFERROR(__xludf.DUMMYFUNCTION("""COMPUTED_VALUE"""),7.89)</f>
        <v>7.89</v>
      </c>
      <c r="AN695" s="14">
        <f>IFERROR(__xludf.DUMMYFUNCTION("""COMPUTED_VALUE"""),7.88)</f>
        <v>7.88</v>
      </c>
      <c r="AO695" s="14">
        <f>IFERROR(__xludf.DUMMYFUNCTION("""COMPUTED_VALUE"""),7.866000000000001)</f>
        <v>7.866</v>
      </c>
      <c r="AP695" s="14">
        <f>IFERROR(__xludf.DUMMYFUNCTION("""COMPUTED_VALUE"""),2.0)</f>
        <v>2</v>
      </c>
      <c r="AQ695" s="14">
        <f>IFERROR(__xludf.DUMMYFUNCTION("""COMPUTED_VALUE"""),13.0)</f>
        <v>13</v>
      </c>
      <c r="AR695" s="14">
        <f>IFERROR(__xludf.DUMMYFUNCTION("""COMPUTED_VALUE"""),6.0)</f>
        <v>6</v>
      </c>
      <c r="AS695" s="14">
        <f>IFERROR(__xludf.DUMMYFUNCTION("""COMPUTED_VALUE"""),1.2)</f>
        <v>1.2</v>
      </c>
      <c r="AT695" s="14">
        <f>IFERROR(__xludf.DUMMYFUNCTION("""COMPUTED_VALUE"""),0.2)</f>
        <v>0.2</v>
      </c>
      <c r="AU695" s="14">
        <f>IFERROR(__xludf.DUMMYFUNCTION("""COMPUTED_VALUE"""),784000.0)</f>
        <v>784000</v>
      </c>
      <c r="AV695" s="14">
        <f>IFERROR(__xludf.DUMMYFUNCTION("""COMPUTED_VALUE"""),0.11)</f>
        <v>0.11</v>
      </c>
      <c r="AW695" s="14">
        <f>IFERROR(__xludf.DUMMYFUNCTION("""COMPUTED_VALUE"""),1.0)</f>
        <v>1</v>
      </c>
      <c r="AX695" s="14">
        <f>IFERROR(__xludf.DUMMYFUNCTION("""COMPUTED_VALUE"""),695000.0)</f>
        <v>695000</v>
      </c>
      <c r="AY695" s="14">
        <f>IFERROR(__xludf.DUMMYFUNCTION("""COMPUTED_VALUE"""),0.6)</f>
        <v>0.6</v>
      </c>
      <c r="AZ695" s="14">
        <f>IFERROR(__xludf.DUMMYFUNCTION("""COMPUTED_VALUE"""),0.007)</f>
        <v>0.007</v>
      </c>
      <c r="BA695" s="14">
        <f t="shared" si="1"/>
        <v>1.607</v>
      </c>
    </row>
    <row r="696" ht="14.25" customHeight="1">
      <c r="A696" s="10" t="str">
        <f>IFERROR(__xludf.DUMMYFUNCTION("""COMPUTED_VALUE"""),"250822WI01")</f>
        <v>250822WI01</v>
      </c>
      <c r="B696" s="12" t="str">
        <f>IFERROR(__xludf.DUMMYFUNCTION("""COMPUTED_VALUE"""),"CRN-Entre Ríos")</f>
        <v>CRN-Entre Ríos</v>
      </c>
      <c r="C696" s="12"/>
      <c r="D696" s="12"/>
      <c r="E696" s="44">
        <f>IFERROR(__xludf.DUMMYFUNCTION("""COMPUTED_VALUE"""),44798.0)</f>
        <v>44798</v>
      </c>
      <c r="F696" s="12" t="str">
        <f>IFERROR(__xludf.DUMMYFUNCTION("""COMPUTED_VALUE"""),"TIPO I")</f>
        <v>TIPO I</v>
      </c>
      <c r="G696" s="12" t="str">
        <f>IFERROR(__xludf.DUMMYFUNCTION("""COMPUTED_VALUE"""),"Se presenta un canal en concreto, durante el monitoreo se percibe olor, se observa color y material flotante. ")</f>
        <v>Se presenta un canal en concreto, durante el monitoreo se percibe olor, se observa color y material flotante. </v>
      </c>
      <c r="H696" s="45">
        <f>IFERROR(__xludf.DUMMYFUNCTION("""COMPUTED_VALUE"""),0.3333333333321207)</f>
        <v>0.3333333333</v>
      </c>
      <c r="I696" s="45">
        <f>IFERROR(__xludf.DUMMYFUNCTION("""COMPUTED_VALUE"""),0.4166666666678793)</f>
        <v>0.4166666667</v>
      </c>
      <c r="J696" s="12">
        <f>IFERROR(__xludf.DUMMYFUNCTION("""COMPUTED_VALUE"""),7.7)</f>
        <v>7.7</v>
      </c>
      <c r="K696" s="12">
        <f>IFERROR(__xludf.DUMMYFUNCTION("""COMPUTED_VALUE"""),0.18)</f>
        <v>0.18</v>
      </c>
      <c r="L696" s="14">
        <f>IFERROR(__xludf.DUMMYFUNCTION("""COMPUTED_VALUE"""),263.423)</f>
        <v>263.423</v>
      </c>
      <c r="M696" s="14">
        <f>IFERROR(__xludf.DUMMYFUNCTION("""COMPUTED_VALUE"""),265.596)</f>
        <v>265.596</v>
      </c>
      <c r="N696" s="14">
        <f>IFERROR(__xludf.DUMMYFUNCTION("""COMPUTED_VALUE"""),267.939)</f>
        <v>267.939</v>
      </c>
      <c r="O696" s="14">
        <f>IFERROR(__xludf.DUMMYFUNCTION("""COMPUTED_VALUE"""),282.211)</f>
        <v>282.211</v>
      </c>
      <c r="P696" s="14">
        <f>IFERROR(__xludf.DUMMYFUNCTION("""COMPUTED_VALUE"""),303.026)</f>
        <v>303.026</v>
      </c>
      <c r="Q696" s="14">
        <f>IFERROR(__xludf.DUMMYFUNCTION("""COMPUTED_VALUE"""),276.439)</f>
        <v>276.439</v>
      </c>
      <c r="R696" s="48">
        <f>IFERROR(__xludf.DUMMYFUNCTION("""COMPUTED_VALUE"""),7.82)</f>
        <v>7.82</v>
      </c>
      <c r="S696" s="48">
        <f>IFERROR(__xludf.DUMMYFUNCTION("""COMPUTED_VALUE"""),8.01)</f>
        <v>8.01</v>
      </c>
      <c r="T696" s="48">
        <f>IFERROR(__xludf.DUMMYFUNCTION("""COMPUTED_VALUE"""),7.99)</f>
        <v>7.99</v>
      </c>
      <c r="U696" s="48">
        <f>IFERROR(__xludf.DUMMYFUNCTION("""COMPUTED_VALUE"""),7.86)</f>
        <v>7.86</v>
      </c>
      <c r="V696" s="48">
        <f>IFERROR(__xludf.DUMMYFUNCTION("""COMPUTED_VALUE"""),7.78)</f>
        <v>7.78</v>
      </c>
      <c r="W696" s="14">
        <f>IFERROR(__xludf.DUMMYFUNCTION("""COMPUTED_VALUE"""),7.892)</f>
        <v>7.892</v>
      </c>
      <c r="X696" s="14">
        <f>IFERROR(__xludf.DUMMYFUNCTION("""COMPUTED_VALUE"""),17.1)</f>
        <v>17.1</v>
      </c>
      <c r="Y696" s="14">
        <f>IFERROR(__xludf.DUMMYFUNCTION("""COMPUTED_VALUE"""),17.2)</f>
        <v>17.2</v>
      </c>
      <c r="Z696" s="14">
        <f>IFERROR(__xludf.DUMMYFUNCTION("""COMPUTED_VALUE"""),17.6)</f>
        <v>17.6</v>
      </c>
      <c r="AA696" s="14">
        <f>IFERROR(__xludf.DUMMYFUNCTION("""COMPUTED_VALUE"""),18.3)</f>
        <v>18.3</v>
      </c>
      <c r="AB696" s="14">
        <f>IFERROR(__xludf.DUMMYFUNCTION("""COMPUTED_VALUE"""),18.3)</f>
        <v>18.3</v>
      </c>
      <c r="AC696" s="14">
        <f>IFERROR(__xludf.DUMMYFUNCTION("""COMPUTED_VALUE"""),17.7)</f>
        <v>17.7</v>
      </c>
      <c r="AD696" s="48">
        <f>IFERROR(__xludf.DUMMYFUNCTION("""COMPUTED_VALUE"""),494.0)</f>
        <v>494</v>
      </c>
      <c r="AE696" s="48">
        <f>IFERROR(__xludf.DUMMYFUNCTION("""COMPUTED_VALUE"""),583.0)</f>
        <v>583</v>
      </c>
      <c r="AF696" s="48">
        <f>IFERROR(__xludf.DUMMYFUNCTION("""COMPUTED_VALUE"""),586.0)</f>
        <v>586</v>
      </c>
      <c r="AG696" s="48">
        <f>IFERROR(__xludf.DUMMYFUNCTION("""COMPUTED_VALUE"""),554.0)</f>
        <v>554</v>
      </c>
      <c r="AH696" s="48">
        <f>IFERROR(__xludf.DUMMYFUNCTION("""COMPUTED_VALUE"""),540.0)</f>
        <v>540</v>
      </c>
      <c r="AI696" s="14">
        <f>IFERROR(__xludf.DUMMYFUNCTION("""COMPUTED_VALUE"""),551.4)</f>
        <v>551.4</v>
      </c>
      <c r="AJ696" s="14">
        <f>IFERROR(__xludf.DUMMYFUNCTION("""COMPUTED_VALUE"""),0.88)</f>
        <v>0.88</v>
      </c>
      <c r="AK696" s="14">
        <f>IFERROR(__xludf.DUMMYFUNCTION("""COMPUTED_VALUE"""),0.98)</f>
        <v>0.98</v>
      </c>
      <c r="AL696" s="14">
        <f>IFERROR(__xludf.DUMMYFUNCTION("""COMPUTED_VALUE"""),0.82)</f>
        <v>0.82</v>
      </c>
      <c r="AM696" s="14">
        <f>IFERROR(__xludf.DUMMYFUNCTION("""COMPUTED_VALUE"""),1.06)</f>
        <v>1.06</v>
      </c>
      <c r="AN696" s="14">
        <f>IFERROR(__xludf.DUMMYFUNCTION("""COMPUTED_VALUE"""),0.8)</f>
        <v>0.8</v>
      </c>
      <c r="AO696" s="14">
        <f>IFERROR(__xludf.DUMMYFUNCTION("""COMPUTED_VALUE"""),0.908)</f>
        <v>0.908</v>
      </c>
      <c r="AP696" s="14">
        <f>IFERROR(__xludf.DUMMYFUNCTION("""COMPUTED_VALUE"""),152.0)</f>
        <v>152</v>
      </c>
      <c r="AQ696" s="14">
        <f>IFERROR(__xludf.DUMMYFUNCTION("""COMPUTED_VALUE"""),223.0)</f>
        <v>223</v>
      </c>
      <c r="AR696" s="14">
        <f>IFERROR(__xludf.DUMMYFUNCTION("""COMPUTED_VALUE"""),157.0)</f>
        <v>157</v>
      </c>
      <c r="AS696" s="14">
        <f>IFERROR(__xludf.DUMMYFUNCTION("""COMPUTED_VALUE"""),102.0)</f>
        <v>102</v>
      </c>
      <c r="AT696" s="14">
        <f>IFERROR(__xludf.DUMMYFUNCTION("""COMPUTED_VALUE"""),3.07)</f>
        <v>3.07</v>
      </c>
      <c r="AU696" s="14">
        <f>IFERROR(__xludf.DUMMYFUNCTION("""COMPUTED_VALUE"""),1.77E8)</f>
        <v>177000000</v>
      </c>
      <c r="AV696" s="14">
        <f>IFERROR(__xludf.DUMMYFUNCTION("""COMPUTED_VALUE"""),6.98)</f>
        <v>6.98</v>
      </c>
      <c r="AW696" s="14">
        <f>IFERROR(__xludf.DUMMYFUNCTION("""COMPUTED_VALUE"""),50.4)</f>
        <v>50.4</v>
      </c>
      <c r="AX696" s="14">
        <f>IFERROR(__xludf.DUMMYFUNCTION("""COMPUTED_VALUE"""),1.621E8)</f>
        <v>162100000</v>
      </c>
      <c r="AY696" s="14">
        <f>IFERROR(__xludf.DUMMYFUNCTION("""COMPUTED_VALUE"""),0.8)</f>
        <v>0.8</v>
      </c>
      <c r="AZ696" s="14">
        <f>IFERROR(__xludf.DUMMYFUNCTION("""COMPUTED_VALUE"""),0.007)</f>
        <v>0.007</v>
      </c>
      <c r="BA696" s="14">
        <f t="shared" si="1"/>
        <v>51.207</v>
      </c>
    </row>
    <row r="697" ht="14.25" customHeight="1">
      <c r="A697" s="10" t="str">
        <f>IFERROR(__xludf.DUMMYFUNCTION("""COMPUTED_VALUE"""),"260822DI01")</f>
        <v>260822DI01</v>
      </c>
      <c r="B697" s="12" t="str">
        <f>IFERROR(__xludf.DUMMYFUNCTION("""COMPUTED_VALUE"""),"COR-Victoria Norte")</f>
        <v>COR-Victoria Norte</v>
      </c>
      <c r="C697" s="12"/>
      <c r="D697" s="12"/>
      <c r="E697" s="44">
        <f>IFERROR(__xludf.DUMMYFUNCTION("""COMPUTED_VALUE"""),44799.0)</f>
        <v>44799</v>
      </c>
      <c r="F697" s="12" t="str">
        <f>IFERROR(__xludf.DUMMYFUNCTION("""COMPUTED_VALUE"""),"TIPO I")</f>
        <v>TIPO I</v>
      </c>
      <c r="G697" s="12" t="str">
        <f>IFERROR(__xludf.DUMMYFUNCTION("""COMPUTED_VALUE"""),"Se presenta un canal en concreto, se observan residuos solidos y vegetación al rededor del canal.
Durante el monitoreo se no se percibe olor y no se observa color, pero si se observan algas en la superficie del cauce. ")</f>
        <v>Se presenta un canal en concreto, se observan residuos solidos y vegetación al rededor del canal.
Durante el monitoreo se no se percibe olor y no se observa color, pero si se observan algas en la superficie del cauce. </v>
      </c>
      <c r="H697" s="45">
        <f>IFERROR(__xludf.DUMMYFUNCTION("""COMPUTED_VALUE"""),0.3333333333321207)</f>
        <v>0.3333333333</v>
      </c>
      <c r="I697" s="45">
        <f>IFERROR(__xludf.DUMMYFUNCTION("""COMPUTED_VALUE"""),0.4166666666678793)</f>
        <v>0.4166666667</v>
      </c>
      <c r="J697" s="12">
        <f>IFERROR(__xludf.DUMMYFUNCTION("""COMPUTED_VALUE"""),3.2)</f>
        <v>3.2</v>
      </c>
      <c r="K697" s="12">
        <f>IFERROR(__xludf.DUMMYFUNCTION("""COMPUTED_VALUE"""),0.14)</f>
        <v>0.14</v>
      </c>
      <c r="L697" s="14">
        <f>IFERROR(__xludf.DUMMYFUNCTION("""COMPUTED_VALUE"""),61.128)</f>
        <v>61.128</v>
      </c>
      <c r="M697" s="14">
        <f>IFERROR(__xludf.DUMMYFUNCTION("""COMPUTED_VALUE"""),64.595)</f>
        <v>64.595</v>
      </c>
      <c r="N697" s="14">
        <f>IFERROR(__xludf.DUMMYFUNCTION("""COMPUTED_VALUE"""),69.364)</f>
        <v>69.364</v>
      </c>
      <c r="O697" s="14">
        <f>IFERROR(__xludf.DUMMYFUNCTION("""COMPUTED_VALUE"""),65.173)</f>
        <v>65.173</v>
      </c>
      <c r="P697" s="14">
        <f>IFERROR(__xludf.DUMMYFUNCTION("""COMPUTED_VALUE"""),69.508)</f>
        <v>69.508</v>
      </c>
      <c r="Q697" s="14">
        <f>IFERROR(__xludf.DUMMYFUNCTION("""COMPUTED_VALUE"""),65.954)</f>
        <v>65.954</v>
      </c>
      <c r="R697" s="48">
        <f>IFERROR(__xludf.DUMMYFUNCTION("""COMPUTED_VALUE"""),6.73)</f>
        <v>6.73</v>
      </c>
      <c r="S697" s="48">
        <f>IFERROR(__xludf.DUMMYFUNCTION("""COMPUTED_VALUE"""),6.92)</f>
        <v>6.92</v>
      </c>
      <c r="T697" s="48">
        <f>IFERROR(__xludf.DUMMYFUNCTION("""COMPUTED_VALUE"""),6.95)</f>
        <v>6.95</v>
      </c>
      <c r="U697" s="48">
        <f>IFERROR(__xludf.DUMMYFUNCTION("""COMPUTED_VALUE"""),7.1)</f>
        <v>7.1</v>
      </c>
      <c r="V697" s="48">
        <f>IFERROR(__xludf.DUMMYFUNCTION("""COMPUTED_VALUE"""),7.15)</f>
        <v>7.15</v>
      </c>
      <c r="W697" s="14">
        <f>IFERROR(__xludf.DUMMYFUNCTION("""COMPUTED_VALUE"""),6.970000000000001)</f>
        <v>6.97</v>
      </c>
      <c r="X697" s="14">
        <f>IFERROR(__xludf.DUMMYFUNCTION("""COMPUTED_VALUE"""),16.7)</f>
        <v>16.7</v>
      </c>
      <c r="Y697" s="14">
        <f>IFERROR(__xludf.DUMMYFUNCTION("""COMPUTED_VALUE"""),17.3)</f>
        <v>17.3</v>
      </c>
      <c r="Z697" s="14">
        <f>IFERROR(__xludf.DUMMYFUNCTION("""COMPUTED_VALUE"""),17.3)</f>
        <v>17.3</v>
      </c>
      <c r="AA697" s="14">
        <f>IFERROR(__xludf.DUMMYFUNCTION("""COMPUTED_VALUE"""),18.0)</f>
        <v>18</v>
      </c>
      <c r="AB697" s="14">
        <f>IFERROR(__xludf.DUMMYFUNCTION("""COMPUTED_VALUE"""),18.3)</f>
        <v>18.3</v>
      </c>
      <c r="AC697" s="14">
        <f>IFERROR(__xludf.DUMMYFUNCTION("""COMPUTED_VALUE"""),17.52)</f>
        <v>17.52</v>
      </c>
      <c r="AD697" s="48">
        <f>IFERROR(__xludf.DUMMYFUNCTION("""COMPUTED_VALUE"""),328.0)</f>
        <v>328</v>
      </c>
      <c r="AE697" s="48">
        <f>IFERROR(__xludf.DUMMYFUNCTION("""COMPUTED_VALUE"""),345.0)</f>
        <v>345</v>
      </c>
      <c r="AF697" s="48">
        <f>IFERROR(__xludf.DUMMYFUNCTION("""COMPUTED_VALUE"""),345.0)</f>
        <v>345</v>
      </c>
      <c r="AG697" s="48">
        <f>IFERROR(__xludf.DUMMYFUNCTION("""COMPUTED_VALUE"""),357.0)</f>
        <v>357</v>
      </c>
      <c r="AH697" s="48">
        <f>IFERROR(__xludf.DUMMYFUNCTION("""COMPUTED_VALUE"""),368.0)</f>
        <v>368</v>
      </c>
      <c r="AI697" s="14">
        <f>IFERROR(__xludf.DUMMYFUNCTION("""COMPUTED_VALUE"""),348.6)</f>
        <v>348.6</v>
      </c>
      <c r="AJ697" s="14">
        <f>IFERROR(__xludf.DUMMYFUNCTION("""COMPUTED_VALUE"""),2.58)</f>
        <v>2.58</v>
      </c>
      <c r="AK697" s="14">
        <f>IFERROR(__xludf.DUMMYFUNCTION("""COMPUTED_VALUE"""),2.8)</f>
        <v>2.8</v>
      </c>
      <c r="AL697" s="14">
        <f>IFERROR(__xludf.DUMMYFUNCTION("""COMPUTED_VALUE"""),2.76)</f>
        <v>2.76</v>
      </c>
      <c r="AM697" s="14">
        <f>IFERROR(__xludf.DUMMYFUNCTION("""COMPUTED_VALUE"""),2.89)</f>
        <v>2.89</v>
      </c>
      <c r="AN697" s="14">
        <f>IFERROR(__xludf.DUMMYFUNCTION("""COMPUTED_VALUE"""),2.96)</f>
        <v>2.96</v>
      </c>
      <c r="AO697" s="14">
        <f>IFERROR(__xludf.DUMMYFUNCTION("""COMPUTED_VALUE"""),2.7980000000000005)</f>
        <v>2.798</v>
      </c>
      <c r="AP697" s="14">
        <f>IFERROR(__xludf.DUMMYFUNCTION("""COMPUTED_VALUE"""),18.0)</f>
        <v>18</v>
      </c>
      <c r="AQ697" s="14">
        <f>IFERROR(__xludf.DUMMYFUNCTION("""COMPUTED_VALUE"""),23.0)</f>
        <v>23</v>
      </c>
      <c r="AR697" s="14">
        <f>IFERROR(__xludf.DUMMYFUNCTION("""COMPUTED_VALUE"""),11.0)</f>
        <v>11</v>
      </c>
      <c r="AS697" s="14">
        <f>IFERROR(__xludf.DUMMYFUNCTION("""COMPUTED_VALUE"""),1.2)</f>
        <v>1.2</v>
      </c>
      <c r="AT697" s="14">
        <f>IFERROR(__xludf.DUMMYFUNCTION("""COMPUTED_VALUE"""),0.9)</f>
        <v>0.9</v>
      </c>
      <c r="AU697" s="14">
        <f>IFERROR(__xludf.DUMMYFUNCTION("""COMPUTED_VALUE"""),1187000.0)</f>
        <v>1187000</v>
      </c>
      <c r="AV697" s="14">
        <f>IFERROR(__xludf.DUMMYFUNCTION("""COMPUTED_VALUE"""),0.79)</f>
        <v>0.79</v>
      </c>
      <c r="AW697" s="14">
        <f>IFERROR(__xludf.DUMMYFUNCTION("""COMPUTED_VALUE"""),12.0)</f>
        <v>12</v>
      </c>
      <c r="AX697" s="14">
        <f>IFERROR(__xludf.DUMMYFUNCTION("""COMPUTED_VALUE"""),983000.0)</f>
        <v>983000</v>
      </c>
      <c r="AY697" s="14">
        <f>IFERROR(__xludf.DUMMYFUNCTION("""COMPUTED_VALUE"""),0.7)</f>
        <v>0.7</v>
      </c>
      <c r="AZ697" s="14">
        <f>IFERROR(__xludf.DUMMYFUNCTION("""COMPUTED_VALUE"""),0.162)</f>
        <v>0.162</v>
      </c>
      <c r="BA697" s="14">
        <f t="shared" si="1"/>
        <v>12.862</v>
      </c>
    </row>
    <row r="698" ht="14.25" customHeight="1">
      <c r="A698" s="10" t="str">
        <f>IFERROR(__xludf.DUMMYFUNCTION("""COMPUTED_VALUE"""),"240822MP02")</f>
        <v>240822MP02</v>
      </c>
      <c r="B698" s="12" t="str">
        <f>IFERROR(__xludf.DUMMYFUNCTION("""COMPUTED_VALUE"""),"QZA-Meissen")</f>
        <v>QZA-Meissen</v>
      </c>
      <c r="C698" s="12"/>
      <c r="D698" s="12"/>
      <c r="E698" s="44">
        <f>IFERROR(__xludf.DUMMYFUNCTION("""COMPUTED_VALUE"""),44797.0)</f>
        <v>44797</v>
      </c>
      <c r="F698" s="12" t="str">
        <f>IFERROR(__xludf.DUMMYFUNCTION("""COMPUTED_VALUE"""),"TIPO I")</f>
        <v>TIPO I</v>
      </c>
      <c r="G698" s="12" t="str">
        <f>IFERROR(__xludf.DUMMYFUNCTION("""COMPUTED_VALUE"""),"Se percibe olor y se observa coloración y sedimentos.
Altura: 2581 msnm")</f>
        <v>Se percibe olor y se observa coloración y sedimentos.
Altura: 2581 msnm</v>
      </c>
      <c r="H698" s="45">
        <f>IFERROR(__xludf.DUMMYFUNCTION("""COMPUTED_VALUE"""),0.6666666666678793)</f>
        <v>0.6666666667</v>
      </c>
      <c r="I698" s="45">
        <f>IFERROR(__xludf.DUMMYFUNCTION("""COMPUTED_VALUE"""),0.75)</f>
        <v>0.75</v>
      </c>
      <c r="J698" s="12">
        <f>IFERROR(__xludf.DUMMYFUNCTION("""COMPUTED_VALUE"""),12.0)</f>
        <v>12</v>
      </c>
      <c r="K698" s="12">
        <f>IFERROR(__xludf.DUMMYFUNCTION("""COMPUTED_VALUE"""),0.08)</f>
        <v>0.08</v>
      </c>
      <c r="L698" s="14">
        <f>IFERROR(__xludf.DUMMYFUNCTION("""COMPUTED_VALUE"""),433.702)</f>
        <v>433.702</v>
      </c>
      <c r="M698" s="14">
        <f>IFERROR(__xludf.DUMMYFUNCTION("""COMPUTED_VALUE"""),412.496)</f>
        <v>412.496</v>
      </c>
      <c r="N698" s="14">
        <f>IFERROR(__xludf.DUMMYFUNCTION("""COMPUTED_VALUE"""),420.14)</f>
        <v>420.14</v>
      </c>
      <c r="O698" s="14">
        <f>IFERROR(__xludf.DUMMYFUNCTION("""COMPUTED_VALUE"""),424.235)</f>
        <v>424.235</v>
      </c>
      <c r="P698" s="14">
        <f>IFERROR(__xludf.DUMMYFUNCTION("""COMPUTED_VALUE"""),411.513)</f>
        <v>411.513</v>
      </c>
      <c r="Q698" s="14">
        <f>IFERROR(__xludf.DUMMYFUNCTION("""COMPUTED_VALUE"""),420.417)</f>
        <v>420.417</v>
      </c>
      <c r="R698" s="48">
        <f>IFERROR(__xludf.DUMMYFUNCTION("""COMPUTED_VALUE"""),7.3)</f>
        <v>7.3</v>
      </c>
      <c r="S698" s="48">
        <f>IFERROR(__xludf.DUMMYFUNCTION("""COMPUTED_VALUE"""),7.27)</f>
        <v>7.27</v>
      </c>
      <c r="T698" s="48">
        <f>IFERROR(__xludf.DUMMYFUNCTION("""COMPUTED_VALUE"""),7.02)</f>
        <v>7.02</v>
      </c>
      <c r="U698" s="48">
        <f>IFERROR(__xludf.DUMMYFUNCTION("""COMPUTED_VALUE"""),7.06)</f>
        <v>7.06</v>
      </c>
      <c r="V698" s="48">
        <f>IFERROR(__xludf.DUMMYFUNCTION("""COMPUTED_VALUE"""),6.95)</f>
        <v>6.95</v>
      </c>
      <c r="W698" s="14">
        <f>IFERROR(__xludf.DUMMYFUNCTION("""COMPUTED_VALUE"""),7.12)</f>
        <v>7.12</v>
      </c>
      <c r="X698" s="14">
        <f>IFERROR(__xludf.DUMMYFUNCTION("""COMPUTED_VALUE"""),19.4)</f>
        <v>19.4</v>
      </c>
      <c r="Y698" s="14">
        <f>IFERROR(__xludf.DUMMYFUNCTION("""COMPUTED_VALUE"""),19.3)</f>
        <v>19.3</v>
      </c>
      <c r="Z698" s="14">
        <f>IFERROR(__xludf.DUMMYFUNCTION("""COMPUTED_VALUE"""),18.7)</f>
        <v>18.7</v>
      </c>
      <c r="AA698" s="14">
        <f>IFERROR(__xludf.DUMMYFUNCTION("""COMPUTED_VALUE"""),18.4)</f>
        <v>18.4</v>
      </c>
      <c r="AB698" s="14">
        <f>IFERROR(__xludf.DUMMYFUNCTION("""COMPUTED_VALUE"""),17.9)</f>
        <v>17.9</v>
      </c>
      <c r="AC698" s="14">
        <f>IFERROR(__xludf.DUMMYFUNCTION("""COMPUTED_VALUE"""),18.740000000000002)</f>
        <v>18.74</v>
      </c>
      <c r="AD698" s="48">
        <f>IFERROR(__xludf.DUMMYFUNCTION("""COMPUTED_VALUE"""),707.0)</f>
        <v>707</v>
      </c>
      <c r="AE698" s="48">
        <f>IFERROR(__xludf.DUMMYFUNCTION("""COMPUTED_VALUE"""),708.0)</f>
        <v>708</v>
      </c>
      <c r="AF698" s="48">
        <f>IFERROR(__xludf.DUMMYFUNCTION("""COMPUTED_VALUE"""),710.0)</f>
        <v>710</v>
      </c>
      <c r="AG698" s="48">
        <f>IFERROR(__xludf.DUMMYFUNCTION("""COMPUTED_VALUE"""),712.0)</f>
        <v>712</v>
      </c>
      <c r="AH698" s="48">
        <f>IFERROR(__xludf.DUMMYFUNCTION("""COMPUTED_VALUE"""),688.0)</f>
        <v>688</v>
      </c>
      <c r="AI698" s="14">
        <f>IFERROR(__xludf.DUMMYFUNCTION("""COMPUTED_VALUE"""),705.0)</f>
        <v>705</v>
      </c>
      <c r="AJ698" s="14">
        <f>IFERROR(__xludf.DUMMYFUNCTION("""COMPUTED_VALUE"""),2.23)</f>
        <v>2.23</v>
      </c>
      <c r="AK698" s="14">
        <f>IFERROR(__xludf.DUMMYFUNCTION("""COMPUTED_VALUE"""),2.06)</f>
        <v>2.06</v>
      </c>
      <c r="AL698" s="14">
        <f>IFERROR(__xludf.DUMMYFUNCTION("""COMPUTED_VALUE"""),2.5)</f>
        <v>2.5</v>
      </c>
      <c r="AM698" s="14">
        <f>IFERROR(__xludf.DUMMYFUNCTION("""COMPUTED_VALUE"""),2.05)</f>
        <v>2.05</v>
      </c>
      <c r="AN698" s="14">
        <f>IFERROR(__xludf.DUMMYFUNCTION("""COMPUTED_VALUE"""),2.93)</f>
        <v>2.93</v>
      </c>
      <c r="AO698" s="14">
        <f>IFERROR(__xludf.DUMMYFUNCTION("""COMPUTED_VALUE"""),2.354)</f>
        <v>2.354</v>
      </c>
      <c r="AP698" s="14">
        <f>IFERROR(__xludf.DUMMYFUNCTION("""COMPUTED_VALUE"""),171.0)</f>
        <v>171</v>
      </c>
      <c r="AQ698" s="14">
        <f>IFERROR(__xludf.DUMMYFUNCTION("""COMPUTED_VALUE"""),216.0)</f>
        <v>216</v>
      </c>
      <c r="AR698" s="14">
        <f>IFERROR(__xludf.DUMMYFUNCTION("""COMPUTED_VALUE"""),190.0)</f>
        <v>190</v>
      </c>
      <c r="AS698" s="14">
        <f>IFERROR(__xludf.DUMMYFUNCTION("""COMPUTED_VALUE"""),45.0)</f>
        <v>45</v>
      </c>
      <c r="AT698" s="14">
        <f>IFERROR(__xludf.DUMMYFUNCTION("""COMPUTED_VALUE"""),6.37)</f>
        <v>6.37</v>
      </c>
      <c r="AU698" s="14">
        <f>IFERROR(__xludf.DUMMYFUNCTION("""COMPUTED_VALUE"""),6690000.0)</f>
        <v>6690000</v>
      </c>
      <c r="AV698" s="14">
        <f>IFERROR(__xludf.DUMMYFUNCTION("""COMPUTED_VALUE"""),5.01)</f>
        <v>5.01</v>
      </c>
      <c r="AW698" s="14">
        <f>IFERROR(__xludf.DUMMYFUNCTION("""COMPUTED_VALUE"""),43.1)</f>
        <v>43.1</v>
      </c>
      <c r="AX698" s="14">
        <f>IFERROR(__xludf.DUMMYFUNCTION("""COMPUTED_VALUE"""),569000.0)</f>
        <v>569000</v>
      </c>
      <c r="AY698" s="14">
        <f>IFERROR(__xludf.DUMMYFUNCTION("""COMPUTED_VALUE"""),0.9)</f>
        <v>0.9</v>
      </c>
      <c r="AZ698" s="14">
        <f>IFERROR(__xludf.DUMMYFUNCTION("""COMPUTED_VALUE"""),0.007)</f>
        <v>0.007</v>
      </c>
      <c r="BA698" s="14">
        <f t="shared" si="1"/>
        <v>44.007</v>
      </c>
    </row>
    <row r="699" ht="14.25" customHeight="1">
      <c r="A699" s="10" t="str">
        <f>IFERROR(__xludf.DUMMYFUNCTION("""COMPUTED_VALUE"""),"250822WI02")</f>
        <v>250822WI02</v>
      </c>
      <c r="B699" s="12" t="str">
        <f>IFERROR(__xludf.DUMMYFUNCTION("""COMPUTED_VALUE"""),"CRN-La Castellana")</f>
        <v>CRN-La Castellana</v>
      </c>
      <c r="C699" s="12"/>
      <c r="D699" s="12"/>
      <c r="E699" s="44">
        <f>IFERROR(__xludf.DUMMYFUNCTION("""COMPUTED_VALUE"""),44798.0)</f>
        <v>44798</v>
      </c>
      <c r="F699" s="12" t="str">
        <f>IFERROR(__xludf.DUMMYFUNCTION("""COMPUTED_VALUE"""),"TIPO I")</f>
        <v>TIPO I</v>
      </c>
      <c r="G699" s="12" t="str">
        <f>IFERROR(__xludf.DUMMYFUNCTION("""COMPUTED_VALUE"""),"Se  percibe olor y se observa coloración y material flotante. 
Altura: 2552 msnm")</f>
        <v>Se  percibe olor y se observa coloración y material flotante. 
Altura: 2552 msnm</v>
      </c>
      <c r="H699" s="45">
        <f>IFERROR(__xludf.DUMMYFUNCTION("""COMPUTED_VALUE"""),0.5)</f>
        <v>0.5</v>
      </c>
      <c r="I699" s="45">
        <f>IFERROR(__xludf.DUMMYFUNCTION("""COMPUTED_VALUE"""),0.5833333333321207)</f>
        <v>0.5833333333</v>
      </c>
      <c r="J699" s="12">
        <f>IFERROR(__xludf.DUMMYFUNCTION("""COMPUTED_VALUE"""),5.4)</f>
        <v>5.4</v>
      </c>
      <c r="K699" s="12">
        <f>IFERROR(__xludf.DUMMYFUNCTION("""COMPUTED_VALUE"""),0.17)</f>
        <v>0.17</v>
      </c>
      <c r="L699" s="14">
        <f>IFERROR(__xludf.DUMMYFUNCTION("""COMPUTED_VALUE"""),202.936)</f>
        <v>202.936</v>
      </c>
      <c r="M699" s="14">
        <f>IFERROR(__xludf.DUMMYFUNCTION("""COMPUTED_VALUE"""),208.279)</f>
        <v>208.279</v>
      </c>
      <c r="N699" s="14">
        <f>IFERROR(__xludf.DUMMYFUNCTION("""COMPUTED_VALUE"""),210.56)</f>
        <v>210.56</v>
      </c>
      <c r="O699" s="14">
        <f>IFERROR(__xludf.DUMMYFUNCTION("""COMPUTED_VALUE"""),215.13)</f>
        <v>215.13</v>
      </c>
      <c r="P699" s="14">
        <f>IFERROR(__xludf.DUMMYFUNCTION("""COMPUTED_VALUE"""),223.633)</f>
        <v>223.633</v>
      </c>
      <c r="Q699" s="14">
        <f>IFERROR(__xludf.DUMMYFUNCTION("""COMPUTED_VALUE"""),212.108)</f>
        <v>212.108</v>
      </c>
      <c r="R699" s="48">
        <f>IFERROR(__xludf.DUMMYFUNCTION("""COMPUTED_VALUE"""),7.68)</f>
        <v>7.68</v>
      </c>
      <c r="S699" s="48">
        <f>IFERROR(__xludf.DUMMYFUNCTION("""COMPUTED_VALUE"""),7.84)</f>
        <v>7.84</v>
      </c>
      <c r="T699" s="48">
        <f>IFERROR(__xludf.DUMMYFUNCTION("""COMPUTED_VALUE"""),7.95)</f>
        <v>7.95</v>
      </c>
      <c r="U699" s="48">
        <f>IFERROR(__xludf.DUMMYFUNCTION("""COMPUTED_VALUE"""),7.94)</f>
        <v>7.94</v>
      </c>
      <c r="V699" s="48">
        <f>IFERROR(__xludf.DUMMYFUNCTION("""COMPUTED_VALUE"""),7.98)</f>
        <v>7.98</v>
      </c>
      <c r="W699" s="14">
        <f>IFERROR(__xludf.DUMMYFUNCTION("""COMPUTED_VALUE"""),7.878)</f>
        <v>7.878</v>
      </c>
      <c r="X699" s="14">
        <f>IFERROR(__xludf.DUMMYFUNCTION("""COMPUTED_VALUE"""),18.8)</f>
        <v>18.8</v>
      </c>
      <c r="Y699" s="14">
        <f>IFERROR(__xludf.DUMMYFUNCTION("""COMPUTED_VALUE"""),19.3)</f>
        <v>19.3</v>
      </c>
      <c r="Z699" s="14">
        <f>IFERROR(__xludf.DUMMYFUNCTION("""COMPUTED_VALUE"""),19.5)</f>
        <v>19.5</v>
      </c>
      <c r="AA699" s="14">
        <f>IFERROR(__xludf.DUMMYFUNCTION("""COMPUTED_VALUE"""),19.1)</f>
        <v>19.1</v>
      </c>
      <c r="AB699" s="14">
        <f>IFERROR(__xludf.DUMMYFUNCTION("""COMPUTED_VALUE"""),19.5)</f>
        <v>19.5</v>
      </c>
      <c r="AC699" s="14">
        <f>IFERROR(__xludf.DUMMYFUNCTION("""COMPUTED_VALUE"""),19.240000000000002)</f>
        <v>19.24</v>
      </c>
      <c r="AD699" s="48">
        <f>IFERROR(__xludf.DUMMYFUNCTION("""COMPUTED_VALUE"""),563.0)</f>
        <v>563</v>
      </c>
      <c r="AE699" s="48">
        <f>IFERROR(__xludf.DUMMYFUNCTION("""COMPUTED_VALUE"""),616.0)</f>
        <v>616</v>
      </c>
      <c r="AF699" s="48">
        <f>IFERROR(__xludf.DUMMYFUNCTION("""COMPUTED_VALUE"""),628.0)</f>
        <v>628</v>
      </c>
      <c r="AG699" s="48">
        <f>IFERROR(__xludf.DUMMYFUNCTION("""COMPUTED_VALUE"""),646.0)</f>
        <v>646</v>
      </c>
      <c r="AH699" s="48">
        <f>IFERROR(__xludf.DUMMYFUNCTION("""COMPUTED_VALUE"""),671.0)</f>
        <v>671</v>
      </c>
      <c r="AI699" s="14">
        <f>IFERROR(__xludf.DUMMYFUNCTION("""COMPUTED_VALUE"""),624.8)</f>
        <v>624.8</v>
      </c>
      <c r="AJ699" s="14">
        <f>IFERROR(__xludf.DUMMYFUNCTION("""COMPUTED_VALUE"""),1.31)</f>
        <v>1.31</v>
      </c>
      <c r="AK699" s="14">
        <f>IFERROR(__xludf.DUMMYFUNCTION("""COMPUTED_VALUE"""),0.97)</f>
        <v>0.97</v>
      </c>
      <c r="AL699" s="14">
        <f>IFERROR(__xludf.DUMMYFUNCTION("""COMPUTED_VALUE"""),1.02)</f>
        <v>1.02</v>
      </c>
      <c r="AM699" s="14">
        <f>IFERROR(__xludf.DUMMYFUNCTION("""COMPUTED_VALUE"""),1.11)</f>
        <v>1.11</v>
      </c>
      <c r="AN699" s="14">
        <f>IFERROR(__xludf.DUMMYFUNCTION("""COMPUTED_VALUE"""),1.0)</f>
        <v>1</v>
      </c>
      <c r="AO699" s="14">
        <f>IFERROR(__xludf.DUMMYFUNCTION("""COMPUTED_VALUE"""),1.082)</f>
        <v>1.082</v>
      </c>
      <c r="AP699" s="14">
        <f>IFERROR(__xludf.DUMMYFUNCTION("""COMPUTED_VALUE"""),208.0)</f>
        <v>208</v>
      </c>
      <c r="AQ699" s="14">
        <f>IFERROR(__xludf.DUMMYFUNCTION("""COMPUTED_VALUE"""),242.0)</f>
        <v>242</v>
      </c>
      <c r="AR699" s="14">
        <f>IFERROR(__xludf.DUMMYFUNCTION("""COMPUTED_VALUE"""),159.0)</f>
        <v>159</v>
      </c>
      <c r="AS699" s="14">
        <f>IFERROR(__xludf.DUMMYFUNCTION("""COMPUTED_VALUE"""),112.0)</f>
        <v>112</v>
      </c>
      <c r="AT699" s="14">
        <f>IFERROR(__xludf.DUMMYFUNCTION("""COMPUTED_VALUE"""),9.2)</f>
        <v>9.2</v>
      </c>
      <c r="AU699" s="14">
        <f>IFERROR(__xludf.DUMMYFUNCTION("""COMPUTED_VALUE"""),8010000.0)</f>
        <v>8010000</v>
      </c>
      <c r="AV699" s="14">
        <f>IFERROR(__xludf.DUMMYFUNCTION("""COMPUTED_VALUE"""),4.2)</f>
        <v>4.2</v>
      </c>
      <c r="AW699" s="14">
        <f>IFERROR(__xludf.DUMMYFUNCTION("""COMPUTED_VALUE"""),40.3)</f>
        <v>40.3</v>
      </c>
      <c r="AX699" s="14">
        <f>IFERROR(__xludf.DUMMYFUNCTION("""COMPUTED_VALUE"""),657000.0)</f>
        <v>657000</v>
      </c>
      <c r="AY699" s="14">
        <f>IFERROR(__xludf.DUMMYFUNCTION("""COMPUTED_VALUE"""),0.8)</f>
        <v>0.8</v>
      </c>
      <c r="AZ699" s="14">
        <f>IFERROR(__xludf.DUMMYFUNCTION("""COMPUTED_VALUE"""),0.007)</f>
        <v>0.007</v>
      </c>
      <c r="BA699" s="14">
        <f t="shared" si="1"/>
        <v>41.107</v>
      </c>
    </row>
    <row r="700" ht="14.25" customHeight="1">
      <c r="A700" s="10" t="str">
        <f>IFERROR(__xludf.DUMMYFUNCTION("""COMPUTED_VALUE"""),"250822FE01")</f>
        <v>250822FE01</v>
      </c>
      <c r="B700" s="12" t="str">
        <f>IFERROR(__xludf.DUMMYFUNCTION("""COMPUTED_VALUE"""),"CRN-El Virrey")</f>
        <v>CRN-El Virrey</v>
      </c>
      <c r="C700" s="12"/>
      <c r="D700" s="12"/>
      <c r="E700" s="44">
        <f>IFERROR(__xludf.DUMMYFUNCTION("""COMPUTED_VALUE"""),44798.0)</f>
        <v>44798</v>
      </c>
      <c r="F700" s="12" t="str">
        <f>IFERROR(__xludf.DUMMYFUNCTION("""COMPUTED_VALUE"""),"TIPO I")</f>
        <v>TIPO I</v>
      </c>
      <c r="G700" s="12" t="str">
        <f>IFERROR(__xludf.DUMMYFUNCTION("""COMPUTED_VALUE"""),"Se percibe olor y se observa coloración
Altura: 2584 msnm ")</f>
        <v>Se percibe olor y se observa coloración
Altura: 2584 msnm </v>
      </c>
      <c r="H700" s="45">
        <f>IFERROR(__xludf.DUMMYFUNCTION("""COMPUTED_VALUE"""),0.3333333333321207)</f>
        <v>0.3333333333</v>
      </c>
      <c r="I700" s="45">
        <f>IFERROR(__xludf.DUMMYFUNCTION("""COMPUTED_VALUE"""),0.4166666666678793)</f>
        <v>0.4166666667</v>
      </c>
      <c r="J700" s="12">
        <f>IFERROR(__xludf.DUMMYFUNCTION("""COMPUTED_VALUE"""),2.3)</f>
        <v>2.3</v>
      </c>
      <c r="K700" s="12">
        <f>IFERROR(__xludf.DUMMYFUNCTION("""COMPUTED_VALUE"""),0.2)</f>
        <v>0.2</v>
      </c>
      <c r="L700" s="14">
        <f>IFERROR(__xludf.DUMMYFUNCTION("""COMPUTED_VALUE"""),248.361)</f>
        <v>248.361</v>
      </c>
      <c r="M700" s="14">
        <f>IFERROR(__xludf.DUMMYFUNCTION("""COMPUTED_VALUE"""),251.221)</f>
        <v>251.221</v>
      </c>
      <c r="N700" s="14">
        <f>IFERROR(__xludf.DUMMYFUNCTION("""COMPUTED_VALUE"""),252.863)</f>
        <v>252.863</v>
      </c>
      <c r="O700" s="14">
        <f>IFERROR(__xludf.DUMMYFUNCTION("""COMPUTED_VALUE"""),255.226)</f>
        <v>255.226</v>
      </c>
      <c r="P700" s="14">
        <f>IFERROR(__xludf.DUMMYFUNCTION("""COMPUTED_VALUE"""),257.609)</f>
        <v>257.609</v>
      </c>
      <c r="Q700" s="14">
        <f>IFERROR(__xludf.DUMMYFUNCTION("""COMPUTED_VALUE"""),253.056)</f>
        <v>253.056</v>
      </c>
      <c r="R700" s="48">
        <f>IFERROR(__xludf.DUMMYFUNCTION("""COMPUTED_VALUE"""),7.56)</f>
        <v>7.56</v>
      </c>
      <c r="S700" s="48">
        <f>IFERROR(__xludf.DUMMYFUNCTION("""COMPUTED_VALUE"""),7.9)</f>
        <v>7.9</v>
      </c>
      <c r="T700" s="48">
        <f>IFERROR(__xludf.DUMMYFUNCTION("""COMPUTED_VALUE"""),7.59)</f>
        <v>7.59</v>
      </c>
      <c r="U700" s="48">
        <f>IFERROR(__xludf.DUMMYFUNCTION("""COMPUTED_VALUE"""),7.81)</f>
        <v>7.81</v>
      </c>
      <c r="V700" s="48">
        <f>IFERROR(__xludf.DUMMYFUNCTION("""COMPUTED_VALUE"""),7.54)</f>
        <v>7.54</v>
      </c>
      <c r="W700" s="14">
        <f>IFERROR(__xludf.DUMMYFUNCTION("""COMPUTED_VALUE"""),7.68)</f>
        <v>7.68</v>
      </c>
      <c r="X700" s="14">
        <f>IFERROR(__xludf.DUMMYFUNCTION("""COMPUTED_VALUE"""),19.39)</f>
        <v>19.39</v>
      </c>
      <c r="Y700" s="14">
        <f>IFERROR(__xludf.DUMMYFUNCTION("""COMPUTED_VALUE"""),19.78)</f>
        <v>19.78</v>
      </c>
      <c r="Z700" s="14">
        <f>IFERROR(__xludf.DUMMYFUNCTION("""COMPUTED_VALUE"""),19.82)</f>
        <v>19.82</v>
      </c>
      <c r="AA700" s="14">
        <f>IFERROR(__xludf.DUMMYFUNCTION("""COMPUTED_VALUE"""),19.83)</f>
        <v>19.83</v>
      </c>
      <c r="AB700" s="14">
        <f>IFERROR(__xludf.DUMMYFUNCTION("""COMPUTED_VALUE"""),19.82)</f>
        <v>19.82</v>
      </c>
      <c r="AC700" s="14">
        <f>IFERROR(__xludf.DUMMYFUNCTION("""COMPUTED_VALUE"""),19.727999999999998)</f>
        <v>19.728</v>
      </c>
      <c r="AD700" s="48">
        <f>IFERROR(__xludf.DUMMYFUNCTION("""COMPUTED_VALUE"""),448.0)</f>
        <v>448</v>
      </c>
      <c r="AE700" s="48">
        <f>IFERROR(__xludf.DUMMYFUNCTION("""COMPUTED_VALUE"""),442.0)</f>
        <v>442</v>
      </c>
      <c r="AF700" s="48">
        <f>IFERROR(__xludf.DUMMYFUNCTION("""COMPUTED_VALUE"""),408.0)</f>
        <v>408</v>
      </c>
      <c r="AG700" s="48">
        <f>IFERROR(__xludf.DUMMYFUNCTION("""COMPUTED_VALUE"""),411.0)</f>
        <v>411</v>
      </c>
      <c r="AH700" s="48">
        <f>IFERROR(__xludf.DUMMYFUNCTION("""COMPUTED_VALUE"""),410.0)</f>
        <v>410</v>
      </c>
      <c r="AI700" s="14">
        <f>IFERROR(__xludf.DUMMYFUNCTION("""COMPUTED_VALUE"""),423.8)</f>
        <v>423.8</v>
      </c>
      <c r="AJ700" s="14">
        <f>IFERROR(__xludf.DUMMYFUNCTION("""COMPUTED_VALUE"""),1.02)</f>
        <v>1.02</v>
      </c>
      <c r="AK700" s="14">
        <f>IFERROR(__xludf.DUMMYFUNCTION("""COMPUTED_VALUE"""),0.98)</f>
        <v>0.98</v>
      </c>
      <c r="AL700" s="14">
        <f>IFERROR(__xludf.DUMMYFUNCTION("""COMPUTED_VALUE"""),1.47)</f>
        <v>1.47</v>
      </c>
      <c r="AM700" s="14">
        <f>IFERROR(__xludf.DUMMYFUNCTION("""COMPUTED_VALUE"""),1.23)</f>
        <v>1.23</v>
      </c>
      <c r="AN700" s="14">
        <f>IFERROR(__xludf.DUMMYFUNCTION("""COMPUTED_VALUE"""),1.48)</f>
        <v>1.48</v>
      </c>
      <c r="AO700" s="14">
        <f>IFERROR(__xludf.DUMMYFUNCTION("""COMPUTED_VALUE"""),1.236)</f>
        <v>1.236</v>
      </c>
      <c r="AP700" s="14">
        <f>IFERROR(__xludf.DUMMYFUNCTION("""COMPUTED_VALUE"""),208.0)</f>
        <v>208</v>
      </c>
      <c r="AQ700" s="14">
        <f>IFERROR(__xludf.DUMMYFUNCTION("""COMPUTED_VALUE"""),234.0)</f>
        <v>234</v>
      </c>
      <c r="AR700" s="14">
        <f>IFERROR(__xludf.DUMMYFUNCTION("""COMPUTED_VALUE"""),275.0)</f>
        <v>275</v>
      </c>
      <c r="AS700" s="14">
        <f>IFERROR(__xludf.DUMMYFUNCTION("""COMPUTED_VALUE"""),84.0)</f>
        <v>84</v>
      </c>
      <c r="AT700" s="14">
        <f>IFERROR(__xludf.DUMMYFUNCTION("""COMPUTED_VALUE"""),5.77)</f>
        <v>5.77</v>
      </c>
      <c r="AU700" s="14">
        <f>IFERROR(__xludf.DUMMYFUNCTION("""COMPUTED_VALUE"""),6330000.0)</f>
        <v>6330000</v>
      </c>
      <c r="AV700" s="14">
        <f>IFERROR(__xludf.DUMMYFUNCTION("""COMPUTED_VALUE"""),4.78)</f>
        <v>4.78</v>
      </c>
      <c r="AW700" s="14">
        <f>IFERROR(__xludf.DUMMYFUNCTION("""COMPUTED_VALUE"""),43.1)</f>
        <v>43.1</v>
      </c>
      <c r="AX700" s="14">
        <f>IFERROR(__xludf.DUMMYFUNCTION("""COMPUTED_VALUE"""),588000.0)</f>
        <v>588000</v>
      </c>
      <c r="AY700" s="14">
        <f>IFERROR(__xludf.DUMMYFUNCTION("""COMPUTED_VALUE"""),1.0)</f>
        <v>1</v>
      </c>
      <c r="AZ700" s="14">
        <f>IFERROR(__xludf.DUMMYFUNCTION("""COMPUTED_VALUE"""),0.007)</f>
        <v>0.007</v>
      </c>
      <c r="BA700" s="14">
        <f t="shared" si="1"/>
        <v>44.107</v>
      </c>
    </row>
    <row r="701" ht="14.25" customHeight="1">
      <c r="A701" s="10" t="str">
        <f>IFERROR(__xludf.DUMMYFUNCTION("""COMPUTED_VALUE"""),"260822DI02")</f>
        <v>260822DI02</v>
      </c>
      <c r="B701" s="12" t="str">
        <f>IFERROR(__xludf.DUMMYFUNCTION("""COMPUTED_VALUE"""),"COR-Britalia")</f>
        <v>COR-Britalia</v>
      </c>
      <c r="C701" s="12"/>
      <c r="D701" s="12"/>
      <c r="E701" s="44">
        <f>IFERROR(__xludf.DUMMYFUNCTION("""COMPUTED_VALUE"""),44799.0)</f>
        <v>44799</v>
      </c>
      <c r="F701" s="12" t="str">
        <f>IFERROR(__xludf.DUMMYFUNCTION("""COMPUTED_VALUE"""),"TIPO I")</f>
        <v>TIPO I</v>
      </c>
      <c r="G701" s="12" t="str">
        <f>IFERROR(__xludf.DUMMYFUNCTION("""COMPUTED_VALUE"""),"No se observa color y no se percibe olor. Se observo una lamina de nata en la superficie del canal.
En la quinta alícuota se presentaron fuerte lluvias por este motivo no fue posible realizar la medición de parámetros ni el aforo de caudal.
Altura: 2575 m"&amp;"snm")</f>
        <v>No se observa color y no se percibe olor. Se observo una lamina de nata en la superficie del canal.
En la quinta alícuota se presentaron fuerte lluvias por este motivo no fue posible realizar la medición de parámetros ni el aforo de caudal.
Altura: 2575 msnm</v>
      </c>
      <c r="H701" s="45">
        <f>IFERROR(__xludf.DUMMYFUNCTION("""COMPUTED_VALUE"""),0.5)</f>
        <v>0.5</v>
      </c>
      <c r="I701" s="45">
        <f>IFERROR(__xludf.DUMMYFUNCTION("""COMPUTED_VALUE"""),0.5833333333321207)</f>
        <v>0.5833333333</v>
      </c>
      <c r="J701" s="12">
        <f>IFERROR(__xludf.DUMMYFUNCTION("""COMPUTED_VALUE"""),3.3)</f>
        <v>3.3</v>
      </c>
      <c r="K701" s="12">
        <f>IFERROR(__xludf.DUMMYFUNCTION("""COMPUTED_VALUE"""),0.07)</f>
        <v>0.07</v>
      </c>
      <c r="L701" s="14">
        <f>IFERROR(__xludf.DUMMYFUNCTION("""COMPUTED_VALUE"""),13.06)</f>
        <v>13.06</v>
      </c>
      <c r="M701" s="14">
        <f>IFERROR(__xludf.DUMMYFUNCTION("""COMPUTED_VALUE"""),13.57)</f>
        <v>13.57</v>
      </c>
      <c r="N701" s="14">
        <f>IFERROR(__xludf.DUMMYFUNCTION("""COMPUTED_VALUE"""),13.205)</f>
        <v>13.205</v>
      </c>
      <c r="O701" s="14">
        <f>IFERROR(__xludf.DUMMYFUNCTION("""COMPUTED_VALUE"""),13.539)</f>
        <v>13.539</v>
      </c>
      <c r="P701" s="14"/>
      <c r="Q701" s="14">
        <f>IFERROR(__xludf.DUMMYFUNCTION("""COMPUTED_VALUE"""),13.343)</f>
        <v>13.343</v>
      </c>
      <c r="R701" s="48">
        <f>IFERROR(__xludf.DUMMYFUNCTION("""COMPUTED_VALUE"""),6.79)</f>
        <v>6.79</v>
      </c>
      <c r="S701" s="48">
        <f>IFERROR(__xludf.DUMMYFUNCTION("""COMPUTED_VALUE"""),6.6)</f>
        <v>6.6</v>
      </c>
      <c r="T701" s="48">
        <f>IFERROR(__xludf.DUMMYFUNCTION("""COMPUTED_VALUE"""),6.67)</f>
        <v>6.67</v>
      </c>
      <c r="U701" s="48">
        <f>IFERROR(__xludf.DUMMYFUNCTION("""COMPUTED_VALUE"""),6.77)</f>
        <v>6.77</v>
      </c>
      <c r="V701" s="48"/>
      <c r="W701" s="14">
        <f>IFERROR(__xludf.DUMMYFUNCTION("""COMPUTED_VALUE"""),6.7075000000000005)</f>
        <v>6.7075</v>
      </c>
      <c r="X701" s="14">
        <f>IFERROR(__xludf.DUMMYFUNCTION("""COMPUTED_VALUE"""),19.0)</f>
        <v>19</v>
      </c>
      <c r="Y701" s="14">
        <f>IFERROR(__xludf.DUMMYFUNCTION("""COMPUTED_VALUE"""),19.3)</f>
        <v>19.3</v>
      </c>
      <c r="Z701" s="14">
        <f>IFERROR(__xludf.DUMMYFUNCTION("""COMPUTED_VALUE"""),19.1)</f>
        <v>19.1</v>
      </c>
      <c r="AA701" s="14">
        <f>IFERROR(__xludf.DUMMYFUNCTION("""COMPUTED_VALUE"""),18.4)</f>
        <v>18.4</v>
      </c>
      <c r="AB701" s="14"/>
      <c r="AC701" s="14">
        <f>IFERROR(__xludf.DUMMYFUNCTION("""COMPUTED_VALUE"""),18.95)</f>
        <v>18.95</v>
      </c>
      <c r="AD701" s="48">
        <f>IFERROR(__xludf.DUMMYFUNCTION("""COMPUTED_VALUE"""),278.0)</f>
        <v>278</v>
      </c>
      <c r="AE701" s="48">
        <f>IFERROR(__xludf.DUMMYFUNCTION("""COMPUTED_VALUE"""),279.0)</f>
        <v>279</v>
      </c>
      <c r="AF701" s="48">
        <f>IFERROR(__xludf.DUMMYFUNCTION("""COMPUTED_VALUE"""),282.0)</f>
        <v>282</v>
      </c>
      <c r="AG701" s="48">
        <f>IFERROR(__xludf.DUMMYFUNCTION("""COMPUTED_VALUE"""),288.0)</f>
        <v>288</v>
      </c>
      <c r="AH701" s="48"/>
      <c r="AI701" s="14">
        <f>IFERROR(__xludf.DUMMYFUNCTION("""COMPUTED_VALUE"""),281.75)</f>
        <v>281.75</v>
      </c>
      <c r="AJ701" s="14">
        <f>IFERROR(__xludf.DUMMYFUNCTION("""COMPUTED_VALUE"""),3.37)</f>
        <v>3.37</v>
      </c>
      <c r="AK701" s="14">
        <f>IFERROR(__xludf.DUMMYFUNCTION("""COMPUTED_VALUE"""),3.18)</f>
        <v>3.18</v>
      </c>
      <c r="AL701" s="14">
        <f>IFERROR(__xludf.DUMMYFUNCTION("""COMPUTED_VALUE"""),3.18)</f>
        <v>3.18</v>
      </c>
      <c r="AM701" s="14">
        <f>IFERROR(__xludf.DUMMYFUNCTION("""COMPUTED_VALUE"""),3.32)</f>
        <v>3.32</v>
      </c>
      <c r="AN701" s="14"/>
      <c r="AO701" s="14">
        <f>IFERROR(__xludf.DUMMYFUNCTION("""COMPUTED_VALUE"""),3.2625)</f>
        <v>3.2625</v>
      </c>
      <c r="AP701" s="14">
        <f>IFERROR(__xludf.DUMMYFUNCTION("""COMPUTED_VALUE"""),13.0)</f>
        <v>13</v>
      </c>
      <c r="AQ701" s="14">
        <f>IFERROR(__xludf.DUMMYFUNCTION("""COMPUTED_VALUE"""),17.0)</f>
        <v>17</v>
      </c>
      <c r="AR701" s="14">
        <f>IFERROR(__xludf.DUMMYFUNCTION("""COMPUTED_VALUE"""),9.0)</f>
        <v>9</v>
      </c>
      <c r="AS701" s="14">
        <f>IFERROR(__xludf.DUMMYFUNCTION("""COMPUTED_VALUE"""),1.2)</f>
        <v>1.2</v>
      </c>
      <c r="AT701" s="14">
        <f>IFERROR(__xludf.DUMMYFUNCTION("""COMPUTED_VALUE"""),0.58)</f>
        <v>0.58</v>
      </c>
      <c r="AU701" s="14">
        <f>IFERROR(__xludf.DUMMYFUNCTION("""COMPUTED_VALUE"""),20140.0)</f>
        <v>20140</v>
      </c>
      <c r="AV701" s="14">
        <f>IFERROR(__xludf.DUMMYFUNCTION("""COMPUTED_VALUE"""),0.39)</f>
        <v>0.39</v>
      </c>
      <c r="AW701" s="14">
        <f>IFERROR(__xludf.DUMMYFUNCTION("""COMPUTED_VALUE"""),7.8)</f>
        <v>7.8</v>
      </c>
      <c r="AX701" s="14">
        <f>IFERROR(__xludf.DUMMYFUNCTION("""COMPUTED_VALUE"""),19350.0)</f>
        <v>19350</v>
      </c>
      <c r="AY701" s="14">
        <f>IFERROR(__xludf.DUMMYFUNCTION("""COMPUTED_VALUE"""),0.9)</f>
        <v>0.9</v>
      </c>
      <c r="AZ701" s="14">
        <f>IFERROR(__xludf.DUMMYFUNCTION("""COMPUTED_VALUE"""),0.068)</f>
        <v>0.068</v>
      </c>
      <c r="BA701" s="14">
        <f t="shared" si="1"/>
        <v>8.768</v>
      </c>
    </row>
    <row r="702" ht="14.25" customHeight="1">
      <c r="A702" s="10" t="str">
        <f>IFERROR(__xludf.DUMMYFUNCTION("""COMPUTED_VALUE"""),"260822AN02")</f>
        <v>260822AN02</v>
      </c>
      <c r="B702" s="12" t="str">
        <f>IFERROR(__xludf.DUMMYFUNCTION("""COMPUTED_VALUE"""),"COR-Prado Veraniego")</f>
        <v>COR-Prado Veraniego</v>
      </c>
      <c r="C702" s="12"/>
      <c r="D702" s="12"/>
      <c r="E702" s="44">
        <f>IFERROR(__xludf.DUMMYFUNCTION("""COMPUTED_VALUE"""),44799.0)</f>
        <v>44799</v>
      </c>
      <c r="F702" s="12" t="str">
        <f>IFERROR(__xludf.DUMMYFUNCTION("""COMPUTED_VALUE"""),"TIPO I")</f>
        <v>TIPO I</v>
      </c>
      <c r="G702" s="12" t="str">
        <f>IFERROR(__xludf.DUMMYFUNCTION("""COMPUTED_VALUE"""),"Se percibe olor y se observa material flotante.
Se presentan lluvias intermitentes durante la cuarta y quinta alícuota. En esta ultima se observa que aumenta el ancho del cauce.")</f>
        <v>Se percibe olor y se observa material flotante.
Se presentan lluvias intermitentes durante la cuarta y quinta alícuota. En esta ultima se observa que aumenta el ancho del cauce.</v>
      </c>
      <c r="H702" s="45">
        <f>IFERROR(__xludf.DUMMYFUNCTION("""COMPUTED_VALUE"""),0.5)</f>
        <v>0.5</v>
      </c>
      <c r="I702" s="45">
        <f>IFERROR(__xludf.DUMMYFUNCTION("""COMPUTED_VALUE"""),0.5833333333321207)</f>
        <v>0.5833333333</v>
      </c>
      <c r="J702" s="12">
        <f>IFERROR(__xludf.DUMMYFUNCTION("""COMPUTED_VALUE"""),3.0)</f>
        <v>3</v>
      </c>
      <c r="K702" s="12">
        <f>IFERROR(__xludf.DUMMYFUNCTION("""COMPUTED_VALUE"""),0.11)</f>
        <v>0.11</v>
      </c>
      <c r="L702" s="14">
        <f>IFERROR(__xludf.DUMMYFUNCTION("""COMPUTED_VALUE"""),99.509)</f>
        <v>99.509</v>
      </c>
      <c r="M702" s="14">
        <f>IFERROR(__xludf.DUMMYFUNCTION("""COMPUTED_VALUE"""),89.099)</f>
        <v>89.099</v>
      </c>
      <c r="N702" s="14">
        <f>IFERROR(__xludf.DUMMYFUNCTION("""COMPUTED_VALUE"""),92.154)</f>
        <v>92.154</v>
      </c>
      <c r="O702" s="14">
        <f>IFERROR(__xludf.DUMMYFUNCTION("""COMPUTED_VALUE"""),87.191)</f>
        <v>87.191</v>
      </c>
      <c r="P702" s="14">
        <f>IFERROR(__xludf.DUMMYFUNCTION("""COMPUTED_VALUE"""),86.429)</f>
        <v>86.429</v>
      </c>
      <c r="Q702" s="14">
        <f>IFERROR(__xludf.DUMMYFUNCTION("""COMPUTED_VALUE"""),90.876)</f>
        <v>90.876</v>
      </c>
      <c r="R702" s="48">
        <f>IFERROR(__xludf.DUMMYFUNCTION("""COMPUTED_VALUE"""),8.73)</f>
        <v>8.73</v>
      </c>
      <c r="S702" s="48">
        <f>IFERROR(__xludf.DUMMYFUNCTION("""COMPUTED_VALUE"""),8.51)</f>
        <v>8.51</v>
      </c>
      <c r="T702" s="48">
        <f>IFERROR(__xludf.DUMMYFUNCTION("""COMPUTED_VALUE"""),8.41)</f>
        <v>8.41</v>
      </c>
      <c r="U702" s="48">
        <f>IFERROR(__xludf.DUMMYFUNCTION("""COMPUTED_VALUE"""),8.07)</f>
        <v>8.07</v>
      </c>
      <c r="V702" s="48">
        <f>IFERROR(__xludf.DUMMYFUNCTION("""COMPUTED_VALUE"""),8.01)</f>
        <v>8.01</v>
      </c>
      <c r="W702" s="14">
        <f>IFERROR(__xludf.DUMMYFUNCTION("""COMPUTED_VALUE"""),8.346)</f>
        <v>8.346</v>
      </c>
      <c r="X702" s="14">
        <f>IFERROR(__xludf.DUMMYFUNCTION("""COMPUTED_VALUE"""),21.4)</f>
        <v>21.4</v>
      </c>
      <c r="Y702" s="14">
        <f>IFERROR(__xludf.DUMMYFUNCTION("""COMPUTED_VALUE"""),21.0)</f>
        <v>21</v>
      </c>
      <c r="Z702" s="14">
        <f>IFERROR(__xludf.DUMMYFUNCTION("""COMPUTED_VALUE"""),20.8)</f>
        <v>20.8</v>
      </c>
      <c r="AA702" s="14">
        <f>IFERROR(__xludf.DUMMYFUNCTION("""COMPUTED_VALUE"""),20.7)</f>
        <v>20.7</v>
      </c>
      <c r="AB702" s="14">
        <f>IFERROR(__xludf.DUMMYFUNCTION("""COMPUTED_VALUE"""),20.4)</f>
        <v>20.4</v>
      </c>
      <c r="AC702" s="14">
        <f>IFERROR(__xludf.DUMMYFUNCTION("""COMPUTED_VALUE"""),20.860000000000003)</f>
        <v>20.86</v>
      </c>
      <c r="AD702" s="48">
        <f>IFERROR(__xludf.DUMMYFUNCTION("""COMPUTED_VALUE"""),329.0)</f>
        <v>329</v>
      </c>
      <c r="AE702" s="48">
        <f>IFERROR(__xludf.DUMMYFUNCTION("""COMPUTED_VALUE"""),328.0)</f>
        <v>328</v>
      </c>
      <c r="AF702" s="48">
        <f>IFERROR(__xludf.DUMMYFUNCTION("""COMPUTED_VALUE"""),468.0)</f>
        <v>468</v>
      </c>
      <c r="AG702" s="48">
        <f>IFERROR(__xludf.DUMMYFUNCTION("""COMPUTED_VALUE"""),327.0)</f>
        <v>327</v>
      </c>
      <c r="AH702" s="48">
        <f>IFERROR(__xludf.DUMMYFUNCTION("""COMPUTED_VALUE"""),326.0)</f>
        <v>326</v>
      </c>
      <c r="AI702" s="14">
        <f>IFERROR(__xludf.DUMMYFUNCTION("""COMPUTED_VALUE"""),355.6)</f>
        <v>355.6</v>
      </c>
      <c r="AJ702" s="14">
        <f>IFERROR(__xludf.DUMMYFUNCTION("""COMPUTED_VALUE"""),6.29)</f>
        <v>6.29</v>
      </c>
      <c r="AK702" s="14">
        <f>IFERROR(__xludf.DUMMYFUNCTION("""COMPUTED_VALUE"""),6.31)</f>
        <v>6.31</v>
      </c>
      <c r="AL702" s="14">
        <f>IFERROR(__xludf.DUMMYFUNCTION("""COMPUTED_VALUE"""),5.42)</f>
        <v>5.42</v>
      </c>
      <c r="AM702" s="14">
        <f>IFERROR(__xludf.DUMMYFUNCTION("""COMPUTED_VALUE"""),4.84)</f>
        <v>4.84</v>
      </c>
      <c r="AN702" s="14">
        <f>IFERROR(__xludf.DUMMYFUNCTION("""COMPUTED_VALUE"""),4.81)</f>
        <v>4.81</v>
      </c>
      <c r="AO702" s="14">
        <f>IFERROR(__xludf.DUMMYFUNCTION("""COMPUTED_VALUE"""),5.534)</f>
        <v>5.534</v>
      </c>
      <c r="AP702" s="14">
        <f>IFERROR(__xludf.DUMMYFUNCTION("""COMPUTED_VALUE"""),25.0)</f>
        <v>25</v>
      </c>
      <c r="AQ702" s="14">
        <f>IFERROR(__xludf.DUMMYFUNCTION("""COMPUTED_VALUE"""),31.0)</f>
        <v>31</v>
      </c>
      <c r="AR702" s="14">
        <f>IFERROR(__xludf.DUMMYFUNCTION("""COMPUTED_VALUE"""),14.0)</f>
        <v>14</v>
      </c>
      <c r="AS702" s="14">
        <f>IFERROR(__xludf.DUMMYFUNCTION("""COMPUTED_VALUE"""),1.2)</f>
        <v>1.2</v>
      </c>
      <c r="AT702" s="14">
        <f>IFERROR(__xludf.DUMMYFUNCTION("""COMPUTED_VALUE"""),0.87)</f>
        <v>0.87</v>
      </c>
      <c r="AU702" s="14">
        <f>IFERROR(__xludf.DUMMYFUNCTION("""COMPUTED_VALUE"""),2046000.0)</f>
        <v>2046000</v>
      </c>
      <c r="AV702" s="14">
        <f>IFERROR(__xludf.DUMMYFUNCTION("""COMPUTED_VALUE"""),0.97)</f>
        <v>0.97</v>
      </c>
      <c r="AW702" s="14">
        <f>IFERROR(__xludf.DUMMYFUNCTION("""COMPUTED_VALUE"""),12.3)</f>
        <v>12.3</v>
      </c>
      <c r="AX702" s="14">
        <f>IFERROR(__xludf.DUMMYFUNCTION("""COMPUTED_VALUE"""),98700.0)</f>
        <v>98700</v>
      </c>
      <c r="AY702" s="14">
        <f>IFERROR(__xludf.DUMMYFUNCTION("""COMPUTED_VALUE"""),0.7)</f>
        <v>0.7</v>
      </c>
      <c r="AZ702" s="14">
        <f>IFERROR(__xludf.DUMMYFUNCTION("""COMPUTED_VALUE"""),0.191)</f>
        <v>0.191</v>
      </c>
      <c r="BA702" s="14">
        <f t="shared" si="1"/>
        <v>13.191</v>
      </c>
    </row>
    <row r="703" ht="14.25" customHeight="1">
      <c r="A703" s="10" t="str">
        <f>IFERROR(__xludf.DUMMYFUNCTION("""COMPUTED_VALUE"""),"260822AN01")</f>
        <v>260822AN01</v>
      </c>
      <c r="B703" s="12" t="str">
        <f>IFERROR(__xludf.DUMMYFUNCTION("""COMPUTED_VALUE"""),"COR-Humedal Córdoba")</f>
        <v>COR-Humedal Córdoba</v>
      </c>
      <c r="C703" s="12"/>
      <c r="D703" s="12"/>
      <c r="E703" s="44">
        <f>IFERROR(__xludf.DUMMYFUNCTION("""COMPUTED_VALUE"""),44799.0)</f>
        <v>44799</v>
      </c>
      <c r="F703" s="12" t="str">
        <f>IFERROR(__xludf.DUMMYFUNCTION("""COMPUTED_VALUE"""),"TIPO I")</f>
        <v>TIPO I</v>
      </c>
      <c r="G703" s="12" t="str">
        <f>IFERROR(__xludf.DUMMYFUNCTION("""COMPUTED_VALUE"""),"Se percibe olor y se observa coloración y residuos solidos. Entre la cuarta y quinta alícuota se observa aumento de trazas de grasas.
Altura: 2568 msnm")</f>
        <v>Se percibe olor y se observa coloración y residuos solidos. Entre la cuarta y quinta alícuota se observa aumento de trazas de grasas.
Altura: 2568 msnm</v>
      </c>
      <c r="H703" s="45">
        <f>IFERROR(__xludf.DUMMYFUNCTION("""COMPUTED_VALUE"""),0.3333333333321207)</f>
        <v>0.3333333333</v>
      </c>
      <c r="I703" s="45">
        <f>IFERROR(__xludf.DUMMYFUNCTION("""COMPUTED_VALUE"""),0.4166666666678793)</f>
        <v>0.4166666667</v>
      </c>
      <c r="J703" s="12">
        <f>IFERROR(__xludf.DUMMYFUNCTION("""COMPUTED_VALUE"""),10.0)</f>
        <v>10</v>
      </c>
      <c r="K703" s="12">
        <f>IFERROR(__xludf.DUMMYFUNCTION("""COMPUTED_VALUE"""),0.57)</f>
        <v>0.57</v>
      </c>
      <c r="L703" s="14">
        <f>IFERROR(__xludf.DUMMYFUNCTION("""COMPUTED_VALUE"""),490.536)</f>
        <v>490.536</v>
      </c>
      <c r="M703" s="14">
        <f>IFERROR(__xludf.DUMMYFUNCTION("""COMPUTED_VALUE"""),491.956)</f>
        <v>491.956</v>
      </c>
      <c r="N703" s="14">
        <f>IFERROR(__xludf.DUMMYFUNCTION("""COMPUTED_VALUE"""),493.889)</f>
        <v>493.889</v>
      </c>
      <c r="O703" s="14">
        <f>IFERROR(__xludf.DUMMYFUNCTION("""COMPUTED_VALUE"""),498.833)</f>
        <v>498.833</v>
      </c>
      <c r="P703" s="14">
        <f>IFERROR(__xludf.DUMMYFUNCTION("""COMPUTED_VALUE"""),499.434)</f>
        <v>499.434</v>
      </c>
      <c r="Q703" s="14">
        <f>IFERROR(__xludf.DUMMYFUNCTION("""COMPUTED_VALUE"""),494.929)</f>
        <v>494.929</v>
      </c>
      <c r="R703" s="48">
        <f>IFERROR(__xludf.DUMMYFUNCTION("""COMPUTED_VALUE"""),6.99)</f>
        <v>6.99</v>
      </c>
      <c r="S703" s="48">
        <f>IFERROR(__xludf.DUMMYFUNCTION("""COMPUTED_VALUE"""),7.01)</f>
        <v>7.01</v>
      </c>
      <c r="T703" s="48">
        <f>IFERROR(__xludf.DUMMYFUNCTION("""COMPUTED_VALUE"""),6.88)</f>
        <v>6.88</v>
      </c>
      <c r="U703" s="48">
        <f>IFERROR(__xludf.DUMMYFUNCTION("""COMPUTED_VALUE"""),6.86)</f>
        <v>6.86</v>
      </c>
      <c r="V703" s="48">
        <f>IFERROR(__xludf.DUMMYFUNCTION("""COMPUTED_VALUE"""),6.86)</f>
        <v>6.86</v>
      </c>
      <c r="W703" s="14">
        <f>IFERROR(__xludf.DUMMYFUNCTION("""COMPUTED_VALUE"""),6.92)</f>
        <v>6.92</v>
      </c>
      <c r="X703" s="14">
        <f>IFERROR(__xludf.DUMMYFUNCTION("""COMPUTED_VALUE"""),16.1)</f>
        <v>16.1</v>
      </c>
      <c r="Y703" s="14">
        <f>IFERROR(__xludf.DUMMYFUNCTION("""COMPUTED_VALUE"""),15.8)</f>
        <v>15.8</v>
      </c>
      <c r="Z703" s="14">
        <f>IFERROR(__xludf.DUMMYFUNCTION("""COMPUTED_VALUE"""),16.0)</f>
        <v>16</v>
      </c>
      <c r="AA703" s="14">
        <f>IFERROR(__xludf.DUMMYFUNCTION("""COMPUTED_VALUE"""),15.6)</f>
        <v>15.6</v>
      </c>
      <c r="AB703" s="14">
        <f>IFERROR(__xludf.DUMMYFUNCTION("""COMPUTED_VALUE"""),16.0)</f>
        <v>16</v>
      </c>
      <c r="AC703" s="14">
        <f>IFERROR(__xludf.DUMMYFUNCTION("""COMPUTED_VALUE"""),15.9)</f>
        <v>15.9</v>
      </c>
      <c r="AD703" s="48">
        <f>IFERROR(__xludf.DUMMYFUNCTION("""COMPUTED_VALUE"""),298.0)</f>
        <v>298</v>
      </c>
      <c r="AE703" s="48">
        <f>IFERROR(__xludf.DUMMYFUNCTION("""COMPUTED_VALUE"""),304.0)</f>
        <v>304</v>
      </c>
      <c r="AF703" s="48">
        <f>IFERROR(__xludf.DUMMYFUNCTION("""COMPUTED_VALUE"""),304.0)</f>
        <v>304</v>
      </c>
      <c r="AG703" s="48">
        <f>IFERROR(__xludf.DUMMYFUNCTION("""COMPUTED_VALUE"""),301.0)</f>
        <v>301</v>
      </c>
      <c r="AH703" s="48">
        <f>IFERROR(__xludf.DUMMYFUNCTION("""COMPUTED_VALUE"""),305.0)</f>
        <v>305</v>
      </c>
      <c r="AI703" s="14">
        <f>IFERROR(__xludf.DUMMYFUNCTION("""COMPUTED_VALUE"""),302.4)</f>
        <v>302.4</v>
      </c>
      <c r="AJ703" s="14">
        <f>IFERROR(__xludf.DUMMYFUNCTION("""COMPUTED_VALUE"""),2.39)</f>
        <v>2.39</v>
      </c>
      <c r="AK703" s="14">
        <f>IFERROR(__xludf.DUMMYFUNCTION("""COMPUTED_VALUE"""),2.51)</f>
        <v>2.51</v>
      </c>
      <c r="AL703" s="14">
        <f>IFERROR(__xludf.DUMMYFUNCTION("""COMPUTED_VALUE"""),2.39)</f>
        <v>2.39</v>
      </c>
      <c r="AM703" s="14">
        <f>IFERROR(__xludf.DUMMYFUNCTION("""COMPUTED_VALUE"""),2.89)</f>
        <v>2.89</v>
      </c>
      <c r="AN703" s="14">
        <f>IFERROR(__xludf.DUMMYFUNCTION("""COMPUTED_VALUE"""),2.56)</f>
        <v>2.56</v>
      </c>
      <c r="AO703" s="14">
        <f>IFERROR(__xludf.DUMMYFUNCTION("""COMPUTED_VALUE"""),2.5480000000000005)</f>
        <v>2.548</v>
      </c>
      <c r="AP703" s="14">
        <f>IFERROR(__xludf.DUMMYFUNCTION("""COMPUTED_VALUE"""),51.0)</f>
        <v>51</v>
      </c>
      <c r="AQ703" s="14">
        <f>IFERROR(__xludf.DUMMYFUNCTION("""COMPUTED_VALUE"""),65.0)</f>
        <v>65</v>
      </c>
      <c r="AR703" s="14">
        <f>IFERROR(__xludf.DUMMYFUNCTION("""COMPUTED_VALUE"""),37.0)</f>
        <v>37</v>
      </c>
      <c r="AS703" s="14">
        <f>IFERROR(__xludf.DUMMYFUNCTION("""COMPUTED_VALUE"""),81.0)</f>
        <v>81</v>
      </c>
      <c r="AT703" s="14">
        <f>IFERROR(__xludf.DUMMYFUNCTION("""COMPUTED_VALUE"""),3.22)</f>
        <v>3.22</v>
      </c>
      <c r="AU703" s="14">
        <f>IFERROR(__xludf.DUMMYFUNCTION("""COMPUTED_VALUE"""),172200.0)</f>
        <v>172200</v>
      </c>
      <c r="AV703" s="14">
        <f>IFERROR(__xludf.DUMMYFUNCTION("""COMPUTED_VALUE"""),3.4)</f>
        <v>3.4</v>
      </c>
      <c r="AW703" s="14">
        <f>IFERROR(__xludf.DUMMYFUNCTION("""COMPUTED_VALUE"""),21.6)</f>
        <v>21.6</v>
      </c>
      <c r="AX703" s="14">
        <f>IFERROR(__xludf.DUMMYFUNCTION("""COMPUTED_VALUE"""),12590.0)</f>
        <v>12590</v>
      </c>
      <c r="AY703" s="14">
        <f>IFERROR(__xludf.DUMMYFUNCTION("""COMPUTED_VALUE"""),0.9)</f>
        <v>0.9</v>
      </c>
      <c r="AZ703" s="14">
        <f>IFERROR(__xludf.DUMMYFUNCTION("""COMPUTED_VALUE"""),0.007)</f>
        <v>0.007</v>
      </c>
      <c r="BA703" s="14">
        <f t="shared" si="1"/>
        <v>22.507</v>
      </c>
    </row>
    <row r="704" ht="14.25" customHeight="1">
      <c r="A704" s="10" t="str">
        <f>IFERROR(__xludf.DUMMYFUNCTION("""COMPUTED_VALUE"""),"260822WI01")</f>
        <v>260822WI01</v>
      </c>
      <c r="B704" s="12" t="str">
        <f>IFERROR(__xludf.DUMMYFUNCTION("""COMPUTED_VALUE"""),"QSL-Barranquillita")</f>
        <v>QSL-Barranquillita</v>
      </c>
      <c r="C704" s="12"/>
      <c r="D704" s="12"/>
      <c r="E704" s="44">
        <f>IFERROR(__xludf.DUMMYFUNCTION("""COMPUTED_VALUE"""),44799.0)</f>
        <v>44799</v>
      </c>
      <c r="F704" s="12" t="str">
        <f>IFERROR(__xludf.DUMMYFUNCTION("""COMPUTED_VALUE"""),"TIPO I")</f>
        <v>TIPO I</v>
      </c>
      <c r="G704" s="12" t="str">
        <f>IFERROR(__xludf.DUMMYFUNCTION("""COMPUTED_VALUE"""),"Lecho en concreto, no presenta olor pero se observa coloración. ")</f>
        <v>Lecho en concreto, no presenta olor pero se observa coloración. </v>
      </c>
      <c r="H704" s="45">
        <f>IFERROR(__xludf.DUMMYFUNCTION("""COMPUTED_VALUE"""),0.3333333333321207)</f>
        <v>0.3333333333</v>
      </c>
      <c r="I704" s="45">
        <f>IFERROR(__xludf.DUMMYFUNCTION("""COMPUTED_VALUE"""),0.4166666666678793)</f>
        <v>0.4166666667</v>
      </c>
      <c r="J704" s="12">
        <f>IFERROR(__xludf.DUMMYFUNCTION("""COMPUTED_VALUE"""),2.3)</f>
        <v>2.3</v>
      </c>
      <c r="K704" s="12">
        <f>IFERROR(__xludf.DUMMYFUNCTION("""COMPUTED_VALUE"""),0.11)</f>
        <v>0.11</v>
      </c>
      <c r="L704" s="14">
        <f>IFERROR(__xludf.DUMMYFUNCTION("""COMPUTED_VALUE"""),33.199)</f>
        <v>33.199</v>
      </c>
      <c r="M704" s="14">
        <f>IFERROR(__xludf.DUMMYFUNCTION("""COMPUTED_VALUE"""),31.117)</f>
        <v>31.117</v>
      </c>
      <c r="N704" s="14">
        <f>IFERROR(__xludf.DUMMYFUNCTION("""COMPUTED_VALUE"""),32.521)</f>
        <v>32.521</v>
      </c>
      <c r="O704" s="14">
        <f>IFERROR(__xludf.DUMMYFUNCTION("""COMPUTED_VALUE"""),31.129)</f>
        <v>31.129</v>
      </c>
      <c r="P704" s="14">
        <f>IFERROR(__xludf.DUMMYFUNCTION("""COMPUTED_VALUE"""),32.464)</f>
        <v>32.464</v>
      </c>
      <c r="Q704" s="14">
        <f>IFERROR(__xludf.DUMMYFUNCTION("""COMPUTED_VALUE"""),32.086)</f>
        <v>32.086</v>
      </c>
      <c r="R704" s="48">
        <f>IFERROR(__xludf.DUMMYFUNCTION("""COMPUTED_VALUE"""),7.58)</f>
        <v>7.58</v>
      </c>
      <c r="S704" s="48">
        <f>IFERROR(__xludf.DUMMYFUNCTION("""COMPUTED_VALUE"""),7.7)</f>
        <v>7.7</v>
      </c>
      <c r="T704" s="48">
        <f>IFERROR(__xludf.DUMMYFUNCTION("""COMPUTED_VALUE"""),7.69)</f>
        <v>7.69</v>
      </c>
      <c r="U704" s="48">
        <f>IFERROR(__xludf.DUMMYFUNCTION("""COMPUTED_VALUE"""),7.6)</f>
        <v>7.6</v>
      </c>
      <c r="V704" s="48">
        <f>IFERROR(__xludf.DUMMYFUNCTION("""COMPUTED_VALUE"""),7.49)</f>
        <v>7.49</v>
      </c>
      <c r="W704" s="14">
        <f>IFERROR(__xludf.DUMMYFUNCTION("""COMPUTED_VALUE"""),7.612)</f>
        <v>7.612</v>
      </c>
      <c r="X704" s="14">
        <f>IFERROR(__xludf.DUMMYFUNCTION("""COMPUTED_VALUE"""),15.8)</f>
        <v>15.8</v>
      </c>
      <c r="Y704" s="14">
        <f>IFERROR(__xludf.DUMMYFUNCTION("""COMPUTED_VALUE"""),14.0)</f>
        <v>14</v>
      </c>
      <c r="Z704" s="14">
        <f>IFERROR(__xludf.DUMMYFUNCTION("""COMPUTED_VALUE"""),14.8)</f>
        <v>14.8</v>
      </c>
      <c r="AA704" s="14">
        <f>IFERROR(__xludf.DUMMYFUNCTION("""COMPUTED_VALUE"""),14.4)</f>
        <v>14.4</v>
      </c>
      <c r="AB704" s="14">
        <f>IFERROR(__xludf.DUMMYFUNCTION("""COMPUTED_VALUE"""),15.1)</f>
        <v>15.1</v>
      </c>
      <c r="AC704" s="14">
        <f>IFERROR(__xludf.DUMMYFUNCTION("""COMPUTED_VALUE"""),14.819999999999999)</f>
        <v>14.82</v>
      </c>
      <c r="AD704" s="48">
        <f>IFERROR(__xludf.DUMMYFUNCTION("""COMPUTED_VALUE"""),299.0)</f>
        <v>299</v>
      </c>
      <c r="AE704" s="48">
        <f>IFERROR(__xludf.DUMMYFUNCTION("""COMPUTED_VALUE"""),353.0)</f>
        <v>353</v>
      </c>
      <c r="AF704" s="48">
        <f>IFERROR(__xludf.DUMMYFUNCTION("""COMPUTED_VALUE"""),369.0)</f>
        <v>369</v>
      </c>
      <c r="AG704" s="48">
        <f>IFERROR(__xludf.DUMMYFUNCTION("""COMPUTED_VALUE"""),384.0)</f>
        <v>384</v>
      </c>
      <c r="AH704" s="48">
        <f>IFERROR(__xludf.DUMMYFUNCTION("""COMPUTED_VALUE"""),394.0)</f>
        <v>394</v>
      </c>
      <c r="AI704" s="14">
        <f>IFERROR(__xludf.DUMMYFUNCTION("""COMPUTED_VALUE"""),359.8)</f>
        <v>359.8</v>
      </c>
      <c r="AJ704" s="14">
        <f>IFERROR(__xludf.DUMMYFUNCTION("""COMPUTED_VALUE"""),6.33)</f>
        <v>6.33</v>
      </c>
      <c r="AK704" s="14">
        <f>IFERROR(__xludf.DUMMYFUNCTION("""COMPUTED_VALUE"""),6.11)</f>
        <v>6.11</v>
      </c>
      <c r="AL704" s="14">
        <f>IFERROR(__xludf.DUMMYFUNCTION("""COMPUTED_VALUE"""),6.57)</f>
        <v>6.57</v>
      </c>
      <c r="AM704" s="14">
        <f>IFERROR(__xludf.DUMMYFUNCTION("""COMPUTED_VALUE"""),6.56)</f>
        <v>6.56</v>
      </c>
      <c r="AN704" s="14">
        <f>IFERROR(__xludf.DUMMYFUNCTION("""COMPUTED_VALUE"""),6.38)</f>
        <v>6.38</v>
      </c>
      <c r="AO704" s="14">
        <f>IFERROR(__xludf.DUMMYFUNCTION("""COMPUTED_VALUE"""),6.39)</f>
        <v>6.39</v>
      </c>
      <c r="AP704" s="14">
        <f>IFERROR(__xludf.DUMMYFUNCTION("""COMPUTED_VALUE"""),14.0)</f>
        <v>14</v>
      </c>
      <c r="AQ704" s="14">
        <f>IFERROR(__xludf.DUMMYFUNCTION("""COMPUTED_VALUE"""),22.0)</f>
        <v>22</v>
      </c>
      <c r="AR704" s="14">
        <f>IFERROR(__xludf.DUMMYFUNCTION("""COMPUTED_VALUE"""),19.0)</f>
        <v>19</v>
      </c>
      <c r="AS704" s="14">
        <f>IFERROR(__xludf.DUMMYFUNCTION("""COMPUTED_VALUE"""),1.2)</f>
        <v>1.2</v>
      </c>
      <c r="AT704" s="14">
        <f>IFERROR(__xludf.DUMMYFUNCTION("""COMPUTED_VALUE"""),0.29)</f>
        <v>0.29</v>
      </c>
      <c r="AU704" s="14">
        <f>IFERROR(__xludf.DUMMYFUNCTION("""COMPUTED_VALUE"""),1211000.0)</f>
        <v>1211000</v>
      </c>
      <c r="AV704" s="14">
        <f>IFERROR(__xludf.DUMMYFUNCTION("""COMPUTED_VALUE"""),1.44)</f>
        <v>1.44</v>
      </c>
      <c r="AW704" s="14">
        <f>IFERROR(__xludf.DUMMYFUNCTION("""COMPUTED_VALUE"""),14.0)</f>
        <v>14</v>
      </c>
      <c r="AX704" s="14">
        <f>IFERROR(__xludf.DUMMYFUNCTION("""COMPUTED_VALUE"""),1092000.0)</f>
        <v>1092000</v>
      </c>
      <c r="AY704" s="14">
        <f>IFERROR(__xludf.DUMMYFUNCTION("""COMPUTED_VALUE"""),1.1)</f>
        <v>1.1</v>
      </c>
      <c r="AZ704" s="14">
        <f>IFERROR(__xludf.DUMMYFUNCTION("""COMPUTED_VALUE"""),0.225)</f>
        <v>0.225</v>
      </c>
      <c r="BA704" s="14">
        <f t="shared" si="1"/>
        <v>15.325</v>
      </c>
    </row>
    <row r="705" ht="14.25" customHeight="1">
      <c r="A705" s="10" t="str">
        <f>IFERROR(__xludf.DUMMYFUNCTION("""COMPUTED_VALUE"""),"050922MI01")</f>
        <v>050922MI01</v>
      </c>
      <c r="B705" s="12" t="str">
        <f>IFERROR(__xludf.DUMMYFUNCTION("""COMPUTED_VALUE"""),"QYO-Monte Blanco")</f>
        <v>QYO-Monte Blanco</v>
      </c>
      <c r="C705" s="12"/>
      <c r="D705" s="12"/>
      <c r="E705" s="44">
        <f>IFERROR(__xludf.DUMMYFUNCTION("""COMPUTED_VALUE"""),44809.0)</f>
        <v>44809</v>
      </c>
      <c r="F705" s="12" t="str">
        <f>IFERROR(__xludf.DUMMYFUNCTION("""COMPUTED_VALUE"""),"TIPO I")</f>
        <v>TIPO I</v>
      </c>
      <c r="G705" s="12" t="str">
        <f>IFERROR(__xludf.DUMMYFUNCTION("""COMPUTED_VALUE"""),"Se presenta un canal natural rocoso. Durante el monitoreo se presentan lluvias, se percibe olor , se observa color y residuos solidos. ")</f>
        <v>Se presenta un canal natural rocoso. Durante el monitoreo se presentan lluvias, se percibe olor , se observa color y residuos solidos. </v>
      </c>
      <c r="H705" s="45">
        <f>IFERROR(__xludf.DUMMYFUNCTION("""COMPUTED_VALUE"""),0.5)</f>
        <v>0.5</v>
      </c>
      <c r="I705" s="45">
        <f>IFERROR(__xludf.DUMMYFUNCTION("""COMPUTED_VALUE"""),0.5833333333321207)</f>
        <v>0.5833333333</v>
      </c>
      <c r="J705" s="12">
        <f>IFERROR(__xludf.DUMMYFUNCTION("""COMPUTED_VALUE"""),2.0)</f>
        <v>2</v>
      </c>
      <c r="K705" s="12">
        <f>IFERROR(__xludf.DUMMYFUNCTION("""COMPUTED_VALUE"""),0.58)</f>
        <v>0.58</v>
      </c>
      <c r="L705" s="14">
        <f>IFERROR(__xludf.DUMMYFUNCTION("""COMPUTED_VALUE"""),363.576)</f>
        <v>363.576</v>
      </c>
      <c r="M705" s="14">
        <f>IFERROR(__xludf.DUMMYFUNCTION("""COMPUTED_VALUE"""),375.981)</f>
        <v>375.981</v>
      </c>
      <c r="N705" s="14">
        <f>IFERROR(__xludf.DUMMYFUNCTION("""COMPUTED_VALUE"""),400.802)</f>
        <v>400.802</v>
      </c>
      <c r="O705" s="14">
        <f>IFERROR(__xludf.DUMMYFUNCTION("""COMPUTED_VALUE"""),419.897)</f>
        <v>419.897</v>
      </c>
      <c r="P705" s="14">
        <f>IFERROR(__xludf.DUMMYFUNCTION("""COMPUTED_VALUE"""),414.115)</f>
        <v>414.115</v>
      </c>
      <c r="Q705" s="14">
        <f>IFERROR(__xludf.DUMMYFUNCTION("""COMPUTED_VALUE"""),394.874)</f>
        <v>394.874</v>
      </c>
      <c r="R705" s="48">
        <f>IFERROR(__xludf.DUMMYFUNCTION("""COMPUTED_VALUE"""),7.48)</f>
        <v>7.48</v>
      </c>
      <c r="S705" s="48">
        <f>IFERROR(__xludf.DUMMYFUNCTION("""COMPUTED_VALUE"""),7.56)</f>
        <v>7.56</v>
      </c>
      <c r="T705" s="48">
        <f>IFERROR(__xludf.DUMMYFUNCTION("""COMPUTED_VALUE"""),7.58)</f>
        <v>7.58</v>
      </c>
      <c r="U705" s="48">
        <f>IFERROR(__xludf.DUMMYFUNCTION("""COMPUTED_VALUE"""),7.58)</f>
        <v>7.58</v>
      </c>
      <c r="V705" s="48">
        <f>IFERROR(__xludf.DUMMYFUNCTION("""COMPUTED_VALUE"""),7.63)</f>
        <v>7.63</v>
      </c>
      <c r="W705" s="14">
        <f>IFERROR(__xludf.DUMMYFUNCTION("""COMPUTED_VALUE"""),7.566)</f>
        <v>7.566</v>
      </c>
      <c r="X705" s="14">
        <f>IFERROR(__xludf.DUMMYFUNCTION("""COMPUTED_VALUE"""),13.0)</f>
        <v>13</v>
      </c>
      <c r="Y705" s="14">
        <f>IFERROR(__xludf.DUMMYFUNCTION("""COMPUTED_VALUE"""),13.1)</f>
        <v>13.1</v>
      </c>
      <c r="Z705" s="14">
        <f>IFERROR(__xludf.DUMMYFUNCTION("""COMPUTED_VALUE"""),13.1)</f>
        <v>13.1</v>
      </c>
      <c r="AA705" s="14">
        <f>IFERROR(__xludf.DUMMYFUNCTION("""COMPUTED_VALUE"""),13.1)</f>
        <v>13.1</v>
      </c>
      <c r="AB705" s="14">
        <f>IFERROR(__xludf.DUMMYFUNCTION("""COMPUTED_VALUE"""),13.1)</f>
        <v>13.1</v>
      </c>
      <c r="AC705" s="14">
        <f>IFERROR(__xludf.DUMMYFUNCTION("""COMPUTED_VALUE"""),13.080000000000002)</f>
        <v>13.08</v>
      </c>
      <c r="AD705" s="48">
        <f>IFERROR(__xludf.DUMMYFUNCTION("""COMPUTED_VALUE"""),166.3)</f>
        <v>166.3</v>
      </c>
      <c r="AE705" s="48">
        <f>IFERROR(__xludf.DUMMYFUNCTION("""COMPUTED_VALUE"""),166.7)</f>
        <v>166.7</v>
      </c>
      <c r="AF705" s="48">
        <f>IFERROR(__xludf.DUMMYFUNCTION("""COMPUTED_VALUE"""),167.0)</f>
        <v>167</v>
      </c>
      <c r="AG705" s="48">
        <f>IFERROR(__xludf.DUMMYFUNCTION("""COMPUTED_VALUE"""),167.1)</f>
        <v>167.1</v>
      </c>
      <c r="AH705" s="48">
        <f>IFERROR(__xludf.DUMMYFUNCTION("""COMPUTED_VALUE"""),167.3)</f>
        <v>167.3</v>
      </c>
      <c r="AI705" s="14">
        <f>IFERROR(__xludf.DUMMYFUNCTION("""COMPUTED_VALUE"""),166.88000000000002)</f>
        <v>166.88</v>
      </c>
      <c r="AJ705" s="14">
        <f>IFERROR(__xludf.DUMMYFUNCTION("""COMPUTED_VALUE"""),6.7)</f>
        <v>6.7</v>
      </c>
      <c r="AK705" s="14">
        <f>IFERROR(__xludf.DUMMYFUNCTION("""COMPUTED_VALUE"""),6.97)</f>
        <v>6.97</v>
      </c>
      <c r="AL705" s="14">
        <f>IFERROR(__xludf.DUMMYFUNCTION("""COMPUTED_VALUE"""),6.99)</f>
        <v>6.99</v>
      </c>
      <c r="AM705" s="14">
        <f>IFERROR(__xludf.DUMMYFUNCTION("""COMPUTED_VALUE"""),6.78)</f>
        <v>6.78</v>
      </c>
      <c r="AN705" s="14">
        <f>IFERROR(__xludf.DUMMYFUNCTION("""COMPUTED_VALUE"""),6.93)</f>
        <v>6.93</v>
      </c>
      <c r="AO705" s="14">
        <f>IFERROR(__xludf.DUMMYFUNCTION("""COMPUTED_VALUE"""),6.8740000000000006)</f>
        <v>6.874</v>
      </c>
      <c r="AP705" s="14">
        <f>IFERROR(__xludf.DUMMYFUNCTION("""COMPUTED_VALUE"""),9.0)</f>
        <v>9</v>
      </c>
      <c r="AQ705" s="14">
        <f>IFERROR(__xludf.DUMMYFUNCTION("""COMPUTED_VALUE"""),25.0)</f>
        <v>25</v>
      </c>
      <c r="AR705" s="14">
        <f>IFERROR(__xludf.DUMMYFUNCTION("""COMPUTED_VALUE"""),56.0)</f>
        <v>56</v>
      </c>
      <c r="AS705" s="14">
        <f>IFERROR(__xludf.DUMMYFUNCTION("""COMPUTED_VALUE"""),1.2)</f>
        <v>1.2</v>
      </c>
      <c r="AT705" s="14">
        <f>IFERROR(__xludf.DUMMYFUNCTION("""COMPUTED_VALUE"""),1.37)</f>
        <v>1.37</v>
      </c>
      <c r="AU705" s="14">
        <f>IFERROR(__xludf.DUMMYFUNCTION("""COMPUTED_VALUE"""),172700.0)</f>
        <v>172700</v>
      </c>
      <c r="AV705" s="14">
        <f>IFERROR(__xludf.DUMMYFUNCTION("""COMPUTED_VALUE"""),2.46)</f>
        <v>2.46</v>
      </c>
      <c r="AW705" s="14">
        <f>IFERROR(__xludf.DUMMYFUNCTION("""COMPUTED_VALUE"""),4.5)</f>
        <v>4.5</v>
      </c>
      <c r="AX705" s="14">
        <f>IFERROR(__xludf.DUMMYFUNCTION("""COMPUTED_VALUE"""),8200.0)</f>
        <v>8200</v>
      </c>
      <c r="AY705" s="14">
        <f>IFERROR(__xludf.DUMMYFUNCTION("""COMPUTED_VALUE"""),0.9)</f>
        <v>0.9</v>
      </c>
      <c r="AZ705" s="14">
        <f>IFERROR(__xludf.DUMMYFUNCTION("""COMPUTED_VALUE"""),0.361)</f>
        <v>0.361</v>
      </c>
      <c r="BA705" s="14">
        <f t="shared" si="1"/>
        <v>5.761</v>
      </c>
    </row>
    <row r="706" ht="14.25" customHeight="1">
      <c r="A706" s="10" t="str">
        <f>IFERROR(__xludf.DUMMYFUNCTION("""COMPUTED_VALUE"""),"260822WI02")</f>
        <v>260822WI02</v>
      </c>
      <c r="B706" s="12" t="str">
        <f>IFERROR(__xludf.DUMMYFUNCTION("""COMPUTED_VALUE"""),"QSL-Portal Usme")</f>
        <v>QSL-Portal Usme</v>
      </c>
      <c r="C706" s="12"/>
      <c r="D706" s="12"/>
      <c r="E706" s="44">
        <f>IFERROR(__xludf.DUMMYFUNCTION("""COMPUTED_VALUE"""),44799.0)</f>
        <v>44799</v>
      </c>
      <c r="F706" s="12" t="str">
        <f>IFERROR(__xludf.DUMMYFUNCTION("""COMPUTED_VALUE"""),"TIPO I")</f>
        <v>TIPO I</v>
      </c>
      <c r="G706" s="12" t="str">
        <f>IFERROR(__xludf.DUMMYFUNCTION("""COMPUTED_VALUE"""),"Se percibe olor y se observa coloración. 
Altura: 2598 msnm")</f>
        <v>Se percibe olor y se observa coloración. 
Altura: 2598 msnm</v>
      </c>
      <c r="H706" s="45">
        <f>IFERROR(__xludf.DUMMYFUNCTION("""COMPUTED_VALUE"""),0.5)</f>
        <v>0.5</v>
      </c>
      <c r="I706" s="45">
        <f>IFERROR(__xludf.DUMMYFUNCTION("""COMPUTED_VALUE"""),0.5833333333321207)</f>
        <v>0.5833333333</v>
      </c>
      <c r="J706" s="12">
        <f>IFERROR(__xludf.DUMMYFUNCTION("""COMPUTED_VALUE"""),1.4)</f>
        <v>1.4</v>
      </c>
      <c r="K706" s="12">
        <f>IFERROR(__xludf.DUMMYFUNCTION("""COMPUTED_VALUE"""),0.14)</f>
        <v>0.14</v>
      </c>
      <c r="L706" s="14">
        <f>IFERROR(__xludf.DUMMYFUNCTION("""COMPUTED_VALUE"""),53.137)</f>
        <v>53.137</v>
      </c>
      <c r="M706" s="14">
        <f>IFERROR(__xludf.DUMMYFUNCTION("""COMPUTED_VALUE"""),51.331)</f>
        <v>51.331</v>
      </c>
      <c r="N706" s="14">
        <f>IFERROR(__xludf.DUMMYFUNCTION("""COMPUTED_VALUE"""),54.578)</f>
        <v>54.578</v>
      </c>
      <c r="O706" s="14">
        <f>IFERROR(__xludf.DUMMYFUNCTION("""COMPUTED_VALUE"""),53.319)</f>
        <v>53.319</v>
      </c>
      <c r="P706" s="14">
        <f>IFERROR(__xludf.DUMMYFUNCTION("""COMPUTED_VALUE"""),53.676)</f>
        <v>53.676</v>
      </c>
      <c r="Q706" s="14">
        <f>IFERROR(__xludf.DUMMYFUNCTION("""COMPUTED_VALUE"""),53.208)</f>
        <v>53.208</v>
      </c>
      <c r="R706" s="48">
        <f>IFERROR(__xludf.DUMMYFUNCTION("""COMPUTED_VALUE"""),7.57)</f>
        <v>7.57</v>
      </c>
      <c r="S706" s="48">
        <f>IFERROR(__xludf.DUMMYFUNCTION("""COMPUTED_VALUE"""),7.87)</f>
        <v>7.87</v>
      </c>
      <c r="T706" s="48">
        <f>IFERROR(__xludf.DUMMYFUNCTION("""COMPUTED_VALUE"""),7.4)</f>
        <v>7.4</v>
      </c>
      <c r="U706" s="48">
        <f>IFERROR(__xludf.DUMMYFUNCTION("""COMPUTED_VALUE"""),7.34)</f>
        <v>7.34</v>
      </c>
      <c r="V706" s="48">
        <f>IFERROR(__xludf.DUMMYFUNCTION("""COMPUTED_VALUE"""),7.32)</f>
        <v>7.32</v>
      </c>
      <c r="W706" s="14">
        <f>IFERROR(__xludf.DUMMYFUNCTION("""COMPUTED_VALUE"""),7.5)</f>
        <v>7.5</v>
      </c>
      <c r="X706" s="14">
        <f>IFERROR(__xludf.DUMMYFUNCTION("""COMPUTED_VALUE"""),17.5)</f>
        <v>17.5</v>
      </c>
      <c r="Y706" s="14">
        <f>IFERROR(__xludf.DUMMYFUNCTION("""COMPUTED_VALUE"""),17.3)</f>
        <v>17.3</v>
      </c>
      <c r="Z706" s="14">
        <f>IFERROR(__xludf.DUMMYFUNCTION("""COMPUTED_VALUE"""),17.4)</f>
        <v>17.4</v>
      </c>
      <c r="AA706" s="14">
        <f>IFERROR(__xludf.DUMMYFUNCTION("""COMPUTED_VALUE"""),17.5)</f>
        <v>17.5</v>
      </c>
      <c r="AB706" s="14">
        <f>IFERROR(__xludf.DUMMYFUNCTION("""COMPUTED_VALUE"""),17.5)</f>
        <v>17.5</v>
      </c>
      <c r="AC706" s="14">
        <f>IFERROR(__xludf.DUMMYFUNCTION("""COMPUTED_VALUE"""),17.439999999999998)</f>
        <v>17.44</v>
      </c>
      <c r="AD706" s="48">
        <f>IFERROR(__xludf.DUMMYFUNCTION("""COMPUTED_VALUE"""),421.0)</f>
        <v>421</v>
      </c>
      <c r="AE706" s="48">
        <f>IFERROR(__xludf.DUMMYFUNCTION("""COMPUTED_VALUE"""),402.0)</f>
        <v>402</v>
      </c>
      <c r="AF706" s="48">
        <f>IFERROR(__xludf.DUMMYFUNCTION("""COMPUTED_VALUE"""),413.0)</f>
        <v>413</v>
      </c>
      <c r="AG706" s="48">
        <f>IFERROR(__xludf.DUMMYFUNCTION("""COMPUTED_VALUE"""),396.0)</f>
        <v>396</v>
      </c>
      <c r="AH706" s="48">
        <f>IFERROR(__xludf.DUMMYFUNCTION("""COMPUTED_VALUE"""),403.0)</f>
        <v>403</v>
      </c>
      <c r="AI706" s="14">
        <f>IFERROR(__xludf.DUMMYFUNCTION("""COMPUTED_VALUE"""),407.0)</f>
        <v>407</v>
      </c>
      <c r="AJ706" s="14">
        <f>IFERROR(__xludf.DUMMYFUNCTION("""COMPUTED_VALUE"""),2.07)</f>
        <v>2.07</v>
      </c>
      <c r="AK706" s="14">
        <f>IFERROR(__xludf.DUMMYFUNCTION("""COMPUTED_VALUE"""),2.71)</f>
        <v>2.71</v>
      </c>
      <c r="AL706" s="14">
        <f>IFERROR(__xludf.DUMMYFUNCTION("""COMPUTED_VALUE"""),1.89)</f>
        <v>1.89</v>
      </c>
      <c r="AM706" s="14">
        <f>IFERROR(__xludf.DUMMYFUNCTION("""COMPUTED_VALUE"""),2.16)</f>
        <v>2.16</v>
      </c>
      <c r="AN706" s="14">
        <f>IFERROR(__xludf.DUMMYFUNCTION("""COMPUTED_VALUE"""),1.98)</f>
        <v>1.98</v>
      </c>
      <c r="AO706" s="14">
        <f>IFERROR(__xludf.DUMMYFUNCTION("""COMPUTED_VALUE"""),2.162)</f>
        <v>2.162</v>
      </c>
      <c r="AP706" s="14">
        <f>IFERROR(__xludf.DUMMYFUNCTION("""COMPUTED_VALUE"""),44.0)</f>
        <v>44</v>
      </c>
      <c r="AQ706" s="14">
        <f>IFERROR(__xludf.DUMMYFUNCTION("""COMPUTED_VALUE"""),59.0)</f>
        <v>59</v>
      </c>
      <c r="AR706" s="14">
        <f>IFERROR(__xludf.DUMMYFUNCTION("""COMPUTED_VALUE"""),64.0)</f>
        <v>64</v>
      </c>
      <c r="AS706" s="14">
        <f>IFERROR(__xludf.DUMMYFUNCTION("""COMPUTED_VALUE"""),15.0)</f>
        <v>15</v>
      </c>
      <c r="AT706" s="14">
        <f>IFERROR(__xludf.DUMMYFUNCTION("""COMPUTED_VALUE"""),3.06)</f>
        <v>3.06</v>
      </c>
      <c r="AU706" s="14">
        <f>IFERROR(__xludf.DUMMYFUNCTION("""COMPUTED_VALUE"""),7380000.0)</f>
        <v>7380000</v>
      </c>
      <c r="AV706" s="14">
        <f>IFERROR(__xludf.DUMMYFUNCTION("""COMPUTED_VALUE"""),1.75)</f>
        <v>1.75</v>
      </c>
      <c r="AW706" s="14">
        <f>IFERROR(__xludf.DUMMYFUNCTION("""COMPUTED_VALUE"""),12.6)</f>
        <v>12.6</v>
      </c>
      <c r="AX706" s="14">
        <f>IFERROR(__xludf.DUMMYFUNCTION("""COMPUTED_VALUE"""),4710000.0)</f>
        <v>4710000</v>
      </c>
      <c r="AY706" s="14">
        <f>IFERROR(__xludf.DUMMYFUNCTION("""COMPUTED_VALUE"""),0.5)</f>
        <v>0.5</v>
      </c>
      <c r="AZ706" s="14">
        <f>IFERROR(__xludf.DUMMYFUNCTION("""COMPUTED_VALUE"""),0.007)</f>
        <v>0.007</v>
      </c>
      <c r="BA706" s="14">
        <f t="shared" si="1"/>
        <v>13.107</v>
      </c>
    </row>
    <row r="707" ht="14.25" customHeight="1">
      <c r="A707" s="10" t="str">
        <f>IFERROR(__xludf.DUMMYFUNCTION("""COMPUTED_VALUE"""),"260822WI03")</f>
        <v>260822WI03</v>
      </c>
      <c r="B707" s="12" t="str">
        <f>IFERROR(__xludf.DUMMYFUNCTION("""COMPUTED_VALUE"""),"QSL-Alfonso López")</f>
        <v>QSL-Alfonso López</v>
      </c>
      <c r="C707" s="12"/>
      <c r="D707" s="12"/>
      <c r="E707" s="44">
        <f>IFERROR(__xludf.DUMMYFUNCTION("""COMPUTED_VALUE"""),44799.0)</f>
        <v>44799</v>
      </c>
      <c r="F707" s="12" t="str">
        <f>IFERROR(__xludf.DUMMYFUNCTION("""COMPUTED_VALUE"""),"TIPO I")</f>
        <v>TIPO I</v>
      </c>
      <c r="G707" s="12" t="str">
        <f>IFERROR(__xludf.DUMMYFUNCTION("""COMPUTED_VALUE"""),"Se observa color y no se percibe olor
Altura: 2751 msnm")</f>
        <v>Se observa color y no se percibe olor
Altura: 2751 msnm</v>
      </c>
      <c r="H707" s="45">
        <f>IFERROR(__xludf.DUMMYFUNCTION("""COMPUTED_VALUE"""),0.6666666666678793)</f>
        <v>0.6666666667</v>
      </c>
      <c r="I707" s="45">
        <f>IFERROR(__xludf.DUMMYFUNCTION("""COMPUTED_VALUE"""),0.75)</f>
        <v>0.75</v>
      </c>
      <c r="J707" s="12">
        <f>IFERROR(__xludf.DUMMYFUNCTION("""COMPUTED_VALUE"""),1.4)</f>
        <v>1.4</v>
      </c>
      <c r="K707" s="12">
        <f>IFERROR(__xludf.DUMMYFUNCTION("""COMPUTED_VALUE"""),0.11)</f>
        <v>0.11</v>
      </c>
      <c r="L707" s="14">
        <f>IFERROR(__xludf.DUMMYFUNCTION("""COMPUTED_VALUE"""),14.179)</f>
        <v>14.179</v>
      </c>
      <c r="M707" s="14">
        <f>IFERROR(__xludf.DUMMYFUNCTION("""COMPUTED_VALUE"""),14.718)</f>
        <v>14.718</v>
      </c>
      <c r="N707" s="14">
        <f>IFERROR(__xludf.DUMMYFUNCTION("""COMPUTED_VALUE"""),15.197)</f>
        <v>15.197</v>
      </c>
      <c r="O707" s="14">
        <f>IFERROR(__xludf.DUMMYFUNCTION("""COMPUTED_VALUE"""),15.279)</f>
        <v>15.279</v>
      </c>
      <c r="P707" s="14">
        <f>IFERROR(__xludf.DUMMYFUNCTION("""COMPUTED_VALUE"""),15.052)</f>
        <v>15.052</v>
      </c>
      <c r="Q707" s="14">
        <f>IFERROR(__xludf.DUMMYFUNCTION("""COMPUTED_VALUE"""),14.885)</f>
        <v>14.885</v>
      </c>
      <c r="R707" s="48">
        <f>IFERROR(__xludf.DUMMYFUNCTION("""COMPUTED_VALUE"""),7.42)</f>
        <v>7.42</v>
      </c>
      <c r="S707" s="48">
        <f>IFERROR(__xludf.DUMMYFUNCTION("""COMPUTED_VALUE"""),7.4)</f>
        <v>7.4</v>
      </c>
      <c r="T707" s="48">
        <f>IFERROR(__xludf.DUMMYFUNCTION("""COMPUTED_VALUE"""),7.33)</f>
        <v>7.33</v>
      </c>
      <c r="U707" s="48">
        <f>IFERROR(__xludf.DUMMYFUNCTION("""COMPUTED_VALUE"""),7.1)</f>
        <v>7.1</v>
      </c>
      <c r="V707" s="48">
        <f>IFERROR(__xludf.DUMMYFUNCTION("""COMPUTED_VALUE"""),7.06)</f>
        <v>7.06</v>
      </c>
      <c r="W707" s="14">
        <f>IFERROR(__xludf.DUMMYFUNCTION("""COMPUTED_VALUE"""),7.2620000000000005)</f>
        <v>7.262</v>
      </c>
      <c r="X707" s="14">
        <f>IFERROR(__xludf.DUMMYFUNCTION("""COMPUTED_VALUE"""),14.5)</f>
        <v>14.5</v>
      </c>
      <c r="Y707" s="14">
        <f>IFERROR(__xludf.DUMMYFUNCTION("""COMPUTED_VALUE"""),15.7)</f>
        <v>15.7</v>
      </c>
      <c r="Z707" s="14">
        <f>IFERROR(__xludf.DUMMYFUNCTION("""COMPUTED_VALUE"""),13.0)</f>
        <v>13</v>
      </c>
      <c r="AA707" s="14">
        <f>IFERROR(__xludf.DUMMYFUNCTION("""COMPUTED_VALUE"""),12.9)</f>
        <v>12.9</v>
      </c>
      <c r="AB707" s="14">
        <f>IFERROR(__xludf.DUMMYFUNCTION("""COMPUTED_VALUE"""),13.1)</f>
        <v>13.1</v>
      </c>
      <c r="AC707" s="14">
        <f>IFERROR(__xludf.DUMMYFUNCTION("""COMPUTED_VALUE"""),13.84)</f>
        <v>13.84</v>
      </c>
      <c r="AD707" s="48">
        <f>IFERROR(__xludf.DUMMYFUNCTION("""COMPUTED_VALUE"""),280.0)</f>
        <v>280</v>
      </c>
      <c r="AE707" s="48">
        <f>IFERROR(__xludf.DUMMYFUNCTION("""COMPUTED_VALUE"""),276.0)</f>
        <v>276</v>
      </c>
      <c r="AF707" s="48">
        <f>IFERROR(__xludf.DUMMYFUNCTION("""COMPUTED_VALUE"""),288.0)</f>
        <v>288</v>
      </c>
      <c r="AG707" s="48">
        <f>IFERROR(__xludf.DUMMYFUNCTION("""COMPUTED_VALUE"""),305.0)</f>
        <v>305</v>
      </c>
      <c r="AH707" s="48">
        <f>IFERROR(__xludf.DUMMYFUNCTION("""COMPUTED_VALUE"""),292.0)</f>
        <v>292</v>
      </c>
      <c r="AI707" s="14">
        <f>IFERROR(__xludf.DUMMYFUNCTION("""COMPUTED_VALUE"""),288.2)</f>
        <v>288.2</v>
      </c>
      <c r="AJ707" s="14">
        <f>IFERROR(__xludf.DUMMYFUNCTION("""COMPUTED_VALUE"""),6.41)</f>
        <v>6.41</v>
      </c>
      <c r="AK707" s="14">
        <f>IFERROR(__xludf.DUMMYFUNCTION("""COMPUTED_VALUE"""),6.81)</f>
        <v>6.81</v>
      </c>
      <c r="AL707" s="14">
        <f>IFERROR(__xludf.DUMMYFUNCTION("""COMPUTED_VALUE"""),6.37)</f>
        <v>6.37</v>
      </c>
      <c r="AM707" s="14">
        <f>IFERROR(__xludf.DUMMYFUNCTION("""COMPUTED_VALUE"""),6.66)</f>
        <v>6.66</v>
      </c>
      <c r="AN707" s="14">
        <f>IFERROR(__xludf.DUMMYFUNCTION("""COMPUTED_VALUE"""),6.28)</f>
        <v>6.28</v>
      </c>
      <c r="AO707" s="14">
        <f>IFERROR(__xludf.DUMMYFUNCTION("""COMPUTED_VALUE"""),6.506)</f>
        <v>6.506</v>
      </c>
      <c r="AP707" s="14">
        <f>IFERROR(__xludf.DUMMYFUNCTION("""COMPUTED_VALUE"""),6.0)</f>
        <v>6</v>
      </c>
      <c r="AQ707" s="14">
        <f>IFERROR(__xludf.DUMMYFUNCTION("""COMPUTED_VALUE"""),18.0)</f>
        <v>18</v>
      </c>
      <c r="AR707" s="14">
        <f>IFERROR(__xludf.DUMMYFUNCTION("""COMPUTED_VALUE"""),18.0)</f>
        <v>18</v>
      </c>
      <c r="AS707" s="14">
        <f>IFERROR(__xludf.DUMMYFUNCTION("""COMPUTED_VALUE"""),1.2)</f>
        <v>1.2</v>
      </c>
      <c r="AT707" s="14">
        <f>IFERROR(__xludf.DUMMYFUNCTION("""COMPUTED_VALUE"""),0.18)</f>
        <v>0.18</v>
      </c>
      <c r="AU707" s="14">
        <f>IFERROR(__xludf.DUMMYFUNCTION("""COMPUTED_VALUE"""),1100000.0)</f>
        <v>1100000</v>
      </c>
      <c r="AV707" s="14">
        <f>IFERROR(__xludf.DUMMYFUNCTION("""COMPUTED_VALUE"""),0.41)</f>
        <v>0.41</v>
      </c>
      <c r="AW707" s="14">
        <f>IFERROR(__xludf.DUMMYFUNCTION("""COMPUTED_VALUE"""),2.0)</f>
        <v>2</v>
      </c>
      <c r="AX707" s="14">
        <f>IFERROR(__xludf.DUMMYFUNCTION("""COMPUTED_VALUE"""),959000.0)</f>
        <v>959000</v>
      </c>
      <c r="AY707" s="14">
        <f>IFERROR(__xludf.DUMMYFUNCTION("""COMPUTED_VALUE"""),6.2)</f>
        <v>6.2</v>
      </c>
      <c r="AZ707" s="14">
        <f>IFERROR(__xludf.DUMMYFUNCTION("""COMPUTED_VALUE"""),0.366)</f>
        <v>0.366</v>
      </c>
      <c r="BA707" s="14">
        <f t="shared" si="1"/>
        <v>8.566</v>
      </c>
    </row>
    <row r="708" ht="14.25" customHeight="1">
      <c r="A708" s="10" t="str">
        <f>IFERROR(__xludf.DUMMYFUNCTION("""COMPUTED_VALUE"""),"050922MI02")</f>
        <v>050922MI02</v>
      </c>
      <c r="B708" s="12" t="str">
        <f>IFERROR(__xludf.DUMMYFUNCTION("""COMPUTED_VALUE"""),"QYO-Bolonia")</f>
        <v>QYO-Bolonia</v>
      </c>
      <c r="C708" s="12"/>
      <c r="D708" s="12"/>
      <c r="E708" s="44">
        <f>IFERROR(__xludf.DUMMYFUNCTION("""COMPUTED_VALUE"""),44809.0)</f>
        <v>44809</v>
      </c>
      <c r="F708" s="12" t="str">
        <f>IFERROR(__xludf.DUMMYFUNCTION("""COMPUTED_VALUE"""),"TIPO I")</f>
        <v>TIPO I</v>
      </c>
      <c r="G708" s="12" t="str">
        <f>IFERROR(__xludf.DUMMYFUNCTION("""COMPUTED_VALUE"""),"Se percibe olor, se observa coloración y residuos sólidos.
Altura: 2757 msnm")</f>
        <v>Se percibe olor, se observa coloración y residuos sólidos.
Altura: 2757 msnm</v>
      </c>
      <c r="H708" s="45">
        <f>IFERROR(__xludf.DUMMYFUNCTION("""COMPUTED_VALUE"""),0.6666666666678793)</f>
        <v>0.6666666667</v>
      </c>
      <c r="I708" s="45">
        <f>IFERROR(__xludf.DUMMYFUNCTION("""COMPUTED_VALUE"""),0.75)</f>
        <v>0.75</v>
      </c>
      <c r="J708" s="12">
        <f>IFERROR(__xludf.DUMMYFUNCTION("""COMPUTED_VALUE"""),3.0)</f>
        <v>3</v>
      </c>
      <c r="K708" s="12">
        <f>IFERROR(__xludf.DUMMYFUNCTION("""COMPUTED_VALUE"""),0.65)</f>
        <v>0.65</v>
      </c>
      <c r="L708" s="14">
        <f>IFERROR(__xludf.DUMMYFUNCTION("""COMPUTED_VALUE"""),458.391)</f>
        <v>458.391</v>
      </c>
      <c r="M708" s="14">
        <f>IFERROR(__xludf.DUMMYFUNCTION("""COMPUTED_VALUE"""),410.777)</f>
        <v>410.777</v>
      </c>
      <c r="N708" s="14">
        <f>IFERROR(__xludf.DUMMYFUNCTION("""COMPUTED_VALUE"""),388.379)</f>
        <v>388.379</v>
      </c>
      <c r="O708" s="14">
        <f>IFERROR(__xludf.DUMMYFUNCTION("""COMPUTED_VALUE"""),411.035)</f>
        <v>411.035</v>
      </c>
      <c r="P708" s="14">
        <f>IFERROR(__xludf.DUMMYFUNCTION("""COMPUTED_VALUE"""),418.561)</f>
        <v>418.561</v>
      </c>
      <c r="Q708" s="14">
        <f>IFERROR(__xludf.DUMMYFUNCTION("""COMPUTED_VALUE"""),417.429)</f>
        <v>417.429</v>
      </c>
      <c r="R708" s="48">
        <f>IFERROR(__xludf.DUMMYFUNCTION("""COMPUTED_VALUE"""),8.02)</f>
        <v>8.02</v>
      </c>
      <c r="S708" s="48">
        <f>IFERROR(__xludf.DUMMYFUNCTION("""COMPUTED_VALUE"""),7.8)</f>
        <v>7.8</v>
      </c>
      <c r="T708" s="48">
        <f>IFERROR(__xludf.DUMMYFUNCTION("""COMPUTED_VALUE"""),7.81)</f>
        <v>7.81</v>
      </c>
      <c r="U708" s="48">
        <f>IFERROR(__xludf.DUMMYFUNCTION("""COMPUTED_VALUE"""),7.78)</f>
        <v>7.78</v>
      </c>
      <c r="V708" s="48">
        <f>IFERROR(__xludf.DUMMYFUNCTION("""COMPUTED_VALUE"""),7.75)</f>
        <v>7.75</v>
      </c>
      <c r="W708" s="14">
        <f>IFERROR(__xludf.DUMMYFUNCTION("""COMPUTED_VALUE"""),7.831999999999999)</f>
        <v>7.832</v>
      </c>
      <c r="X708" s="14">
        <f>IFERROR(__xludf.DUMMYFUNCTION("""COMPUTED_VALUE"""),12.9)</f>
        <v>12.9</v>
      </c>
      <c r="Y708" s="14">
        <f>IFERROR(__xludf.DUMMYFUNCTION("""COMPUTED_VALUE"""),12.8)</f>
        <v>12.8</v>
      </c>
      <c r="Z708" s="14">
        <f>IFERROR(__xludf.DUMMYFUNCTION("""COMPUTED_VALUE"""),12.9)</f>
        <v>12.9</v>
      </c>
      <c r="AA708" s="14">
        <f>IFERROR(__xludf.DUMMYFUNCTION("""COMPUTED_VALUE"""),12.9)</f>
        <v>12.9</v>
      </c>
      <c r="AB708" s="14">
        <f>IFERROR(__xludf.DUMMYFUNCTION("""COMPUTED_VALUE"""),12.7)</f>
        <v>12.7</v>
      </c>
      <c r="AC708" s="14">
        <f>IFERROR(__xludf.DUMMYFUNCTION("""COMPUTED_VALUE"""),12.84)</f>
        <v>12.84</v>
      </c>
      <c r="AD708" s="48">
        <f>IFERROR(__xludf.DUMMYFUNCTION("""COMPUTED_VALUE"""),121.2)</f>
        <v>121.2</v>
      </c>
      <c r="AE708" s="48">
        <f>IFERROR(__xludf.DUMMYFUNCTION("""COMPUTED_VALUE"""),99.4)</f>
        <v>99.4</v>
      </c>
      <c r="AF708" s="48">
        <f>IFERROR(__xludf.DUMMYFUNCTION("""COMPUTED_VALUE"""),99.7)</f>
        <v>99.7</v>
      </c>
      <c r="AG708" s="48">
        <f>IFERROR(__xludf.DUMMYFUNCTION("""COMPUTED_VALUE"""),99.7)</f>
        <v>99.7</v>
      </c>
      <c r="AH708" s="48">
        <f>IFERROR(__xludf.DUMMYFUNCTION("""COMPUTED_VALUE"""),99.6)</f>
        <v>99.6</v>
      </c>
      <c r="AI708" s="14">
        <f>IFERROR(__xludf.DUMMYFUNCTION("""COMPUTED_VALUE"""),103.92)</f>
        <v>103.92</v>
      </c>
      <c r="AJ708" s="14">
        <f>IFERROR(__xludf.DUMMYFUNCTION("""COMPUTED_VALUE"""),6.85)</f>
        <v>6.85</v>
      </c>
      <c r="AK708" s="14">
        <f>IFERROR(__xludf.DUMMYFUNCTION("""COMPUTED_VALUE"""),7.04)</f>
        <v>7.04</v>
      </c>
      <c r="AL708" s="14">
        <f>IFERROR(__xludf.DUMMYFUNCTION("""COMPUTED_VALUE"""),7.7)</f>
        <v>7.7</v>
      </c>
      <c r="AM708" s="14">
        <f>IFERROR(__xludf.DUMMYFUNCTION("""COMPUTED_VALUE"""),7.8)</f>
        <v>7.8</v>
      </c>
      <c r="AN708" s="14">
        <f>IFERROR(__xludf.DUMMYFUNCTION("""COMPUTED_VALUE"""),7.65)</f>
        <v>7.65</v>
      </c>
      <c r="AO708" s="14">
        <f>IFERROR(__xludf.DUMMYFUNCTION("""COMPUTED_VALUE"""),7.4079999999999995)</f>
        <v>7.408</v>
      </c>
      <c r="AP708" s="14">
        <f>IFERROR(__xludf.DUMMYFUNCTION("""COMPUTED_VALUE"""),3.0)</f>
        <v>3</v>
      </c>
      <c r="AQ708" s="14">
        <f>IFERROR(__xludf.DUMMYFUNCTION("""COMPUTED_VALUE"""),15.0)</f>
        <v>15</v>
      </c>
      <c r="AR708" s="14">
        <f>IFERROR(__xludf.DUMMYFUNCTION("""COMPUTED_VALUE"""),80.0)</f>
        <v>80</v>
      </c>
      <c r="AS708" s="14">
        <f>IFERROR(__xludf.DUMMYFUNCTION("""COMPUTED_VALUE"""),1.2)</f>
        <v>1.2</v>
      </c>
      <c r="AT708" s="14">
        <f>IFERROR(__xludf.DUMMYFUNCTION("""COMPUTED_VALUE"""),0.32)</f>
        <v>0.32</v>
      </c>
      <c r="AU708" s="14">
        <f>IFERROR(__xludf.DUMMYFUNCTION("""COMPUTED_VALUE"""),133700.0)</f>
        <v>133700</v>
      </c>
      <c r="AV708" s="14">
        <f>IFERROR(__xludf.DUMMYFUNCTION("""COMPUTED_VALUE"""),0.48)</f>
        <v>0.48</v>
      </c>
      <c r="AW708" s="14">
        <f>IFERROR(__xludf.DUMMYFUNCTION("""COMPUTED_VALUE"""),1.4)</f>
        <v>1.4</v>
      </c>
      <c r="AX708" s="14">
        <f>IFERROR(__xludf.DUMMYFUNCTION("""COMPUTED_VALUE"""),70300.0)</f>
        <v>70300</v>
      </c>
      <c r="AY708" s="14">
        <f>IFERROR(__xludf.DUMMYFUNCTION("""COMPUTED_VALUE"""),1.3)</f>
        <v>1.3</v>
      </c>
      <c r="AZ708" s="14">
        <f>IFERROR(__xludf.DUMMYFUNCTION("""COMPUTED_VALUE"""),0.08)</f>
        <v>0.08</v>
      </c>
      <c r="BA708" s="14">
        <f t="shared" si="1"/>
        <v>2.78</v>
      </c>
    </row>
    <row r="709" ht="14.25" customHeight="1">
      <c r="A709" s="10" t="str">
        <f>IFERROR(__xludf.DUMMYFUNCTION("""COMPUTED_VALUE"""),"050922HA02")</f>
        <v>050922HA02</v>
      </c>
      <c r="B709" s="12" t="str">
        <f>IFERROR(__xludf.DUMMYFUNCTION("""COMPUTED_VALUE"""),"QYO-Arrayanal")</f>
        <v>QYO-Arrayanal</v>
      </c>
      <c r="C709" s="12"/>
      <c r="D709" s="12"/>
      <c r="E709" s="44">
        <f>IFERROR(__xludf.DUMMYFUNCTION("""COMPUTED_VALUE"""),44809.0)</f>
        <v>44809</v>
      </c>
      <c r="F709" s="12" t="str">
        <f>IFERROR(__xludf.DUMMYFUNCTION("""COMPUTED_VALUE"""),"TIPO I")</f>
        <v>TIPO I</v>
      </c>
      <c r="G709" s="12" t="str">
        <f>IFERROR(__xludf.DUMMYFUNCTION("""COMPUTED_VALUE"""),"Estructura del canal natural, rocoso arenoso, durante el monitoreo se evidencia color, se presentan lluvias moderadas en la toma de alícuotas 1, 2 y 3, en la toma 4 y 5 se presentaron fuertes lluvias por tal motivo no se toman las alícuotas. 
Altitud: 282"&amp;"0msnm ")</f>
        <v>Estructura del canal natural, rocoso arenoso, durante el monitoreo se evidencia color, se presentan lluvias moderadas en la toma de alícuotas 1, 2 y 3, en la toma 4 y 5 se presentaron fuertes lluvias por tal motivo no se toman las alícuotas. 
Altitud: 2820msnm </v>
      </c>
      <c r="H709" s="45">
        <f>IFERROR(__xludf.DUMMYFUNCTION("""COMPUTED_VALUE"""),0.4166666666678793)</f>
        <v>0.4166666667</v>
      </c>
      <c r="I709" s="45">
        <f>IFERROR(__xludf.DUMMYFUNCTION("""COMPUTED_VALUE"""),0.5)</f>
        <v>0.5</v>
      </c>
      <c r="J709" s="12">
        <f>IFERROR(__xludf.DUMMYFUNCTION("""COMPUTED_VALUE"""),3.3)</f>
        <v>3.3</v>
      </c>
      <c r="K709" s="12">
        <f>IFERROR(__xludf.DUMMYFUNCTION("""COMPUTED_VALUE"""),0.58)</f>
        <v>0.58</v>
      </c>
      <c r="L709" s="14">
        <f>IFERROR(__xludf.DUMMYFUNCTION("""COMPUTED_VALUE"""),281.44)</f>
        <v>281.44</v>
      </c>
      <c r="M709" s="14">
        <f>IFERROR(__xludf.DUMMYFUNCTION("""COMPUTED_VALUE"""),282.139)</f>
        <v>282.139</v>
      </c>
      <c r="N709" s="14">
        <f>IFERROR(__xludf.DUMMYFUNCTION("""COMPUTED_VALUE"""),283.564)</f>
        <v>283.564</v>
      </c>
      <c r="O709" s="14"/>
      <c r="P709" s="14"/>
      <c r="Q709" s="14">
        <f>IFERROR(__xludf.DUMMYFUNCTION("""COMPUTED_VALUE"""),282.381)</f>
        <v>282.381</v>
      </c>
      <c r="R709" s="48">
        <f>IFERROR(__xludf.DUMMYFUNCTION("""COMPUTED_VALUE"""),6.51)</f>
        <v>6.51</v>
      </c>
      <c r="S709" s="48">
        <f>IFERROR(__xludf.DUMMYFUNCTION("""COMPUTED_VALUE"""),6.83)</f>
        <v>6.83</v>
      </c>
      <c r="T709" s="48">
        <f>IFERROR(__xludf.DUMMYFUNCTION("""COMPUTED_VALUE"""),6.53)</f>
        <v>6.53</v>
      </c>
      <c r="U709" s="48"/>
      <c r="V709" s="48"/>
      <c r="W709" s="14">
        <f>IFERROR(__xludf.DUMMYFUNCTION("""COMPUTED_VALUE"""),6.623333333333334)</f>
        <v>6.623333333</v>
      </c>
      <c r="X709" s="14">
        <f>IFERROR(__xludf.DUMMYFUNCTION("""COMPUTED_VALUE"""),10.75)</f>
        <v>10.75</v>
      </c>
      <c r="Y709" s="14">
        <f>IFERROR(__xludf.DUMMYFUNCTION("""COMPUTED_VALUE"""),10.79)</f>
        <v>10.79</v>
      </c>
      <c r="Z709" s="14">
        <f>IFERROR(__xludf.DUMMYFUNCTION("""COMPUTED_VALUE"""),10.75)</f>
        <v>10.75</v>
      </c>
      <c r="AA709" s="14"/>
      <c r="AB709" s="14"/>
      <c r="AC709" s="14">
        <f>IFERROR(__xludf.DUMMYFUNCTION("""COMPUTED_VALUE"""),10.763333333333334)</f>
        <v>10.76333333</v>
      </c>
      <c r="AD709" s="48">
        <f>IFERROR(__xludf.DUMMYFUNCTION("""COMPUTED_VALUE"""),53.0)</f>
        <v>53</v>
      </c>
      <c r="AE709" s="48">
        <f>IFERROR(__xludf.DUMMYFUNCTION("""COMPUTED_VALUE"""),56.0)</f>
        <v>56</v>
      </c>
      <c r="AF709" s="48">
        <f>IFERROR(__xludf.DUMMYFUNCTION("""COMPUTED_VALUE"""),53.0)</f>
        <v>53</v>
      </c>
      <c r="AG709" s="48"/>
      <c r="AH709" s="48"/>
      <c r="AI709" s="14">
        <f>IFERROR(__xludf.DUMMYFUNCTION("""COMPUTED_VALUE"""),54.0)</f>
        <v>54</v>
      </c>
      <c r="AJ709" s="14">
        <f>IFERROR(__xludf.DUMMYFUNCTION("""COMPUTED_VALUE"""),8.13)</f>
        <v>8.13</v>
      </c>
      <c r="AK709" s="14">
        <f>IFERROR(__xludf.DUMMYFUNCTION("""COMPUTED_VALUE"""),8.4)</f>
        <v>8.4</v>
      </c>
      <c r="AL709" s="14">
        <f>IFERROR(__xludf.DUMMYFUNCTION("""COMPUTED_VALUE"""),8.16)</f>
        <v>8.16</v>
      </c>
      <c r="AM709" s="14"/>
      <c r="AN709" s="14"/>
      <c r="AO709" s="14">
        <f>IFERROR(__xludf.DUMMYFUNCTION("""COMPUTED_VALUE"""),8.23)</f>
        <v>8.23</v>
      </c>
      <c r="AP709" s="14">
        <f>IFERROR(__xludf.DUMMYFUNCTION("""COMPUTED_VALUE"""),4.0)</f>
        <v>4</v>
      </c>
      <c r="AQ709" s="14">
        <f>IFERROR(__xludf.DUMMYFUNCTION("""COMPUTED_VALUE"""),12.0)</f>
        <v>12</v>
      </c>
      <c r="AR709" s="14">
        <f>IFERROR(__xludf.DUMMYFUNCTION("""COMPUTED_VALUE"""),8.0)</f>
        <v>8</v>
      </c>
      <c r="AS709" s="14">
        <f>IFERROR(__xludf.DUMMYFUNCTION("""COMPUTED_VALUE"""),1.2)</f>
        <v>1.2</v>
      </c>
      <c r="AT709" s="14">
        <f>IFERROR(__xludf.DUMMYFUNCTION("""COMPUTED_VALUE"""),0.51)</f>
        <v>0.51</v>
      </c>
      <c r="AU709" s="14">
        <f>IFERROR(__xludf.DUMMYFUNCTION("""COMPUTED_VALUE"""),145000.0)</f>
        <v>145000</v>
      </c>
      <c r="AV709" s="14">
        <f>IFERROR(__xludf.DUMMYFUNCTION("""COMPUTED_VALUE"""),0.34)</f>
        <v>0.34</v>
      </c>
      <c r="AW709" s="14">
        <f>IFERROR(__xludf.DUMMYFUNCTION("""COMPUTED_VALUE"""),1.96)</f>
        <v>1.96</v>
      </c>
      <c r="AX709" s="14">
        <f>IFERROR(__xludf.DUMMYFUNCTION("""COMPUTED_VALUE"""),10470.0)</f>
        <v>10470</v>
      </c>
      <c r="AY709" s="14">
        <f>IFERROR(__xludf.DUMMYFUNCTION("""COMPUTED_VALUE"""),1.3)</f>
        <v>1.3</v>
      </c>
      <c r="AZ709" s="14">
        <f>IFERROR(__xludf.DUMMYFUNCTION("""COMPUTED_VALUE"""),0.036)</f>
        <v>0.036</v>
      </c>
      <c r="BA709" s="14">
        <f t="shared" si="1"/>
        <v>3.296</v>
      </c>
    </row>
    <row r="710" ht="14.25" customHeight="1">
      <c r="A710" s="10" t="str">
        <f>IFERROR(__xludf.DUMMYFUNCTION("""COMPUTED_VALUE"""),"090922DU01")</f>
        <v>090922DU01</v>
      </c>
      <c r="B710" s="12" t="str">
        <f>IFERROR(__xludf.DUMMYFUNCTION("""COMPUTED_VALUE"""),"CON-Bella Suiza")</f>
        <v>CON-Bella Suiza</v>
      </c>
      <c r="C710" s="12"/>
      <c r="D710" s="12"/>
      <c r="E710" s="44">
        <f>IFERROR(__xludf.DUMMYFUNCTION("""COMPUTED_VALUE"""),44813.0)</f>
        <v>44813</v>
      </c>
      <c r="F710" s="12" t="str">
        <f>IFERROR(__xludf.DUMMYFUNCTION("""COMPUTED_VALUE"""),"TIPO I")</f>
        <v>TIPO I</v>
      </c>
      <c r="G710" s="12" t="str">
        <f>IFERROR(__xludf.DUMMYFUNCTION("""COMPUTED_VALUE"""),"Canal en concreto, se observa coloración y algas en el lecho del canal.
Altura: 2566 msnm")</f>
        <v>Canal en concreto, se observa coloración y algas en el lecho del canal.
Altura: 2566 msnm</v>
      </c>
      <c r="H710" s="45">
        <f>IFERROR(__xludf.DUMMYFUNCTION("""COMPUTED_VALUE"""),0.3333333333321207)</f>
        <v>0.3333333333</v>
      </c>
      <c r="I710" s="45">
        <f>IFERROR(__xludf.DUMMYFUNCTION("""COMPUTED_VALUE"""),0.4166666666678793)</f>
        <v>0.4166666667</v>
      </c>
      <c r="J710" s="12">
        <f>IFERROR(__xludf.DUMMYFUNCTION("""COMPUTED_VALUE"""),1.0)</f>
        <v>1</v>
      </c>
      <c r="K710" s="12">
        <f>IFERROR(__xludf.DUMMYFUNCTION("""COMPUTED_VALUE"""),0.09)</f>
        <v>0.09</v>
      </c>
      <c r="L710" s="14">
        <f>IFERROR(__xludf.DUMMYFUNCTION("""COMPUTED_VALUE"""),7.506)</f>
        <v>7.506</v>
      </c>
      <c r="M710" s="14">
        <f>IFERROR(__xludf.DUMMYFUNCTION("""COMPUTED_VALUE"""),8.327)</f>
        <v>8.327</v>
      </c>
      <c r="N710" s="14">
        <f>IFERROR(__xludf.DUMMYFUNCTION("""COMPUTED_VALUE"""),8.51)</f>
        <v>8.51</v>
      </c>
      <c r="O710" s="14">
        <f>IFERROR(__xludf.DUMMYFUNCTION("""COMPUTED_VALUE"""),9.007)</f>
        <v>9.007</v>
      </c>
      <c r="P710" s="14">
        <f>IFERROR(__xludf.DUMMYFUNCTION("""COMPUTED_VALUE"""),8.528)</f>
        <v>8.528</v>
      </c>
      <c r="Q710" s="14">
        <f>IFERROR(__xludf.DUMMYFUNCTION("""COMPUTED_VALUE"""),8.375)</f>
        <v>8.375</v>
      </c>
      <c r="R710" s="48">
        <f>IFERROR(__xludf.DUMMYFUNCTION("""COMPUTED_VALUE"""),7.06)</f>
        <v>7.06</v>
      </c>
      <c r="S710" s="48">
        <f>IFERROR(__xludf.DUMMYFUNCTION("""COMPUTED_VALUE"""),7.12)</f>
        <v>7.12</v>
      </c>
      <c r="T710" s="48">
        <f>IFERROR(__xludf.DUMMYFUNCTION("""COMPUTED_VALUE"""),7.17)</f>
        <v>7.17</v>
      </c>
      <c r="U710" s="48">
        <f>IFERROR(__xludf.DUMMYFUNCTION("""COMPUTED_VALUE"""),7.13)</f>
        <v>7.13</v>
      </c>
      <c r="V710" s="48">
        <f>IFERROR(__xludf.DUMMYFUNCTION("""COMPUTED_VALUE"""),7.17)</f>
        <v>7.17</v>
      </c>
      <c r="W710" s="14">
        <f>IFERROR(__xludf.DUMMYFUNCTION("""COMPUTED_VALUE"""),7.13)</f>
        <v>7.13</v>
      </c>
      <c r="X710" s="14">
        <f>IFERROR(__xludf.DUMMYFUNCTION("""COMPUTED_VALUE"""),17.38)</f>
        <v>17.38</v>
      </c>
      <c r="Y710" s="14">
        <f>IFERROR(__xludf.DUMMYFUNCTION("""COMPUTED_VALUE"""),17.06)</f>
        <v>17.06</v>
      </c>
      <c r="Z710" s="14">
        <f>IFERROR(__xludf.DUMMYFUNCTION("""COMPUTED_VALUE"""),17.26)</f>
        <v>17.26</v>
      </c>
      <c r="AA710" s="14">
        <f>IFERROR(__xludf.DUMMYFUNCTION("""COMPUTED_VALUE"""),17.19)</f>
        <v>17.19</v>
      </c>
      <c r="AB710" s="14">
        <f>IFERROR(__xludf.DUMMYFUNCTION("""COMPUTED_VALUE"""),17.27)</f>
        <v>17.27</v>
      </c>
      <c r="AC710" s="14">
        <f>IFERROR(__xludf.DUMMYFUNCTION("""COMPUTED_VALUE"""),17.232)</f>
        <v>17.232</v>
      </c>
      <c r="AD710" s="48">
        <f>IFERROR(__xludf.DUMMYFUNCTION("""COMPUTED_VALUE"""),290.0)</f>
        <v>290</v>
      </c>
      <c r="AE710" s="48">
        <f>IFERROR(__xludf.DUMMYFUNCTION("""COMPUTED_VALUE"""),287.0)</f>
        <v>287</v>
      </c>
      <c r="AF710" s="48">
        <f>IFERROR(__xludf.DUMMYFUNCTION("""COMPUTED_VALUE"""),287.0)</f>
        <v>287</v>
      </c>
      <c r="AG710" s="48">
        <f>IFERROR(__xludf.DUMMYFUNCTION("""COMPUTED_VALUE"""),286.0)</f>
        <v>286</v>
      </c>
      <c r="AH710" s="48">
        <f>IFERROR(__xludf.DUMMYFUNCTION("""COMPUTED_VALUE"""),284.0)</f>
        <v>284</v>
      </c>
      <c r="AI710" s="14">
        <f>IFERROR(__xludf.DUMMYFUNCTION("""COMPUTED_VALUE"""),286.8)</f>
        <v>286.8</v>
      </c>
      <c r="AJ710" s="14">
        <f>IFERROR(__xludf.DUMMYFUNCTION("""COMPUTED_VALUE"""),1.81)</f>
        <v>1.81</v>
      </c>
      <c r="AK710" s="14">
        <f>IFERROR(__xludf.DUMMYFUNCTION("""COMPUTED_VALUE"""),2.21)</f>
        <v>2.21</v>
      </c>
      <c r="AL710" s="14">
        <f>IFERROR(__xludf.DUMMYFUNCTION("""COMPUTED_VALUE"""),2.15)</f>
        <v>2.15</v>
      </c>
      <c r="AM710" s="14">
        <f>IFERROR(__xludf.DUMMYFUNCTION("""COMPUTED_VALUE"""),2.22)</f>
        <v>2.22</v>
      </c>
      <c r="AN710" s="14">
        <f>IFERROR(__xludf.DUMMYFUNCTION("""COMPUTED_VALUE"""),2.06)</f>
        <v>2.06</v>
      </c>
      <c r="AO710" s="14">
        <f>IFERROR(__xludf.DUMMYFUNCTION("""COMPUTED_VALUE"""),2.0900000000000003)</f>
        <v>2.09</v>
      </c>
      <c r="AP710" s="14">
        <f>IFERROR(__xludf.DUMMYFUNCTION("""COMPUTED_VALUE"""),22.0)</f>
        <v>22</v>
      </c>
      <c r="AQ710" s="14">
        <f>IFERROR(__xludf.DUMMYFUNCTION("""COMPUTED_VALUE"""),36.0)</f>
        <v>36</v>
      </c>
      <c r="AR710" s="14">
        <f>IFERROR(__xludf.DUMMYFUNCTION("""COMPUTED_VALUE"""),14.0)</f>
        <v>14</v>
      </c>
      <c r="AS710" s="14">
        <f>IFERROR(__xludf.DUMMYFUNCTION("""COMPUTED_VALUE"""),34.0)</f>
        <v>34</v>
      </c>
      <c r="AT710" s="14">
        <f>IFERROR(__xludf.DUMMYFUNCTION("""COMPUTED_VALUE"""),2.23)</f>
        <v>2.23</v>
      </c>
      <c r="AU710" s="14">
        <f>IFERROR(__xludf.DUMMYFUNCTION("""COMPUTED_VALUE"""),1968000.0)</f>
        <v>1968000</v>
      </c>
      <c r="AV710" s="14">
        <f>IFERROR(__xludf.DUMMYFUNCTION("""COMPUTED_VALUE"""),1.67)</f>
        <v>1.67</v>
      </c>
      <c r="AW710" s="14">
        <f>IFERROR(__xludf.DUMMYFUNCTION("""COMPUTED_VALUE"""),4.2)</f>
        <v>4.2</v>
      </c>
      <c r="AX710" s="14">
        <f>IFERROR(__xludf.DUMMYFUNCTION("""COMPUTED_VALUE"""),71700.0)</f>
        <v>71700</v>
      </c>
      <c r="AY710" s="14">
        <f>IFERROR(__xludf.DUMMYFUNCTION("""COMPUTED_VALUE"""),1.2)</f>
        <v>1.2</v>
      </c>
      <c r="AZ710" s="14">
        <f>IFERROR(__xludf.DUMMYFUNCTION("""COMPUTED_VALUE"""),0.007)</f>
        <v>0.007</v>
      </c>
      <c r="BA710" s="14">
        <f t="shared" si="1"/>
        <v>5.407</v>
      </c>
    </row>
    <row r="711" ht="14.25" customHeight="1">
      <c r="A711" s="10" t="str">
        <f>IFERROR(__xludf.DUMMYFUNCTION("""COMPUTED_VALUE"""),"090922DU02")</f>
        <v>090922DU02</v>
      </c>
      <c r="B711" s="12" t="str">
        <f>IFERROR(__xludf.DUMMYFUNCTION("""COMPUTED_VALUE"""),"CON-Country")</f>
        <v>CON-Country</v>
      </c>
      <c r="C711" s="12"/>
      <c r="D711" s="12"/>
      <c r="E711" s="44">
        <f>IFERROR(__xludf.DUMMYFUNCTION("""COMPUTED_VALUE"""),44813.0)</f>
        <v>44813</v>
      </c>
      <c r="F711" s="12" t="str">
        <f>IFERROR(__xludf.DUMMYFUNCTION("""COMPUTED_VALUE"""),"TIPO I")</f>
        <v>TIPO I</v>
      </c>
      <c r="G711" s="12" t="str">
        <f>IFERROR(__xludf.DUMMYFUNCTION("""COMPUTED_VALUE"""),"Se observa color. Se realiza monitoreo antes de las obras de intervención hidráulica.
Altitud: 2573 msnm")</f>
        <v>Se observa color. Se realiza monitoreo antes de las obras de intervención hidráulica.
Altitud: 2573 msnm</v>
      </c>
      <c r="H711" s="45">
        <f>IFERROR(__xludf.DUMMYFUNCTION("""COMPUTED_VALUE"""),0.5)</f>
        <v>0.5</v>
      </c>
      <c r="I711" s="45">
        <f>IFERROR(__xludf.DUMMYFUNCTION("""COMPUTED_VALUE"""),0.5833333333321207)</f>
        <v>0.5833333333</v>
      </c>
      <c r="J711" s="12">
        <f>IFERROR(__xludf.DUMMYFUNCTION("""COMPUTED_VALUE"""),2.0)</f>
        <v>2</v>
      </c>
      <c r="K711" s="12">
        <f>IFERROR(__xludf.DUMMYFUNCTION("""COMPUTED_VALUE"""),0.09)</f>
        <v>0.09</v>
      </c>
      <c r="L711" s="14">
        <f>IFERROR(__xludf.DUMMYFUNCTION("""COMPUTED_VALUE"""),8.097)</f>
        <v>8.097</v>
      </c>
      <c r="M711" s="14">
        <f>IFERROR(__xludf.DUMMYFUNCTION("""COMPUTED_VALUE"""),8.233)</f>
        <v>8.233</v>
      </c>
      <c r="N711" s="14">
        <f>IFERROR(__xludf.DUMMYFUNCTION("""COMPUTED_VALUE"""),8.507)</f>
        <v>8.507</v>
      </c>
      <c r="O711" s="14">
        <f>IFERROR(__xludf.DUMMYFUNCTION("""COMPUTED_VALUE"""),8.401)</f>
        <v>8.401</v>
      </c>
      <c r="P711" s="14">
        <f>IFERROR(__xludf.DUMMYFUNCTION("""COMPUTED_VALUE"""),8.527)</f>
        <v>8.527</v>
      </c>
      <c r="Q711" s="14">
        <f>IFERROR(__xludf.DUMMYFUNCTION("""COMPUTED_VALUE"""),8.353)</f>
        <v>8.353</v>
      </c>
      <c r="R711" s="48">
        <f>IFERROR(__xludf.DUMMYFUNCTION("""COMPUTED_VALUE"""),7.63)</f>
        <v>7.63</v>
      </c>
      <c r="S711" s="48">
        <f>IFERROR(__xludf.DUMMYFUNCTION("""COMPUTED_VALUE"""),7.7)</f>
        <v>7.7</v>
      </c>
      <c r="T711" s="48">
        <f>IFERROR(__xludf.DUMMYFUNCTION("""COMPUTED_VALUE"""),7.77)</f>
        <v>7.77</v>
      </c>
      <c r="U711" s="48">
        <f>IFERROR(__xludf.DUMMYFUNCTION("""COMPUTED_VALUE"""),7.82)</f>
        <v>7.82</v>
      </c>
      <c r="V711" s="48">
        <f>IFERROR(__xludf.DUMMYFUNCTION("""COMPUTED_VALUE"""),7.81)</f>
        <v>7.81</v>
      </c>
      <c r="W711" s="14">
        <f>IFERROR(__xludf.DUMMYFUNCTION("""COMPUTED_VALUE"""),7.746)</f>
        <v>7.746</v>
      </c>
      <c r="X711" s="14">
        <f>IFERROR(__xludf.DUMMYFUNCTION("""COMPUTED_VALUE"""),20.98)</f>
        <v>20.98</v>
      </c>
      <c r="Y711" s="14">
        <f>IFERROR(__xludf.DUMMYFUNCTION("""COMPUTED_VALUE"""),20.91)</f>
        <v>20.91</v>
      </c>
      <c r="Z711" s="14">
        <f>IFERROR(__xludf.DUMMYFUNCTION("""COMPUTED_VALUE"""),20.75)</f>
        <v>20.75</v>
      </c>
      <c r="AA711" s="14">
        <f>IFERROR(__xludf.DUMMYFUNCTION("""COMPUTED_VALUE"""),20.42)</f>
        <v>20.42</v>
      </c>
      <c r="AB711" s="14">
        <f>IFERROR(__xludf.DUMMYFUNCTION("""COMPUTED_VALUE"""),20.74)</f>
        <v>20.74</v>
      </c>
      <c r="AC711" s="14">
        <f>IFERROR(__xludf.DUMMYFUNCTION("""COMPUTED_VALUE"""),20.759999999999998)</f>
        <v>20.76</v>
      </c>
      <c r="AD711" s="48">
        <f>IFERROR(__xludf.DUMMYFUNCTION("""COMPUTED_VALUE"""),347.0)</f>
        <v>347</v>
      </c>
      <c r="AE711" s="48">
        <f>IFERROR(__xludf.DUMMYFUNCTION("""COMPUTED_VALUE"""),350.0)</f>
        <v>350</v>
      </c>
      <c r="AF711" s="48">
        <f>IFERROR(__xludf.DUMMYFUNCTION("""COMPUTED_VALUE"""),346.0)</f>
        <v>346</v>
      </c>
      <c r="AG711" s="48">
        <f>IFERROR(__xludf.DUMMYFUNCTION("""COMPUTED_VALUE"""),348.0)</f>
        <v>348</v>
      </c>
      <c r="AH711" s="48">
        <f>IFERROR(__xludf.DUMMYFUNCTION("""COMPUTED_VALUE"""),349.0)</f>
        <v>349</v>
      </c>
      <c r="AI711" s="14">
        <f>IFERROR(__xludf.DUMMYFUNCTION("""COMPUTED_VALUE"""),348.0)</f>
        <v>348</v>
      </c>
      <c r="AJ711" s="14">
        <f>IFERROR(__xludf.DUMMYFUNCTION("""COMPUTED_VALUE"""),2.35)</f>
        <v>2.35</v>
      </c>
      <c r="AK711" s="14">
        <f>IFERROR(__xludf.DUMMYFUNCTION("""COMPUTED_VALUE"""),2.42)</f>
        <v>2.42</v>
      </c>
      <c r="AL711" s="14">
        <f>IFERROR(__xludf.DUMMYFUNCTION("""COMPUTED_VALUE"""),2.6)</f>
        <v>2.6</v>
      </c>
      <c r="AM711" s="14">
        <f>IFERROR(__xludf.DUMMYFUNCTION("""COMPUTED_VALUE"""),2.71)</f>
        <v>2.71</v>
      </c>
      <c r="AN711" s="14">
        <f>IFERROR(__xludf.DUMMYFUNCTION("""COMPUTED_VALUE"""),2.52)</f>
        <v>2.52</v>
      </c>
      <c r="AO711" s="14">
        <f>IFERROR(__xludf.DUMMYFUNCTION("""COMPUTED_VALUE"""),2.5199999999999996)</f>
        <v>2.52</v>
      </c>
      <c r="AP711" s="14">
        <f>IFERROR(__xludf.DUMMYFUNCTION("""COMPUTED_VALUE"""),23.0)</f>
        <v>23</v>
      </c>
      <c r="AQ711" s="14">
        <f>IFERROR(__xludf.DUMMYFUNCTION("""COMPUTED_VALUE"""),64.0)</f>
        <v>64</v>
      </c>
      <c r="AR711" s="14">
        <f>IFERROR(__xludf.DUMMYFUNCTION("""COMPUTED_VALUE"""),78.0)</f>
        <v>78</v>
      </c>
      <c r="AS711" s="14">
        <f>IFERROR(__xludf.DUMMYFUNCTION("""COMPUTED_VALUE"""),1.2)</f>
        <v>1.2</v>
      </c>
      <c r="AT711" s="14">
        <f>IFERROR(__xludf.DUMMYFUNCTION("""COMPUTED_VALUE"""),1.68)</f>
        <v>1.68</v>
      </c>
      <c r="AU711" s="14">
        <f>IFERROR(__xludf.DUMMYFUNCTION("""COMPUTED_VALUE"""),754000.0)</f>
        <v>754000</v>
      </c>
      <c r="AV711" s="14">
        <f>IFERROR(__xludf.DUMMYFUNCTION("""COMPUTED_VALUE"""),1.47)</f>
        <v>1.47</v>
      </c>
      <c r="AW711" s="14">
        <f>IFERROR(__xludf.DUMMYFUNCTION("""COMPUTED_VALUE"""),7.3)</f>
        <v>7.3</v>
      </c>
      <c r="AX711" s="14">
        <f>IFERROR(__xludf.DUMMYFUNCTION("""COMPUTED_VALUE"""),47100.0)</f>
        <v>47100</v>
      </c>
      <c r="AY711" s="14">
        <f>IFERROR(__xludf.DUMMYFUNCTION("""COMPUTED_VALUE"""),0.6)</f>
        <v>0.6</v>
      </c>
      <c r="AZ711" s="14">
        <f>IFERROR(__xludf.DUMMYFUNCTION("""COMPUTED_VALUE"""),0.007)</f>
        <v>0.007</v>
      </c>
      <c r="BA711" s="14">
        <f t="shared" si="1"/>
        <v>7.907</v>
      </c>
    </row>
    <row r="712" ht="14.25" customHeight="1">
      <c r="A712" s="10" t="str">
        <f>IFERROR(__xludf.DUMMYFUNCTION("""COMPUTED_VALUE"""),"070922DI01")</f>
        <v>070922DI01</v>
      </c>
      <c r="B712" s="12" t="str">
        <f>IFERROR(__xludf.DUMMYFUNCTION("""COMPUTED_VALUE"""),"QTR-Mochuelo Bajo")</f>
        <v>QTR-Mochuelo Bajo</v>
      </c>
      <c r="C712" s="12"/>
      <c r="D712" s="12"/>
      <c r="E712" s="44">
        <f>IFERROR(__xludf.DUMMYFUNCTION("""COMPUTED_VALUE"""),44811.0)</f>
        <v>44811</v>
      </c>
      <c r="F712" s="12" t="str">
        <f>IFERROR(__xludf.DUMMYFUNCTION("""COMPUTED_VALUE"""),"TIPO I")</f>
        <v>TIPO I</v>
      </c>
      <c r="G712" s="12" t="str">
        <f>IFERROR(__xludf.DUMMYFUNCTION("""COMPUTED_VALUE"""),"Presenta coloración, se perciben olores y se observan espumas")</f>
        <v>Presenta coloración, se perciben olores y se observan espumas</v>
      </c>
      <c r="H712" s="45">
        <f>IFERROR(__xludf.DUMMYFUNCTION("""COMPUTED_VALUE"""),0.4166666666678793)</f>
        <v>0.4166666667</v>
      </c>
      <c r="I712" s="45">
        <f>IFERROR(__xludf.DUMMYFUNCTION("""COMPUTED_VALUE"""),0.5)</f>
        <v>0.5</v>
      </c>
      <c r="J712" s="12">
        <f>IFERROR(__xludf.DUMMYFUNCTION("""COMPUTED_VALUE"""),1.2)</f>
        <v>1.2</v>
      </c>
      <c r="K712" s="12">
        <f>IFERROR(__xludf.DUMMYFUNCTION("""COMPUTED_VALUE"""),0.12)</f>
        <v>0.12</v>
      </c>
      <c r="L712" s="14">
        <f>IFERROR(__xludf.DUMMYFUNCTION("""COMPUTED_VALUE"""),21.022)</f>
        <v>21.022</v>
      </c>
      <c r="M712" s="14">
        <f>IFERROR(__xludf.DUMMYFUNCTION("""COMPUTED_VALUE"""),21.324)</f>
        <v>21.324</v>
      </c>
      <c r="N712" s="14">
        <f>IFERROR(__xludf.DUMMYFUNCTION("""COMPUTED_VALUE"""),21.727)</f>
        <v>21.727</v>
      </c>
      <c r="O712" s="14">
        <f>IFERROR(__xludf.DUMMYFUNCTION("""COMPUTED_VALUE"""),21.927)</f>
        <v>21.927</v>
      </c>
      <c r="P712" s="14">
        <f>IFERROR(__xludf.DUMMYFUNCTION("""COMPUTED_VALUE"""),22.353)</f>
        <v>22.353</v>
      </c>
      <c r="Q712" s="14">
        <f>IFERROR(__xludf.DUMMYFUNCTION("""COMPUTED_VALUE"""),21.671)</f>
        <v>21.671</v>
      </c>
      <c r="R712" s="48">
        <f>IFERROR(__xludf.DUMMYFUNCTION("""COMPUTED_VALUE"""),7.89)</f>
        <v>7.89</v>
      </c>
      <c r="S712" s="48">
        <f>IFERROR(__xludf.DUMMYFUNCTION("""COMPUTED_VALUE"""),7.71)</f>
        <v>7.71</v>
      </c>
      <c r="T712" s="48">
        <f>IFERROR(__xludf.DUMMYFUNCTION("""COMPUTED_VALUE"""),7.81)</f>
        <v>7.81</v>
      </c>
      <c r="U712" s="48">
        <f>IFERROR(__xludf.DUMMYFUNCTION("""COMPUTED_VALUE"""),7.88)</f>
        <v>7.88</v>
      </c>
      <c r="V712" s="48">
        <f>IFERROR(__xludf.DUMMYFUNCTION("""COMPUTED_VALUE"""),7.85)</f>
        <v>7.85</v>
      </c>
      <c r="W712" s="14">
        <f>IFERROR(__xludf.DUMMYFUNCTION("""COMPUTED_VALUE"""),7.828)</f>
        <v>7.828</v>
      </c>
      <c r="X712" s="14">
        <f>IFERROR(__xludf.DUMMYFUNCTION("""COMPUTED_VALUE"""),15.9)</f>
        <v>15.9</v>
      </c>
      <c r="Y712" s="14">
        <f>IFERROR(__xludf.DUMMYFUNCTION("""COMPUTED_VALUE"""),16.0)</f>
        <v>16</v>
      </c>
      <c r="Z712" s="14">
        <f>IFERROR(__xludf.DUMMYFUNCTION("""COMPUTED_VALUE"""),17.0)</f>
        <v>17</v>
      </c>
      <c r="AA712" s="14">
        <f>IFERROR(__xludf.DUMMYFUNCTION("""COMPUTED_VALUE"""),17.7)</f>
        <v>17.7</v>
      </c>
      <c r="AB712" s="14">
        <f>IFERROR(__xludf.DUMMYFUNCTION("""COMPUTED_VALUE"""),17.9)</f>
        <v>17.9</v>
      </c>
      <c r="AC712" s="14">
        <f>IFERROR(__xludf.DUMMYFUNCTION("""COMPUTED_VALUE"""),16.9)</f>
        <v>16.9</v>
      </c>
      <c r="AD712" s="48">
        <f>IFERROR(__xludf.DUMMYFUNCTION("""COMPUTED_VALUE"""),587.0)</f>
        <v>587</v>
      </c>
      <c r="AE712" s="48">
        <f>IFERROR(__xludf.DUMMYFUNCTION("""COMPUTED_VALUE"""),566.0)</f>
        <v>566</v>
      </c>
      <c r="AF712" s="48">
        <f>IFERROR(__xludf.DUMMYFUNCTION("""COMPUTED_VALUE"""),545.0)</f>
        <v>545</v>
      </c>
      <c r="AG712" s="48">
        <f>IFERROR(__xludf.DUMMYFUNCTION("""COMPUTED_VALUE"""),536.0)</f>
        <v>536</v>
      </c>
      <c r="AH712" s="48">
        <f>IFERROR(__xludf.DUMMYFUNCTION("""COMPUTED_VALUE"""),530.0)</f>
        <v>530</v>
      </c>
      <c r="AI712" s="14">
        <f>IFERROR(__xludf.DUMMYFUNCTION("""COMPUTED_VALUE"""),552.8)</f>
        <v>552.8</v>
      </c>
      <c r="AJ712" s="14">
        <f>IFERROR(__xludf.DUMMYFUNCTION("""COMPUTED_VALUE"""),3.88)</f>
        <v>3.88</v>
      </c>
      <c r="AK712" s="14">
        <f>IFERROR(__xludf.DUMMYFUNCTION("""COMPUTED_VALUE"""),3.79)</f>
        <v>3.79</v>
      </c>
      <c r="AL712" s="14">
        <f>IFERROR(__xludf.DUMMYFUNCTION("""COMPUTED_VALUE"""),3.6)</f>
        <v>3.6</v>
      </c>
      <c r="AM712" s="14">
        <f>IFERROR(__xludf.DUMMYFUNCTION("""COMPUTED_VALUE"""),3.7)</f>
        <v>3.7</v>
      </c>
      <c r="AN712" s="14">
        <f>IFERROR(__xludf.DUMMYFUNCTION("""COMPUTED_VALUE"""),3.57)</f>
        <v>3.57</v>
      </c>
      <c r="AO712" s="14">
        <f>IFERROR(__xludf.DUMMYFUNCTION("""COMPUTED_VALUE"""),3.7079999999999997)</f>
        <v>3.708</v>
      </c>
      <c r="AP712" s="14">
        <f>IFERROR(__xludf.DUMMYFUNCTION("""COMPUTED_VALUE"""),53.0)</f>
        <v>53</v>
      </c>
      <c r="AQ712" s="14">
        <f>IFERROR(__xludf.DUMMYFUNCTION("""COMPUTED_VALUE"""),89.0)</f>
        <v>89</v>
      </c>
      <c r="AR712" s="14">
        <f>IFERROR(__xludf.DUMMYFUNCTION("""COMPUTED_VALUE"""),111.0)</f>
        <v>111</v>
      </c>
      <c r="AS712" s="14">
        <f>IFERROR(__xludf.DUMMYFUNCTION("""COMPUTED_VALUE"""),50.0)</f>
        <v>50</v>
      </c>
      <c r="AT712" s="14">
        <f>IFERROR(__xludf.DUMMYFUNCTION("""COMPUTED_VALUE"""),3.94)</f>
        <v>3.94</v>
      </c>
      <c r="AU712" s="14">
        <f>IFERROR(__xludf.DUMMYFUNCTION("""COMPUTED_VALUE"""),1.483E8)</f>
        <v>148300000</v>
      </c>
      <c r="AV712" s="14">
        <f>IFERROR(__xludf.DUMMYFUNCTION("""COMPUTED_VALUE"""),4.37)</f>
        <v>4.37</v>
      </c>
      <c r="AW712" s="14">
        <f>IFERROR(__xludf.DUMMYFUNCTION("""COMPUTED_VALUE"""),16.8)</f>
        <v>16.8</v>
      </c>
      <c r="AX712" s="14">
        <f>IFERROR(__xludf.DUMMYFUNCTION("""COMPUTED_VALUE"""),9.56E7)</f>
        <v>95600000</v>
      </c>
      <c r="AY712" s="14">
        <f>IFERROR(__xludf.DUMMYFUNCTION("""COMPUTED_VALUE"""),0.6)</f>
        <v>0.6</v>
      </c>
      <c r="AZ712" s="14">
        <f>IFERROR(__xludf.DUMMYFUNCTION("""COMPUTED_VALUE"""),0.007)</f>
        <v>0.007</v>
      </c>
      <c r="BA712" s="14">
        <f t="shared" si="1"/>
        <v>17.407</v>
      </c>
    </row>
    <row r="713" ht="14.25" customHeight="1">
      <c r="A713" s="10" t="str">
        <f>IFERROR(__xludf.DUMMYFUNCTION("""COMPUTED_VALUE"""),"070922DI02")</f>
        <v>070922DI02</v>
      </c>
      <c r="B713" s="12" t="str">
        <f>IFERROR(__xludf.DUMMYFUNCTION("""COMPUTED_VALUE"""),"QTR-Quiba")</f>
        <v>QTR-Quiba</v>
      </c>
      <c r="C713" s="12"/>
      <c r="D713" s="12"/>
      <c r="E713" s="44">
        <f>IFERROR(__xludf.DUMMYFUNCTION("""COMPUTED_VALUE"""),44811.0)</f>
        <v>44811</v>
      </c>
      <c r="F713" s="12" t="str">
        <f>IFERROR(__xludf.DUMMYFUNCTION("""COMPUTED_VALUE"""),"TIPO I")</f>
        <v>TIPO I</v>
      </c>
      <c r="G713" s="12" t="str">
        <f>IFERROR(__xludf.DUMMYFUNCTION("""COMPUTED_VALUE"""),"Presenta coloración, se perciben olores, a partir de la cuarta alícuota se observa un cambio de tonalidad en el agua, así como también una variación en los parámetros in situ y arrastre de sedimentos en el agua ")</f>
        <v>Presenta coloración, se perciben olores, a partir de la cuarta alícuota se observa un cambio de tonalidad en el agua, así como también una variación en los parámetros in situ y arrastre de sedimentos en el agua </v>
      </c>
      <c r="H713" s="45">
        <f>IFERROR(__xludf.DUMMYFUNCTION("""COMPUTED_VALUE"""),0.5833333333321207)</f>
        <v>0.5833333333</v>
      </c>
      <c r="I713" s="45">
        <f>IFERROR(__xludf.DUMMYFUNCTION("""COMPUTED_VALUE"""),0.6666666666678793)</f>
        <v>0.6666666667</v>
      </c>
      <c r="J713" s="12">
        <f>IFERROR(__xludf.DUMMYFUNCTION("""COMPUTED_VALUE"""),1.25)</f>
        <v>1.25</v>
      </c>
      <c r="K713" s="12">
        <f>IFERROR(__xludf.DUMMYFUNCTION("""COMPUTED_VALUE"""),0.15)</f>
        <v>0.15</v>
      </c>
      <c r="L713" s="14">
        <f>IFERROR(__xludf.DUMMYFUNCTION("""COMPUTED_VALUE"""),22.517)</f>
        <v>22.517</v>
      </c>
      <c r="M713" s="14">
        <f>IFERROR(__xludf.DUMMYFUNCTION("""COMPUTED_VALUE"""),22.951)</f>
        <v>22.951</v>
      </c>
      <c r="N713" s="14">
        <f>IFERROR(__xludf.DUMMYFUNCTION("""COMPUTED_VALUE"""),23.27)</f>
        <v>23.27</v>
      </c>
      <c r="O713" s="14">
        <f>IFERROR(__xludf.DUMMYFUNCTION("""COMPUTED_VALUE"""),19.881)</f>
        <v>19.881</v>
      </c>
      <c r="P713" s="14">
        <f>IFERROR(__xludf.DUMMYFUNCTION("""COMPUTED_VALUE"""),19.566)</f>
        <v>19.566</v>
      </c>
      <c r="Q713" s="14">
        <f>IFERROR(__xludf.DUMMYFUNCTION("""COMPUTED_VALUE"""),21.637)</f>
        <v>21.637</v>
      </c>
      <c r="R713" s="48">
        <f>IFERROR(__xludf.DUMMYFUNCTION("""COMPUTED_VALUE"""),8.98)</f>
        <v>8.98</v>
      </c>
      <c r="S713" s="48">
        <f>IFERROR(__xludf.DUMMYFUNCTION("""COMPUTED_VALUE"""),9.07)</f>
        <v>9.07</v>
      </c>
      <c r="T713" s="48">
        <f>IFERROR(__xludf.DUMMYFUNCTION("""COMPUTED_VALUE"""),8.83)</f>
        <v>8.83</v>
      </c>
      <c r="U713" s="48">
        <f>IFERROR(__xludf.DUMMYFUNCTION("""COMPUTED_VALUE"""),10.58)</f>
        <v>10.58</v>
      </c>
      <c r="V713" s="48">
        <f>IFERROR(__xludf.DUMMYFUNCTION("""COMPUTED_VALUE"""),10.97)</f>
        <v>10.97</v>
      </c>
      <c r="W713" s="14">
        <f>IFERROR(__xludf.DUMMYFUNCTION("""COMPUTED_VALUE"""),9.686)</f>
        <v>9.686</v>
      </c>
      <c r="X713" s="14">
        <f>IFERROR(__xludf.DUMMYFUNCTION("""COMPUTED_VALUE"""),18.0)</f>
        <v>18</v>
      </c>
      <c r="Y713" s="14">
        <f>IFERROR(__xludf.DUMMYFUNCTION("""COMPUTED_VALUE"""),17.8)</f>
        <v>17.8</v>
      </c>
      <c r="Z713" s="14">
        <f>IFERROR(__xludf.DUMMYFUNCTION("""COMPUTED_VALUE"""),17.6)</f>
        <v>17.6</v>
      </c>
      <c r="AA713" s="14">
        <f>IFERROR(__xludf.DUMMYFUNCTION("""COMPUTED_VALUE"""),17.6)</f>
        <v>17.6</v>
      </c>
      <c r="AB713" s="14">
        <f>IFERROR(__xludf.DUMMYFUNCTION("""COMPUTED_VALUE"""),17.6)</f>
        <v>17.6</v>
      </c>
      <c r="AC713" s="14">
        <f>IFERROR(__xludf.DUMMYFUNCTION("""COMPUTED_VALUE"""),17.72)</f>
        <v>17.72</v>
      </c>
      <c r="AD713" s="48">
        <f>IFERROR(__xludf.DUMMYFUNCTION("""COMPUTED_VALUE"""),544.0)</f>
        <v>544</v>
      </c>
      <c r="AE713" s="48">
        <f>IFERROR(__xludf.DUMMYFUNCTION("""COMPUTED_VALUE"""),535.0)</f>
        <v>535</v>
      </c>
      <c r="AF713" s="48">
        <f>IFERROR(__xludf.DUMMYFUNCTION("""COMPUTED_VALUE"""),511.0)</f>
        <v>511</v>
      </c>
      <c r="AG713" s="48">
        <f>IFERROR(__xludf.DUMMYFUNCTION("""COMPUTED_VALUE"""),581.0)</f>
        <v>581</v>
      </c>
      <c r="AH713" s="48">
        <f>IFERROR(__xludf.DUMMYFUNCTION("""COMPUTED_VALUE"""),636.0)</f>
        <v>636</v>
      </c>
      <c r="AI713" s="14">
        <f>IFERROR(__xludf.DUMMYFUNCTION("""COMPUTED_VALUE"""),561.4)</f>
        <v>561.4</v>
      </c>
      <c r="AJ713" s="14">
        <f>IFERROR(__xludf.DUMMYFUNCTION("""COMPUTED_VALUE"""),3.94)</f>
        <v>3.94</v>
      </c>
      <c r="AK713" s="14">
        <f>IFERROR(__xludf.DUMMYFUNCTION("""COMPUTED_VALUE"""),3.99)</f>
        <v>3.99</v>
      </c>
      <c r="AL713" s="14">
        <f>IFERROR(__xludf.DUMMYFUNCTION("""COMPUTED_VALUE"""),3.93)</f>
        <v>3.93</v>
      </c>
      <c r="AM713" s="14">
        <f>IFERROR(__xludf.DUMMYFUNCTION("""COMPUTED_VALUE"""),4.81)</f>
        <v>4.81</v>
      </c>
      <c r="AN713" s="14">
        <f>IFERROR(__xludf.DUMMYFUNCTION("""COMPUTED_VALUE"""),5.68)</f>
        <v>5.68</v>
      </c>
      <c r="AO713" s="14">
        <f>IFERROR(__xludf.DUMMYFUNCTION("""COMPUTED_VALUE"""),4.47)</f>
        <v>4.47</v>
      </c>
      <c r="AP713" s="14">
        <f>IFERROR(__xludf.DUMMYFUNCTION("""COMPUTED_VALUE"""),59.0)</f>
        <v>59</v>
      </c>
      <c r="AQ713" s="14">
        <f>IFERROR(__xludf.DUMMYFUNCTION("""COMPUTED_VALUE"""),337.0)</f>
        <v>337</v>
      </c>
      <c r="AR713" s="14">
        <f>IFERROR(__xludf.DUMMYFUNCTION("""COMPUTED_VALUE"""),5310.0)</f>
        <v>5310</v>
      </c>
      <c r="AS713" s="14">
        <f>IFERROR(__xludf.DUMMYFUNCTION("""COMPUTED_VALUE"""),35.0)</f>
        <v>35</v>
      </c>
      <c r="AT713" s="14">
        <f>IFERROR(__xludf.DUMMYFUNCTION("""COMPUTED_VALUE"""),16.81)</f>
        <v>16.81</v>
      </c>
      <c r="AU713" s="14">
        <f>IFERROR(__xludf.DUMMYFUNCTION("""COMPUTED_VALUE"""),4640000.0)</f>
        <v>4640000</v>
      </c>
      <c r="AV713" s="14">
        <f>IFERROR(__xludf.DUMMYFUNCTION("""COMPUTED_VALUE"""),3.0)</f>
        <v>3</v>
      </c>
      <c r="AW713" s="14">
        <f>IFERROR(__xludf.DUMMYFUNCTION("""COMPUTED_VALUE"""),10.6)</f>
        <v>10.6</v>
      </c>
      <c r="AX713" s="14">
        <f>IFERROR(__xludf.DUMMYFUNCTION("""COMPUTED_VALUE"""),40200.0)</f>
        <v>40200</v>
      </c>
      <c r="AY713" s="14">
        <f>IFERROR(__xludf.DUMMYFUNCTION("""COMPUTED_VALUE"""),2.7)</f>
        <v>2.7</v>
      </c>
      <c r="AZ713" s="14">
        <f>IFERROR(__xludf.DUMMYFUNCTION("""COMPUTED_VALUE"""),0.049)</f>
        <v>0.049</v>
      </c>
      <c r="BA713" s="14">
        <f t="shared" si="1"/>
        <v>13.349</v>
      </c>
    </row>
    <row r="714" ht="14.25" customHeight="1">
      <c r="A714" s="10" t="str">
        <f>IFERROR(__xludf.DUMMYFUNCTION("""COMPUTED_VALUE"""),"090922WI01")</f>
        <v>090922WI01</v>
      </c>
      <c r="B714" s="12" t="str">
        <f>IFERROR(__xludf.DUMMYFUNCTION("""COMPUTED_VALUE"""),"CON-Callejas")</f>
        <v>CON-Callejas</v>
      </c>
      <c r="C714" s="12"/>
      <c r="D714" s="12"/>
      <c r="E714" s="44">
        <f>IFERROR(__xludf.DUMMYFUNCTION("""COMPUTED_VALUE"""),44813.0)</f>
        <v>44813</v>
      </c>
      <c r="F714" s="12" t="str">
        <f>IFERROR(__xludf.DUMMYFUNCTION("""COMPUTED_VALUE"""),"TIPO I")</f>
        <v>TIPO I</v>
      </c>
      <c r="G714" s="12" t="str">
        <f>IFERROR(__xludf.DUMMYFUNCTION("""COMPUTED_VALUE"""),"Presenta coloración, se perciben olores, durante la tercera alícuota se evidencia un cambio de coloración")</f>
        <v>Presenta coloración, se perciben olores, durante la tercera alícuota se evidencia un cambio de coloración</v>
      </c>
      <c r="H714" s="45">
        <f>IFERROR(__xludf.DUMMYFUNCTION("""COMPUTED_VALUE"""),0.3333333333321207)</f>
        <v>0.3333333333</v>
      </c>
      <c r="I714" s="45">
        <f>IFERROR(__xludf.DUMMYFUNCTION("""COMPUTED_VALUE"""),0.4166666666678793)</f>
        <v>0.4166666667</v>
      </c>
      <c r="J714" s="12">
        <f>IFERROR(__xludf.DUMMYFUNCTION("""COMPUTED_VALUE"""),3.0)</f>
        <v>3</v>
      </c>
      <c r="K714" s="12">
        <f>IFERROR(__xludf.DUMMYFUNCTION("""COMPUTED_VALUE"""),0.08)</f>
        <v>0.08</v>
      </c>
      <c r="L714" s="14">
        <f>IFERROR(__xludf.DUMMYFUNCTION("""COMPUTED_VALUE"""),23.681)</f>
        <v>23.681</v>
      </c>
      <c r="M714" s="14">
        <f>IFERROR(__xludf.DUMMYFUNCTION("""COMPUTED_VALUE"""),22.944)</f>
        <v>22.944</v>
      </c>
      <c r="N714" s="14">
        <f>IFERROR(__xludf.DUMMYFUNCTION("""COMPUTED_VALUE"""),23.476)</f>
        <v>23.476</v>
      </c>
      <c r="O714" s="14">
        <f>IFERROR(__xludf.DUMMYFUNCTION("""COMPUTED_VALUE"""),17.588)</f>
        <v>17.588</v>
      </c>
      <c r="P714" s="14">
        <f>IFERROR(__xludf.DUMMYFUNCTION("""COMPUTED_VALUE"""),16.891)</f>
        <v>16.891</v>
      </c>
      <c r="Q714" s="14">
        <f>IFERROR(__xludf.DUMMYFUNCTION("""COMPUTED_VALUE"""),20.916)</f>
        <v>20.916</v>
      </c>
      <c r="R714" s="48">
        <f>IFERROR(__xludf.DUMMYFUNCTION("""COMPUTED_VALUE"""),7.17)</f>
        <v>7.17</v>
      </c>
      <c r="S714" s="48">
        <f>IFERROR(__xludf.DUMMYFUNCTION("""COMPUTED_VALUE"""),7.84)</f>
        <v>7.84</v>
      </c>
      <c r="T714" s="48">
        <f>IFERROR(__xludf.DUMMYFUNCTION("""COMPUTED_VALUE"""),8.4)</f>
        <v>8.4</v>
      </c>
      <c r="U714" s="48">
        <f>IFERROR(__xludf.DUMMYFUNCTION("""COMPUTED_VALUE"""),7.81)</f>
        <v>7.81</v>
      </c>
      <c r="V714" s="48">
        <f>IFERROR(__xludf.DUMMYFUNCTION("""COMPUTED_VALUE"""),7.92)</f>
        <v>7.92</v>
      </c>
      <c r="W714" s="14">
        <f>IFERROR(__xludf.DUMMYFUNCTION("""COMPUTED_VALUE"""),7.828)</f>
        <v>7.828</v>
      </c>
      <c r="X714" s="14">
        <f>IFERROR(__xludf.DUMMYFUNCTION("""COMPUTED_VALUE"""),15.0)</f>
        <v>15</v>
      </c>
      <c r="Y714" s="14">
        <f>IFERROR(__xludf.DUMMYFUNCTION("""COMPUTED_VALUE"""),15.4)</f>
        <v>15.4</v>
      </c>
      <c r="Z714" s="14">
        <f>IFERROR(__xludf.DUMMYFUNCTION("""COMPUTED_VALUE"""),16.7)</f>
        <v>16.7</v>
      </c>
      <c r="AA714" s="14">
        <f>IFERROR(__xludf.DUMMYFUNCTION("""COMPUTED_VALUE"""),18.1)</f>
        <v>18.1</v>
      </c>
      <c r="AB714" s="14">
        <f>IFERROR(__xludf.DUMMYFUNCTION("""COMPUTED_VALUE"""),17.8)</f>
        <v>17.8</v>
      </c>
      <c r="AC714" s="14">
        <f>IFERROR(__xludf.DUMMYFUNCTION("""COMPUTED_VALUE"""),16.599999999999998)</f>
        <v>16.6</v>
      </c>
      <c r="AD714" s="48">
        <f>IFERROR(__xludf.DUMMYFUNCTION("""COMPUTED_VALUE"""),303.0)</f>
        <v>303</v>
      </c>
      <c r="AE714" s="48">
        <f>IFERROR(__xludf.DUMMYFUNCTION("""COMPUTED_VALUE"""),432.0)</f>
        <v>432</v>
      </c>
      <c r="AF714" s="48">
        <f>IFERROR(__xludf.DUMMYFUNCTION("""COMPUTED_VALUE"""),484.0)</f>
        <v>484</v>
      </c>
      <c r="AG714" s="48">
        <f>IFERROR(__xludf.DUMMYFUNCTION("""COMPUTED_VALUE"""),511.0)</f>
        <v>511</v>
      </c>
      <c r="AH714" s="48">
        <f>IFERROR(__xludf.DUMMYFUNCTION("""COMPUTED_VALUE"""),511.0)</f>
        <v>511</v>
      </c>
      <c r="AI714" s="14">
        <f>IFERROR(__xludf.DUMMYFUNCTION("""COMPUTED_VALUE"""),448.2)</f>
        <v>448.2</v>
      </c>
      <c r="AJ714" s="14">
        <f>IFERROR(__xludf.DUMMYFUNCTION("""COMPUTED_VALUE"""),4.35)</f>
        <v>4.35</v>
      </c>
      <c r="AK714" s="14">
        <f>IFERROR(__xludf.DUMMYFUNCTION("""COMPUTED_VALUE"""),4.3)</f>
        <v>4.3</v>
      </c>
      <c r="AL714" s="14">
        <f>IFERROR(__xludf.DUMMYFUNCTION("""COMPUTED_VALUE"""),4.1)</f>
        <v>4.1</v>
      </c>
      <c r="AM714" s="14">
        <f>IFERROR(__xludf.DUMMYFUNCTION("""COMPUTED_VALUE"""),4.33)</f>
        <v>4.33</v>
      </c>
      <c r="AN714" s="14">
        <f>IFERROR(__xludf.DUMMYFUNCTION("""COMPUTED_VALUE"""),4.19)</f>
        <v>4.19</v>
      </c>
      <c r="AO714" s="14">
        <f>IFERROR(__xludf.DUMMYFUNCTION("""COMPUTED_VALUE"""),4.254)</f>
        <v>4.254</v>
      </c>
      <c r="AP714" s="14">
        <f>IFERROR(__xludf.DUMMYFUNCTION("""COMPUTED_VALUE"""),25.0)</f>
        <v>25</v>
      </c>
      <c r="AQ714" s="14">
        <f>IFERROR(__xludf.DUMMYFUNCTION("""COMPUTED_VALUE"""),48.0)</f>
        <v>48</v>
      </c>
      <c r="AR714" s="14">
        <f>IFERROR(__xludf.DUMMYFUNCTION("""COMPUTED_VALUE"""),138.0)</f>
        <v>138</v>
      </c>
      <c r="AS714" s="14">
        <f>IFERROR(__xludf.DUMMYFUNCTION("""COMPUTED_VALUE"""),1.2)</f>
        <v>1.2</v>
      </c>
      <c r="AT714" s="14">
        <f>IFERROR(__xludf.DUMMYFUNCTION("""COMPUTED_VALUE"""),1.95)</f>
        <v>1.95</v>
      </c>
      <c r="AU714" s="14">
        <f>IFERROR(__xludf.DUMMYFUNCTION("""COMPUTED_VALUE"""),9870000.0)</f>
        <v>9870000</v>
      </c>
      <c r="AV714" s="14">
        <f>IFERROR(__xludf.DUMMYFUNCTION("""COMPUTED_VALUE"""),1.5)</f>
        <v>1.5</v>
      </c>
      <c r="AW714" s="14">
        <f>IFERROR(__xludf.DUMMYFUNCTION("""COMPUTED_VALUE"""),10.1)</f>
        <v>10.1</v>
      </c>
      <c r="AX714" s="14">
        <f>IFERROR(__xludf.DUMMYFUNCTION("""COMPUTED_VALUE"""),40800.0)</f>
        <v>40800</v>
      </c>
      <c r="AY714" s="14">
        <f>IFERROR(__xludf.DUMMYFUNCTION("""COMPUTED_VALUE"""),0.8)</f>
        <v>0.8</v>
      </c>
      <c r="AZ714" s="14">
        <f>IFERROR(__xludf.DUMMYFUNCTION("""COMPUTED_VALUE"""),0.007)</f>
        <v>0.007</v>
      </c>
      <c r="BA714" s="14">
        <f t="shared" si="1"/>
        <v>10.907</v>
      </c>
    </row>
    <row r="715" ht="14.25" customHeight="1">
      <c r="A715" s="10" t="str">
        <f>IFERROR(__xludf.DUMMYFUNCTION("""COMPUTED_VALUE"""),"200922HA01")</f>
        <v>200922HA01</v>
      </c>
      <c r="B715" s="12" t="str">
        <f>IFERROR(__xludf.DUMMYFUNCTION("""COMPUTED_VALUE"""),"COR-Victoria Norte")</f>
        <v>COR-Victoria Norte</v>
      </c>
      <c r="C715" s="12"/>
      <c r="D715" s="12"/>
      <c r="E715" s="44">
        <f>IFERROR(__xludf.DUMMYFUNCTION("""COMPUTED_VALUE"""),44824.0)</f>
        <v>44824</v>
      </c>
      <c r="F715" s="12" t="str">
        <f>IFERROR(__xludf.DUMMYFUNCTION("""COMPUTED_VALUE"""),"TIPO I")</f>
        <v>TIPO I</v>
      </c>
      <c r="G715" s="12" t="str">
        <f>IFERROR(__xludf.DUMMYFUNCTION("""COMPUTED_VALUE"""),"No se observa color y no se percibe olor
Altura: 2573 msnm")</f>
        <v>No se observa color y no se percibe olor
Altura: 2573 msnm</v>
      </c>
      <c r="H715" s="45">
        <f>IFERROR(__xludf.DUMMYFUNCTION("""COMPUTED_VALUE"""),0.25)</f>
        <v>0.25</v>
      </c>
      <c r="I715" s="45">
        <f>IFERROR(__xludf.DUMMYFUNCTION("""COMPUTED_VALUE"""),0.3333333333321207)</f>
        <v>0.3333333333</v>
      </c>
      <c r="J715" s="12">
        <f>IFERROR(__xludf.DUMMYFUNCTION("""COMPUTED_VALUE"""),2.5)</f>
        <v>2.5</v>
      </c>
      <c r="K715" s="12">
        <f>IFERROR(__xludf.DUMMYFUNCTION("""COMPUTED_VALUE"""),0.13)</f>
        <v>0.13</v>
      </c>
      <c r="L715" s="14">
        <f>IFERROR(__xludf.DUMMYFUNCTION("""COMPUTED_VALUE"""),73.645)</f>
        <v>73.645</v>
      </c>
      <c r="M715" s="14">
        <f>IFERROR(__xludf.DUMMYFUNCTION("""COMPUTED_VALUE"""),77.385)</f>
        <v>77.385</v>
      </c>
      <c r="N715" s="14">
        <f>IFERROR(__xludf.DUMMYFUNCTION("""COMPUTED_VALUE"""),78.341)</f>
        <v>78.341</v>
      </c>
      <c r="O715" s="14">
        <f>IFERROR(__xludf.DUMMYFUNCTION("""COMPUTED_VALUE"""),79.311)</f>
        <v>79.311</v>
      </c>
      <c r="P715" s="14">
        <f>IFERROR(__xludf.DUMMYFUNCTION("""COMPUTED_VALUE"""),75.071)</f>
        <v>75.071</v>
      </c>
      <c r="Q715" s="14">
        <f>IFERROR(__xludf.DUMMYFUNCTION("""COMPUTED_VALUE"""),76.751)</f>
        <v>76.751</v>
      </c>
      <c r="R715" s="48">
        <f>IFERROR(__xludf.DUMMYFUNCTION("""COMPUTED_VALUE"""),6.28)</f>
        <v>6.28</v>
      </c>
      <c r="S715" s="48">
        <f>IFERROR(__xludf.DUMMYFUNCTION("""COMPUTED_VALUE"""),6.36)</f>
        <v>6.36</v>
      </c>
      <c r="T715" s="48">
        <f>IFERROR(__xludf.DUMMYFUNCTION("""COMPUTED_VALUE"""),6.61)</f>
        <v>6.61</v>
      </c>
      <c r="U715" s="48">
        <f>IFERROR(__xludf.DUMMYFUNCTION("""COMPUTED_VALUE"""),6.91)</f>
        <v>6.91</v>
      </c>
      <c r="V715" s="48">
        <f>IFERROR(__xludf.DUMMYFUNCTION("""COMPUTED_VALUE"""),6.94)</f>
        <v>6.94</v>
      </c>
      <c r="W715" s="14">
        <f>IFERROR(__xludf.DUMMYFUNCTION("""COMPUTED_VALUE"""),6.62)</f>
        <v>6.62</v>
      </c>
      <c r="X715" s="14">
        <f>IFERROR(__xludf.DUMMYFUNCTION("""COMPUTED_VALUE"""),16.11)</f>
        <v>16.11</v>
      </c>
      <c r="Y715" s="14">
        <f>IFERROR(__xludf.DUMMYFUNCTION("""COMPUTED_VALUE"""),16.13)</f>
        <v>16.13</v>
      </c>
      <c r="Z715" s="14">
        <f>IFERROR(__xludf.DUMMYFUNCTION("""COMPUTED_VALUE"""),16.22)</f>
        <v>16.22</v>
      </c>
      <c r="AA715" s="14">
        <f>IFERROR(__xludf.DUMMYFUNCTION("""COMPUTED_VALUE"""),16.37)</f>
        <v>16.37</v>
      </c>
      <c r="AB715" s="14">
        <f>IFERROR(__xludf.DUMMYFUNCTION("""COMPUTED_VALUE"""),16.53)</f>
        <v>16.53</v>
      </c>
      <c r="AC715" s="14">
        <f>IFERROR(__xludf.DUMMYFUNCTION("""COMPUTED_VALUE"""),16.272)</f>
        <v>16.272</v>
      </c>
      <c r="AD715" s="48">
        <f>IFERROR(__xludf.DUMMYFUNCTION("""COMPUTED_VALUE"""),190.0)</f>
        <v>190</v>
      </c>
      <c r="AE715" s="48">
        <f>IFERROR(__xludf.DUMMYFUNCTION("""COMPUTED_VALUE"""),190.0)</f>
        <v>190</v>
      </c>
      <c r="AF715" s="48">
        <f>IFERROR(__xludf.DUMMYFUNCTION("""COMPUTED_VALUE"""),195.0)</f>
        <v>195</v>
      </c>
      <c r="AG715" s="48">
        <f>IFERROR(__xludf.DUMMYFUNCTION("""COMPUTED_VALUE"""),202.0)</f>
        <v>202</v>
      </c>
      <c r="AH715" s="48">
        <f>IFERROR(__xludf.DUMMYFUNCTION("""COMPUTED_VALUE"""),208.0)</f>
        <v>208</v>
      </c>
      <c r="AI715" s="14">
        <f>IFERROR(__xludf.DUMMYFUNCTION("""COMPUTED_VALUE"""),197.0)</f>
        <v>197</v>
      </c>
      <c r="AJ715" s="14">
        <f>IFERROR(__xludf.DUMMYFUNCTION("""COMPUTED_VALUE"""),5.08)</f>
        <v>5.08</v>
      </c>
      <c r="AK715" s="14">
        <f>IFERROR(__xludf.DUMMYFUNCTION("""COMPUTED_VALUE"""),4.65)</f>
        <v>4.65</v>
      </c>
      <c r="AL715" s="14">
        <f>IFERROR(__xludf.DUMMYFUNCTION("""COMPUTED_VALUE"""),4.93)</f>
        <v>4.93</v>
      </c>
      <c r="AM715" s="14">
        <f>IFERROR(__xludf.DUMMYFUNCTION("""COMPUTED_VALUE"""),5.32)</f>
        <v>5.32</v>
      </c>
      <c r="AN715" s="14">
        <f>IFERROR(__xludf.DUMMYFUNCTION("""COMPUTED_VALUE"""),5.55)</f>
        <v>5.55</v>
      </c>
      <c r="AO715" s="14">
        <f>IFERROR(__xludf.DUMMYFUNCTION("""COMPUTED_VALUE"""),5.106)</f>
        <v>5.106</v>
      </c>
      <c r="AP715" s="14">
        <f>IFERROR(__xludf.DUMMYFUNCTION("""COMPUTED_VALUE"""),12.0)</f>
        <v>12</v>
      </c>
      <c r="AQ715" s="14">
        <f>IFERROR(__xludf.DUMMYFUNCTION("""COMPUTED_VALUE"""),20.0)</f>
        <v>20</v>
      </c>
      <c r="AR715" s="14">
        <f>IFERROR(__xludf.DUMMYFUNCTION("""COMPUTED_VALUE"""),9.0)</f>
        <v>9</v>
      </c>
      <c r="AS715" s="14">
        <f>IFERROR(__xludf.DUMMYFUNCTION("""COMPUTED_VALUE"""),1.2)</f>
        <v>1.2</v>
      </c>
      <c r="AT715" s="14">
        <f>IFERROR(__xludf.DUMMYFUNCTION("""COMPUTED_VALUE"""),0.47)</f>
        <v>0.47</v>
      </c>
      <c r="AU715" s="14">
        <f>IFERROR(__xludf.DUMMYFUNCTION("""COMPUTED_VALUE"""),873000.0)</f>
        <v>873000</v>
      </c>
      <c r="AV715" s="14">
        <f>IFERROR(__xludf.DUMMYFUNCTION("""COMPUTED_VALUE"""),0.23)</f>
        <v>0.23</v>
      </c>
      <c r="AW715" s="14">
        <f>IFERROR(__xludf.DUMMYFUNCTION("""COMPUTED_VALUE"""),4.5)</f>
        <v>4.5</v>
      </c>
      <c r="AX715" s="14">
        <f>IFERROR(__xludf.DUMMYFUNCTION("""COMPUTED_VALUE"""),10340.0)</f>
        <v>10340</v>
      </c>
      <c r="AY715" s="14">
        <f>IFERROR(__xludf.DUMMYFUNCTION("""COMPUTED_VALUE"""),1.0)</f>
        <v>1</v>
      </c>
      <c r="AZ715" s="14">
        <f>IFERROR(__xludf.DUMMYFUNCTION("""COMPUTED_VALUE"""),0.087)</f>
        <v>0.087</v>
      </c>
      <c r="BA715" s="14">
        <f t="shared" si="1"/>
        <v>5.587</v>
      </c>
    </row>
    <row r="716" ht="14.25" customHeight="1">
      <c r="A716" s="10" t="str">
        <f>IFERROR(__xludf.DUMMYFUNCTION("""COMPUTED_VALUE"""),"200922HA02")</f>
        <v>200922HA02</v>
      </c>
      <c r="B716" s="12" t="str">
        <f>IFERROR(__xludf.DUMMYFUNCTION("""COMPUTED_VALUE"""),"COR-Britalia")</f>
        <v>COR-Britalia</v>
      </c>
      <c r="C716" s="12"/>
      <c r="D716" s="12"/>
      <c r="E716" s="44">
        <f>IFERROR(__xludf.DUMMYFUNCTION("""COMPUTED_VALUE"""),44824.0)</f>
        <v>44824</v>
      </c>
      <c r="F716" s="12" t="str">
        <f>IFERROR(__xludf.DUMMYFUNCTION("""COMPUTED_VALUE"""),"TIPO I")</f>
        <v>TIPO I</v>
      </c>
      <c r="G716" s="12" t="str">
        <f>IFERROR(__xludf.DUMMYFUNCTION("""COMPUTED_VALUE"""),"Se percibe olor y se observa coloración.
Se presentan fuertes lluvias antes de la toma de la segunda alícuota, por tal motivo se presentan cambios en la profundidad y ancho del canal. Además después de la segunda alícuota se observan cambios en la turbied"&amp;"ad y aumento de material flotante. ")</f>
        <v>Se percibe olor y se observa coloración.
Se presentan fuertes lluvias antes de la toma de la segunda alícuota, por tal motivo se presentan cambios en la profundidad y ancho del canal. Además después de la segunda alícuota se observan cambios en la turbiedad y aumento de material flotante. </v>
      </c>
      <c r="H716" s="45">
        <f>IFERROR(__xludf.DUMMYFUNCTION("""COMPUTED_VALUE"""),0.4166666666678793)</f>
        <v>0.4166666667</v>
      </c>
      <c r="I716" s="45">
        <f>IFERROR(__xludf.DUMMYFUNCTION("""COMPUTED_VALUE"""),0.5)</f>
        <v>0.5</v>
      </c>
      <c r="J716" s="12">
        <f>IFERROR(__xludf.DUMMYFUNCTION("""COMPUTED_VALUE"""),4.4)</f>
        <v>4.4</v>
      </c>
      <c r="K716" s="12">
        <f>IFERROR(__xludf.DUMMYFUNCTION("""COMPUTED_VALUE"""),0.23)</f>
        <v>0.23</v>
      </c>
      <c r="L716" s="14">
        <f>IFERROR(__xludf.DUMMYFUNCTION("""COMPUTED_VALUE"""),17.965)</f>
        <v>17.965</v>
      </c>
      <c r="M716" s="14">
        <f>IFERROR(__xludf.DUMMYFUNCTION("""COMPUTED_VALUE"""),22.146)</f>
        <v>22.146</v>
      </c>
      <c r="N716" s="14">
        <f>IFERROR(__xludf.DUMMYFUNCTION("""COMPUTED_VALUE"""),316.426)</f>
        <v>316.426</v>
      </c>
      <c r="O716" s="14">
        <f>IFERROR(__xludf.DUMMYFUNCTION("""COMPUTED_VALUE"""),194.853)</f>
        <v>194.853</v>
      </c>
      <c r="P716" s="14">
        <f>IFERROR(__xludf.DUMMYFUNCTION("""COMPUTED_VALUE"""),160.66)</f>
        <v>160.66</v>
      </c>
      <c r="Q716" s="14">
        <f>IFERROR(__xludf.DUMMYFUNCTION("""COMPUTED_VALUE"""),142.41)</f>
        <v>142.41</v>
      </c>
      <c r="R716" s="48">
        <f>IFERROR(__xludf.DUMMYFUNCTION("""COMPUTED_VALUE"""),6.93)</f>
        <v>6.93</v>
      </c>
      <c r="S716" s="48">
        <f>IFERROR(__xludf.DUMMYFUNCTION("""COMPUTED_VALUE"""),6.36)</f>
        <v>6.36</v>
      </c>
      <c r="T716" s="48">
        <f>IFERROR(__xludf.DUMMYFUNCTION("""COMPUTED_VALUE"""),6.52)</f>
        <v>6.52</v>
      </c>
      <c r="U716" s="48">
        <f>IFERROR(__xludf.DUMMYFUNCTION("""COMPUTED_VALUE"""),6.84)</f>
        <v>6.84</v>
      </c>
      <c r="V716" s="48">
        <f>IFERROR(__xludf.DUMMYFUNCTION("""COMPUTED_VALUE"""),6.84)</f>
        <v>6.84</v>
      </c>
      <c r="W716" s="14">
        <f>IFERROR(__xludf.DUMMYFUNCTION("""COMPUTED_VALUE"""),6.697999999999999)</f>
        <v>6.698</v>
      </c>
      <c r="X716" s="14">
        <f>IFERROR(__xludf.DUMMYFUNCTION("""COMPUTED_VALUE"""),19.34)</f>
        <v>19.34</v>
      </c>
      <c r="Y716" s="14">
        <f>IFERROR(__xludf.DUMMYFUNCTION("""COMPUTED_VALUE"""),18.06)</f>
        <v>18.06</v>
      </c>
      <c r="Z716" s="14">
        <f>IFERROR(__xludf.DUMMYFUNCTION("""COMPUTED_VALUE"""),18.95)</f>
        <v>18.95</v>
      </c>
      <c r="AA716" s="14">
        <f>IFERROR(__xludf.DUMMYFUNCTION("""COMPUTED_VALUE"""),18.63)</f>
        <v>18.63</v>
      </c>
      <c r="AB716" s="14">
        <f>IFERROR(__xludf.DUMMYFUNCTION("""COMPUTED_VALUE"""),18.78)</f>
        <v>18.78</v>
      </c>
      <c r="AC716" s="14">
        <f>IFERROR(__xludf.DUMMYFUNCTION("""COMPUTED_VALUE"""),18.752)</f>
        <v>18.752</v>
      </c>
      <c r="AD716" s="48">
        <f>IFERROR(__xludf.DUMMYFUNCTION("""COMPUTED_VALUE"""),199.0)</f>
        <v>199</v>
      </c>
      <c r="AE716" s="48">
        <f>IFERROR(__xludf.DUMMYFUNCTION("""COMPUTED_VALUE"""),200.0)</f>
        <v>200</v>
      </c>
      <c r="AF716" s="48">
        <f>IFERROR(__xludf.DUMMYFUNCTION("""COMPUTED_VALUE"""),109.0)</f>
        <v>109</v>
      </c>
      <c r="AG716" s="48">
        <f>IFERROR(__xludf.DUMMYFUNCTION("""COMPUTED_VALUE"""),170.0)</f>
        <v>170</v>
      </c>
      <c r="AH716" s="48">
        <f>IFERROR(__xludf.DUMMYFUNCTION("""COMPUTED_VALUE"""),166.0)</f>
        <v>166</v>
      </c>
      <c r="AI716" s="14">
        <f>IFERROR(__xludf.DUMMYFUNCTION("""COMPUTED_VALUE"""),168.8)</f>
        <v>168.8</v>
      </c>
      <c r="AJ716" s="14">
        <f>IFERROR(__xludf.DUMMYFUNCTION("""COMPUTED_VALUE"""),5.06)</f>
        <v>5.06</v>
      </c>
      <c r="AK716" s="14">
        <f>IFERROR(__xludf.DUMMYFUNCTION("""COMPUTED_VALUE"""),5.14)</f>
        <v>5.14</v>
      </c>
      <c r="AL716" s="14">
        <f>IFERROR(__xludf.DUMMYFUNCTION("""COMPUTED_VALUE"""),6.25)</f>
        <v>6.25</v>
      </c>
      <c r="AM716" s="14">
        <f>IFERROR(__xludf.DUMMYFUNCTION("""COMPUTED_VALUE"""),5.34)</f>
        <v>5.34</v>
      </c>
      <c r="AN716" s="14">
        <f>IFERROR(__xludf.DUMMYFUNCTION("""COMPUTED_VALUE"""),4.98)</f>
        <v>4.98</v>
      </c>
      <c r="AO716" s="14">
        <f>IFERROR(__xludf.DUMMYFUNCTION("""COMPUTED_VALUE"""),5.354)</f>
        <v>5.354</v>
      </c>
      <c r="AP716" s="14">
        <f>IFERROR(__xludf.DUMMYFUNCTION("""COMPUTED_VALUE"""),34.0)</f>
        <v>34</v>
      </c>
      <c r="AQ716" s="14">
        <f>IFERROR(__xludf.DUMMYFUNCTION("""COMPUTED_VALUE"""),56.0)</f>
        <v>56</v>
      </c>
      <c r="AR716" s="14">
        <f>IFERROR(__xludf.DUMMYFUNCTION("""COMPUTED_VALUE"""),121.0)</f>
        <v>121</v>
      </c>
      <c r="AS716" s="14">
        <f>IFERROR(__xludf.DUMMYFUNCTION("""COMPUTED_VALUE"""),1.2)</f>
        <v>1.2</v>
      </c>
      <c r="AT716" s="14">
        <f>IFERROR(__xludf.DUMMYFUNCTION("""COMPUTED_VALUE"""),0.78)</f>
        <v>0.78</v>
      </c>
      <c r="AU716" s="14">
        <f>IFERROR(__xludf.DUMMYFUNCTION("""COMPUTED_VALUE"""),6890000.0)</f>
        <v>6890000</v>
      </c>
      <c r="AV716" s="14">
        <f>IFERROR(__xludf.DUMMYFUNCTION("""COMPUTED_VALUE"""),0.14)</f>
        <v>0.14</v>
      </c>
      <c r="AW716" s="14">
        <f>IFERROR(__xludf.DUMMYFUNCTION("""COMPUTED_VALUE"""),4.2)</f>
        <v>4.2</v>
      </c>
      <c r="AX716" s="14">
        <f>IFERROR(__xludf.DUMMYFUNCTION("""COMPUTED_VALUE"""),51200.0)</f>
        <v>51200</v>
      </c>
      <c r="AY716" s="14">
        <f>IFERROR(__xludf.DUMMYFUNCTION("""COMPUTED_VALUE"""),0.7)</f>
        <v>0.7</v>
      </c>
      <c r="AZ716" s="14">
        <f>IFERROR(__xludf.DUMMYFUNCTION("""COMPUTED_VALUE"""),0.084)</f>
        <v>0.084</v>
      </c>
      <c r="BA716" s="14">
        <f t="shared" si="1"/>
        <v>4.984</v>
      </c>
    </row>
    <row r="717" ht="14.25" customHeight="1">
      <c r="A717" s="10" t="str">
        <f>IFERROR(__xludf.DUMMYFUNCTION("""COMPUTED_VALUE"""),"230922DU01")</f>
        <v>230922DU01</v>
      </c>
      <c r="B717" s="12" t="str">
        <f>IFERROR(__xludf.DUMMYFUNCTION("""COMPUTED_VALUE"""),"QSL-Portal Usme")</f>
        <v>QSL-Portal Usme</v>
      </c>
      <c r="C717" s="12"/>
      <c r="D717" s="12"/>
      <c r="E717" s="44">
        <f>IFERROR(__xludf.DUMMYFUNCTION("""COMPUTED_VALUE"""),44827.0)</f>
        <v>44827</v>
      </c>
      <c r="F717" s="12" t="str">
        <f>IFERROR(__xludf.DUMMYFUNCTION("""COMPUTED_VALUE"""),"TIPO I")</f>
        <v>TIPO I</v>
      </c>
      <c r="G717" s="12" t="str">
        <f>IFERROR(__xludf.DUMMYFUNCTION("""COMPUTED_VALUE"""),"Presenta coloración y se perciben olores ")</f>
        <v>Presenta coloración y se perciben olores </v>
      </c>
      <c r="H717" s="45">
        <f>IFERROR(__xludf.DUMMYFUNCTION("""COMPUTED_VALUE"""),0.25)</f>
        <v>0.25</v>
      </c>
      <c r="I717" s="45">
        <f>IFERROR(__xludf.DUMMYFUNCTION("""COMPUTED_VALUE"""),0.3333333333321207)</f>
        <v>0.3333333333</v>
      </c>
      <c r="J717" s="12">
        <f>IFERROR(__xludf.DUMMYFUNCTION("""COMPUTED_VALUE"""),1.5)</f>
        <v>1.5</v>
      </c>
      <c r="K717" s="12">
        <f>IFERROR(__xludf.DUMMYFUNCTION("""COMPUTED_VALUE"""),0.13)</f>
        <v>0.13</v>
      </c>
      <c r="L717" s="14">
        <f>IFERROR(__xludf.DUMMYFUNCTION("""COMPUTED_VALUE"""),102.424)</f>
        <v>102.424</v>
      </c>
      <c r="M717" s="14">
        <f>IFERROR(__xludf.DUMMYFUNCTION("""COMPUTED_VALUE"""),99.41)</f>
        <v>99.41</v>
      </c>
      <c r="N717" s="14">
        <f>IFERROR(__xludf.DUMMYFUNCTION("""COMPUTED_VALUE"""),101.822)</f>
        <v>101.822</v>
      </c>
      <c r="O717" s="14">
        <f>IFERROR(__xludf.DUMMYFUNCTION("""COMPUTED_VALUE"""),98.578)</f>
        <v>98.578</v>
      </c>
      <c r="P717" s="14">
        <f>IFERROR(__xludf.DUMMYFUNCTION("""COMPUTED_VALUE"""),96.465)</f>
        <v>96.465</v>
      </c>
      <c r="Q717" s="14">
        <f>IFERROR(__xludf.DUMMYFUNCTION("""COMPUTED_VALUE"""),99.74)</f>
        <v>99.74</v>
      </c>
      <c r="R717" s="48">
        <f>IFERROR(__xludf.DUMMYFUNCTION("""COMPUTED_VALUE"""),7.75)</f>
        <v>7.75</v>
      </c>
      <c r="S717" s="48">
        <f>IFERROR(__xludf.DUMMYFUNCTION("""COMPUTED_VALUE"""),7.83)</f>
        <v>7.83</v>
      </c>
      <c r="T717" s="48">
        <f>IFERROR(__xludf.DUMMYFUNCTION("""COMPUTED_VALUE"""),7.75)</f>
        <v>7.75</v>
      </c>
      <c r="U717" s="48">
        <f>IFERROR(__xludf.DUMMYFUNCTION("""COMPUTED_VALUE"""),7.81)</f>
        <v>7.81</v>
      </c>
      <c r="V717" s="48">
        <f>IFERROR(__xludf.DUMMYFUNCTION("""COMPUTED_VALUE"""),7.85)</f>
        <v>7.85</v>
      </c>
      <c r="W717" s="14">
        <f>IFERROR(__xludf.DUMMYFUNCTION("""COMPUTED_VALUE"""),7.797999999999999)</f>
        <v>7.798</v>
      </c>
      <c r="X717" s="14">
        <f>IFERROR(__xludf.DUMMYFUNCTION("""COMPUTED_VALUE"""),15.4)</f>
        <v>15.4</v>
      </c>
      <c r="Y717" s="14">
        <f>IFERROR(__xludf.DUMMYFUNCTION("""COMPUTED_VALUE"""),15.8)</f>
        <v>15.8</v>
      </c>
      <c r="Z717" s="14">
        <f>IFERROR(__xludf.DUMMYFUNCTION("""COMPUTED_VALUE"""),15.7)</f>
        <v>15.7</v>
      </c>
      <c r="AA717" s="14">
        <f>IFERROR(__xludf.DUMMYFUNCTION("""COMPUTED_VALUE"""),15.7)</f>
        <v>15.7</v>
      </c>
      <c r="AB717" s="14">
        <f>IFERROR(__xludf.DUMMYFUNCTION("""COMPUTED_VALUE"""),16.1)</f>
        <v>16.1</v>
      </c>
      <c r="AC717" s="14">
        <f>IFERROR(__xludf.DUMMYFUNCTION("""COMPUTED_VALUE"""),15.740000000000004)</f>
        <v>15.74</v>
      </c>
      <c r="AD717" s="48">
        <f>IFERROR(__xludf.DUMMYFUNCTION("""COMPUTED_VALUE"""),299.0)</f>
        <v>299</v>
      </c>
      <c r="AE717" s="48">
        <f>IFERROR(__xludf.DUMMYFUNCTION("""COMPUTED_VALUE"""),311.0)</f>
        <v>311</v>
      </c>
      <c r="AF717" s="48">
        <f>IFERROR(__xludf.DUMMYFUNCTION("""COMPUTED_VALUE"""),306.0)</f>
        <v>306</v>
      </c>
      <c r="AG717" s="48">
        <f>IFERROR(__xludf.DUMMYFUNCTION("""COMPUTED_VALUE"""),307.0)</f>
        <v>307</v>
      </c>
      <c r="AH717" s="48">
        <f>IFERROR(__xludf.DUMMYFUNCTION("""COMPUTED_VALUE"""),329.0)</f>
        <v>329</v>
      </c>
      <c r="AI717" s="14">
        <f>IFERROR(__xludf.DUMMYFUNCTION("""COMPUTED_VALUE"""),310.4)</f>
        <v>310.4</v>
      </c>
      <c r="AJ717" s="14">
        <f>IFERROR(__xludf.DUMMYFUNCTION("""COMPUTED_VALUE"""),5.27)</f>
        <v>5.27</v>
      </c>
      <c r="AK717" s="14">
        <f>IFERROR(__xludf.DUMMYFUNCTION("""COMPUTED_VALUE"""),5.2)</f>
        <v>5.2</v>
      </c>
      <c r="AL717" s="14">
        <f>IFERROR(__xludf.DUMMYFUNCTION("""COMPUTED_VALUE"""),5.16)</f>
        <v>5.16</v>
      </c>
      <c r="AM717" s="14">
        <f>IFERROR(__xludf.DUMMYFUNCTION("""COMPUTED_VALUE"""),5.13)</f>
        <v>5.13</v>
      </c>
      <c r="AN717" s="14">
        <f>IFERROR(__xludf.DUMMYFUNCTION("""COMPUTED_VALUE"""),5.42)</f>
        <v>5.42</v>
      </c>
      <c r="AO717" s="14">
        <f>IFERROR(__xludf.DUMMYFUNCTION("""COMPUTED_VALUE"""),5.236)</f>
        <v>5.236</v>
      </c>
      <c r="AP717" s="14">
        <f>IFERROR(__xludf.DUMMYFUNCTION("""COMPUTED_VALUE"""),23.0)</f>
        <v>23</v>
      </c>
      <c r="AQ717" s="14">
        <f>IFERROR(__xludf.DUMMYFUNCTION("""COMPUTED_VALUE"""),35.0)</f>
        <v>35</v>
      </c>
      <c r="AR717" s="14">
        <f>IFERROR(__xludf.DUMMYFUNCTION("""COMPUTED_VALUE"""),36.0)</f>
        <v>36</v>
      </c>
      <c r="AS717" s="14">
        <f>IFERROR(__xludf.DUMMYFUNCTION("""COMPUTED_VALUE"""),1.2)</f>
        <v>1.2</v>
      </c>
      <c r="AT717" s="14">
        <f>IFERROR(__xludf.DUMMYFUNCTION("""COMPUTED_VALUE"""),1.12)</f>
        <v>1.12</v>
      </c>
      <c r="AU717" s="14">
        <f>IFERROR(__xludf.DUMMYFUNCTION("""COMPUTED_VALUE"""),987000.0)</f>
        <v>987000</v>
      </c>
      <c r="AV717" s="14">
        <f>IFERROR(__xludf.DUMMYFUNCTION("""COMPUTED_VALUE"""),1.57)</f>
        <v>1.57</v>
      </c>
      <c r="AW717" s="14">
        <f>IFERROR(__xludf.DUMMYFUNCTION("""COMPUTED_VALUE"""),18.2)</f>
        <v>18.2</v>
      </c>
      <c r="AX717" s="14">
        <f>IFERROR(__xludf.DUMMYFUNCTION("""COMPUTED_VALUE"""),700000.0)</f>
        <v>700000</v>
      </c>
      <c r="AY717" s="14">
        <f>IFERROR(__xludf.DUMMYFUNCTION("""COMPUTED_VALUE"""),0.5)</f>
        <v>0.5</v>
      </c>
      <c r="AZ717" s="14">
        <f>IFERROR(__xludf.DUMMYFUNCTION("""COMPUTED_VALUE"""),0.007)</f>
        <v>0.007</v>
      </c>
      <c r="BA717" s="14">
        <f t="shared" si="1"/>
        <v>18.707</v>
      </c>
    </row>
    <row r="718" ht="14.25" customHeight="1">
      <c r="A718" s="10" t="str">
        <f>IFERROR(__xludf.DUMMYFUNCTION("""COMPUTED_VALUE"""),"200922FE01")</f>
        <v>200922FE01</v>
      </c>
      <c r="B718" s="12" t="str">
        <f>IFERROR(__xludf.DUMMYFUNCTION("""COMPUTED_VALUE"""),"COR-Humedal Córdoba")</f>
        <v>COR-Humedal Córdoba</v>
      </c>
      <c r="C718" s="12"/>
      <c r="D718" s="12"/>
      <c r="E718" s="44">
        <f>IFERROR(__xludf.DUMMYFUNCTION("""COMPUTED_VALUE"""),44824.0)</f>
        <v>44824</v>
      </c>
      <c r="F718" s="12" t="str">
        <f>IFERROR(__xludf.DUMMYFUNCTION("""COMPUTED_VALUE"""),"TIPO I")</f>
        <v>TIPO I</v>
      </c>
      <c r="G718" s="12" t="str">
        <f>IFERROR(__xludf.DUMMYFUNCTION("""COMPUTED_VALUE"""),"Estructura del canal natural, presencia de lodos y residuos solidos en el lecho. ")</f>
        <v>Estructura del canal natural, presencia de lodos y residuos solidos en el lecho. </v>
      </c>
      <c r="H718" s="45">
        <f>IFERROR(__xludf.DUMMYFUNCTION("""COMPUTED_VALUE"""),0.25)</f>
        <v>0.25</v>
      </c>
      <c r="I718" s="45">
        <f>IFERROR(__xludf.DUMMYFUNCTION("""COMPUTED_VALUE"""),0.3333333333321207)</f>
        <v>0.3333333333</v>
      </c>
      <c r="J718" s="12">
        <f>IFERROR(__xludf.DUMMYFUNCTION("""COMPUTED_VALUE"""),9.1)</f>
        <v>9.1</v>
      </c>
      <c r="K718" s="12">
        <f>IFERROR(__xludf.DUMMYFUNCTION("""COMPUTED_VALUE"""),0.84)</f>
        <v>0.84</v>
      </c>
      <c r="L718" s="14">
        <f>IFERROR(__xludf.DUMMYFUNCTION("""COMPUTED_VALUE"""),968.415)</f>
        <v>968.415</v>
      </c>
      <c r="M718" s="14">
        <f>IFERROR(__xludf.DUMMYFUNCTION("""COMPUTED_VALUE"""),924.309)</f>
        <v>924.309</v>
      </c>
      <c r="N718" s="14">
        <f>IFERROR(__xludf.DUMMYFUNCTION("""COMPUTED_VALUE"""),943.699)</f>
        <v>943.699</v>
      </c>
      <c r="O718" s="14">
        <f>IFERROR(__xludf.DUMMYFUNCTION("""COMPUTED_VALUE"""),909.409)</f>
        <v>909.409</v>
      </c>
      <c r="P718" s="14">
        <f>IFERROR(__xludf.DUMMYFUNCTION("""COMPUTED_VALUE"""),899.714)</f>
        <v>899.714</v>
      </c>
      <c r="Q718" s="14">
        <f>IFERROR(__xludf.DUMMYFUNCTION("""COMPUTED_VALUE"""),929.109)</f>
        <v>929.109</v>
      </c>
      <c r="R718" s="48">
        <f>IFERROR(__xludf.DUMMYFUNCTION("""COMPUTED_VALUE"""),7.38)</f>
        <v>7.38</v>
      </c>
      <c r="S718" s="48">
        <f>IFERROR(__xludf.DUMMYFUNCTION("""COMPUTED_VALUE"""),7.39)</f>
        <v>7.39</v>
      </c>
      <c r="T718" s="48">
        <f>IFERROR(__xludf.DUMMYFUNCTION("""COMPUTED_VALUE"""),7.41)</f>
        <v>7.41</v>
      </c>
      <c r="U718" s="48">
        <f>IFERROR(__xludf.DUMMYFUNCTION("""COMPUTED_VALUE"""),7.32)</f>
        <v>7.32</v>
      </c>
      <c r="V718" s="48">
        <f>IFERROR(__xludf.DUMMYFUNCTION("""COMPUTED_VALUE"""),7.28)</f>
        <v>7.28</v>
      </c>
      <c r="W718" s="14">
        <f>IFERROR(__xludf.DUMMYFUNCTION("""COMPUTED_VALUE"""),7.356)</f>
        <v>7.356</v>
      </c>
      <c r="X718" s="14">
        <f>IFERROR(__xludf.DUMMYFUNCTION("""COMPUTED_VALUE"""),17.2)</f>
        <v>17.2</v>
      </c>
      <c r="Y718" s="14">
        <f>IFERROR(__xludf.DUMMYFUNCTION("""COMPUTED_VALUE"""),17.2)</f>
        <v>17.2</v>
      </c>
      <c r="Z718" s="14">
        <f>IFERROR(__xludf.DUMMYFUNCTION("""COMPUTED_VALUE"""),16.5)</f>
        <v>16.5</v>
      </c>
      <c r="AA718" s="14">
        <f>IFERROR(__xludf.DUMMYFUNCTION("""COMPUTED_VALUE"""),17.2)</f>
        <v>17.2</v>
      </c>
      <c r="AB718" s="14">
        <f>IFERROR(__xludf.DUMMYFUNCTION("""COMPUTED_VALUE"""),17.2)</f>
        <v>17.2</v>
      </c>
      <c r="AC718" s="14">
        <f>IFERROR(__xludf.DUMMYFUNCTION("""COMPUTED_VALUE"""),17.06)</f>
        <v>17.06</v>
      </c>
      <c r="AD718" s="48">
        <f>IFERROR(__xludf.DUMMYFUNCTION("""COMPUTED_VALUE"""),170.8)</f>
        <v>170.8</v>
      </c>
      <c r="AE718" s="48">
        <f>IFERROR(__xludf.DUMMYFUNCTION("""COMPUTED_VALUE"""),169.9)</f>
        <v>169.9</v>
      </c>
      <c r="AF718" s="48">
        <f>IFERROR(__xludf.DUMMYFUNCTION("""COMPUTED_VALUE"""),172.8)</f>
        <v>172.8</v>
      </c>
      <c r="AG718" s="48">
        <f>IFERROR(__xludf.DUMMYFUNCTION("""COMPUTED_VALUE"""),162.8)</f>
        <v>162.8</v>
      </c>
      <c r="AH718" s="48">
        <f>IFERROR(__xludf.DUMMYFUNCTION("""COMPUTED_VALUE"""),163.0)</f>
        <v>163</v>
      </c>
      <c r="AI718" s="14">
        <f>IFERROR(__xludf.DUMMYFUNCTION("""COMPUTED_VALUE"""),167.85999999999999)</f>
        <v>167.86</v>
      </c>
      <c r="AJ718" s="14">
        <f>IFERROR(__xludf.DUMMYFUNCTION("""COMPUTED_VALUE"""),4.29)</f>
        <v>4.29</v>
      </c>
      <c r="AK718" s="14">
        <f>IFERROR(__xludf.DUMMYFUNCTION("""COMPUTED_VALUE"""),4.2)</f>
        <v>4.2</v>
      </c>
      <c r="AL718" s="14">
        <f>IFERROR(__xludf.DUMMYFUNCTION("""COMPUTED_VALUE"""),4.19)</f>
        <v>4.19</v>
      </c>
      <c r="AM718" s="14">
        <f>IFERROR(__xludf.DUMMYFUNCTION("""COMPUTED_VALUE"""),4.0)</f>
        <v>4</v>
      </c>
      <c r="AN718" s="14">
        <f>IFERROR(__xludf.DUMMYFUNCTION("""COMPUTED_VALUE"""),3.88)</f>
        <v>3.88</v>
      </c>
      <c r="AO718" s="14">
        <f>IFERROR(__xludf.DUMMYFUNCTION("""COMPUTED_VALUE"""),4.112)</f>
        <v>4.112</v>
      </c>
      <c r="AP718" s="14">
        <f>IFERROR(__xludf.DUMMYFUNCTION("""COMPUTED_VALUE"""),22.0)</f>
        <v>22</v>
      </c>
      <c r="AQ718" s="14">
        <f>IFERROR(__xludf.DUMMYFUNCTION("""COMPUTED_VALUE"""),30.0)</f>
        <v>30</v>
      </c>
      <c r="AR718" s="14">
        <f>IFERROR(__xludf.DUMMYFUNCTION("""COMPUTED_VALUE"""),38.0)</f>
        <v>38</v>
      </c>
      <c r="AS718" s="14">
        <f>IFERROR(__xludf.DUMMYFUNCTION("""COMPUTED_VALUE"""),12.3)</f>
        <v>12.3</v>
      </c>
      <c r="AT718" s="14">
        <f>IFERROR(__xludf.DUMMYFUNCTION("""COMPUTED_VALUE"""),0.77)</f>
        <v>0.77</v>
      </c>
      <c r="AU718" s="14">
        <f>IFERROR(__xludf.DUMMYFUNCTION("""COMPUTED_VALUE"""),9590000.0)</f>
        <v>9590000</v>
      </c>
      <c r="AV718" s="14">
        <f>IFERROR(__xludf.DUMMYFUNCTION("""COMPUTED_VALUE"""),0.4)</f>
        <v>0.4</v>
      </c>
      <c r="AW718" s="14">
        <f>IFERROR(__xludf.DUMMYFUNCTION("""COMPUTED_VALUE"""),5.3)</f>
        <v>5.3</v>
      </c>
      <c r="AX718" s="14">
        <f>IFERROR(__xludf.DUMMYFUNCTION("""COMPUTED_VALUE"""),68400.0)</f>
        <v>68400</v>
      </c>
      <c r="AY718" s="14">
        <f>IFERROR(__xludf.DUMMYFUNCTION("""COMPUTED_VALUE"""),1.0)</f>
        <v>1</v>
      </c>
      <c r="AZ718" s="14">
        <f>IFERROR(__xludf.DUMMYFUNCTION("""COMPUTED_VALUE"""),0.159)</f>
        <v>0.159</v>
      </c>
      <c r="BA718" s="14">
        <f t="shared" si="1"/>
        <v>6.459</v>
      </c>
    </row>
    <row r="719" ht="14.25" customHeight="1">
      <c r="A719" s="10" t="str">
        <f>IFERROR(__xludf.DUMMYFUNCTION("""COMPUTED_VALUE"""),"280922FE02")</f>
        <v>280922FE02</v>
      </c>
      <c r="B719" s="12" t="str">
        <f>IFERROR(__xludf.DUMMYFUNCTION("""COMPUTED_VALUE"""),"CMO-Alhambra")</f>
        <v>CMO-Alhambra</v>
      </c>
      <c r="C719" s="12"/>
      <c r="D719" s="12"/>
      <c r="E719" s="44">
        <f>IFERROR(__xludf.DUMMYFUNCTION("""COMPUTED_VALUE"""),44832.0)</f>
        <v>44832</v>
      </c>
      <c r="F719" s="12" t="str">
        <f>IFERROR(__xludf.DUMMYFUNCTION("""COMPUTED_VALUE"""),"TIPO I")</f>
        <v>TIPO I</v>
      </c>
      <c r="G719" s="12" t="str">
        <f>IFERROR(__xludf.DUMMYFUNCTION("""COMPUTED_VALUE"""),"Durante el monitoreo se observa color y se percibe olor, estructura del canal en concreto, presencia de material sedimentable en el lecho. 
Coordenadas registradas en campo: N: 4°41'51.3"" W: 74°03'40.4""
Altitud: 2559 msnm.  ")</f>
        <v>Durante el monitoreo se observa color y se percibe olor, estructura del canal en concreto, presencia de material sedimentable en el lecho. 
Coordenadas registradas en campo: N: 4°41'51.3" W: 74°03'40.4"
Altitud: 2559 msnm.  </v>
      </c>
      <c r="H719" s="45">
        <f>IFERROR(__xludf.DUMMYFUNCTION("""COMPUTED_VALUE"""),0.5833333333321207)</f>
        <v>0.5833333333</v>
      </c>
      <c r="I719" s="45">
        <f>IFERROR(__xludf.DUMMYFUNCTION("""COMPUTED_VALUE"""),0.6666666666678793)</f>
        <v>0.6666666667</v>
      </c>
      <c r="J719" s="12">
        <f>IFERROR(__xludf.DUMMYFUNCTION("""COMPUTED_VALUE"""),5.85)</f>
        <v>5.85</v>
      </c>
      <c r="K719" s="12">
        <f>IFERROR(__xludf.DUMMYFUNCTION("""COMPUTED_VALUE"""),0.15)</f>
        <v>0.15</v>
      </c>
      <c r="L719" s="14">
        <f>IFERROR(__xludf.DUMMYFUNCTION("""COMPUTED_VALUE"""),160.562)</f>
        <v>160.562</v>
      </c>
      <c r="M719" s="14">
        <f>IFERROR(__xludf.DUMMYFUNCTION("""COMPUTED_VALUE"""),172.748)</f>
        <v>172.748</v>
      </c>
      <c r="N719" s="14">
        <f>IFERROR(__xludf.DUMMYFUNCTION("""COMPUTED_VALUE"""),182.726)</f>
        <v>182.726</v>
      </c>
      <c r="O719" s="14">
        <f>IFERROR(__xludf.DUMMYFUNCTION("""COMPUTED_VALUE"""),179.262)</f>
        <v>179.262</v>
      </c>
      <c r="P719" s="14">
        <f>IFERROR(__xludf.DUMMYFUNCTION("""COMPUTED_VALUE"""),187.738)</f>
        <v>187.738</v>
      </c>
      <c r="Q719" s="14">
        <f>IFERROR(__xludf.DUMMYFUNCTION("""COMPUTED_VALUE"""),176.607)</f>
        <v>176.607</v>
      </c>
      <c r="R719" s="48">
        <f>IFERROR(__xludf.DUMMYFUNCTION("""COMPUTED_VALUE"""),7.72)</f>
        <v>7.72</v>
      </c>
      <c r="S719" s="48">
        <f>IFERROR(__xludf.DUMMYFUNCTION("""COMPUTED_VALUE"""),7.78)</f>
        <v>7.78</v>
      </c>
      <c r="T719" s="48">
        <f>IFERROR(__xludf.DUMMYFUNCTION("""COMPUTED_VALUE"""),7.77)</f>
        <v>7.77</v>
      </c>
      <c r="U719" s="48">
        <f>IFERROR(__xludf.DUMMYFUNCTION("""COMPUTED_VALUE"""),7.66)</f>
        <v>7.66</v>
      </c>
      <c r="V719" s="48">
        <f>IFERROR(__xludf.DUMMYFUNCTION("""COMPUTED_VALUE"""),7.51)</f>
        <v>7.51</v>
      </c>
      <c r="W719" s="14">
        <f>IFERROR(__xludf.DUMMYFUNCTION("""COMPUTED_VALUE"""),7.688)</f>
        <v>7.688</v>
      </c>
      <c r="X719" s="14">
        <f>IFERROR(__xludf.DUMMYFUNCTION("""COMPUTED_VALUE"""),20.1)</f>
        <v>20.1</v>
      </c>
      <c r="Y719" s="14">
        <f>IFERROR(__xludf.DUMMYFUNCTION("""COMPUTED_VALUE"""),19.9)</f>
        <v>19.9</v>
      </c>
      <c r="Z719" s="14">
        <f>IFERROR(__xludf.DUMMYFUNCTION("""COMPUTED_VALUE"""),20.0)</f>
        <v>20</v>
      </c>
      <c r="AA719" s="14">
        <f>IFERROR(__xludf.DUMMYFUNCTION("""COMPUTED_VALUE"""),19.7)</f>
        <v>19.7</v>
      </c>
      <c r="AB719" s="14">
        <f>IFERROR(__xludf.DUMMYFUNCTION("""COMPUTED_VALUE"""),19.7)</f>
        <v>19.7</v>
      </c>
      <c r="AC719" s="14">
        <f>IFERROR(__xludf.DUMMYFUNCTION("""COMPUTED_VALUE"""),19.880000000000003)</f>
        <v>19.88</v>
      </c>
      <c r="AD719" s="48">
        <f>IFERROR(__xludf.DUMMYFUNCTION("""COMPUTED_VALUE"""),507.0)</f>
        <v>507</v>
      </c>
      <c r="AE719" s="48">
        <f>IFERROR(__xludf.DUMMYFUNCTION("""COMPUTED_VALUE"""),499.0)</f>
        <v>499</v>
      </c>
      <c r="AF719" s="48">
        <f>IFERROR(__xludf.DUMMYFUNCTION("""COMPUTED_VALUE"""),485.0)</f>
        <v>485</v>
      </c>
      <c r="AG719" s="48">
        <f>IFERROR(__xludf.DUMMYFUNCTION("""COMPUTED_VALUE"""),487.0)</f>
        <v>487</v>
      </c>
      <c r="AH719" s="48">
        <f>IFERROR(__xludf.DUMMYFUNCTION("""COMPUTED_VALUE"""),493.0)</f>
        <v>493</v>
      </c>
      <c r="AI719" s="14">
        <f>IFERROR(__xludf.DUMMYFUNCTION("""COMPUTED_VALUE"""),494.2)</f>
        <v>494.2</v>
      </c>
      <c r="AJ719" s="14">
        <f>IFERROR(__xludf.DUMMYFUNCTION("""COMPUTED_VALUE"""),1.04)</f>
        <v>1.04</v>
      </c>
      <c r="AK719" s="14">
        <f>IFERROR(__xludf.DUMMYFUNCTION("""COMPUTED_VALUE"""),1.17)</f>
        <v>1.17</v>
      </c>
      <c r="AL719" s="14">
        <f>IFERROR(__xludf.DUMMYFUNCTION("""COMPUTED_VALUE"""),1.05)</f>
        <v>1.05</v>
      </c>
      <c r="AM719" s="14">
        <f>IFERROR(__xludf.DUMMYFUNCTION("""COMPUTED_VALUE"""),1.09)</f>
        <v>1.09</v>
      </c>
      <c r="AN719" s="14">
        <f>IFERROR(__xludf.DUMMYFUNCTION("""COMPUTED_VALUE"""),1.03)</f>
        <v>1.03</v>
      </c>
      <c r="AO719" s="14">
        <f>IFERROR(__xludf.DUMMYFUNCTION("""COMPUTED_VALUE"""),1.076)</f>
        <v>1.076</v>
      </c>
      <c r="AP719" s="14">
        <f>IFERROR(__xludf.DUMMYFUNCTION("""COMPUTED_VALUE"""),64.0)</f>
        <v>64</v>
      </c>
      <c r="AQ719" s="14">
        <f>IFERROR(__xludf.DUMMYFUNCTION("""COMPUTED_VALUE"""),104.0)</f>
        <v>104</v>
      </c>
      <c r="AR719" s="14">
        <f>IFERROR(__xludf.DUMMYFUNCTION("""COMPUTED_VALUE"""),45.0)</f>
        <v>45</v>
      </c>
      <c r="AS719" s="14">
        <f>IFERROR(__xludf.DUMMYFUNCTION("""COMPUTED_VALUE"""),50.0)</f>
        <v>50</v>
      </c>
      <c r="AT719" s="14">
        <f>IFERROR(__xludf.DUMMYFUNCTION("""COMPUTED_VALUE"""),4.11)</f>
        <v>4.11</v>
      </c>
      <c r="AU719" s="14">
        <f>IFERROR(__xludf.DUMMYFUNCTION("""COMPUTED_VALUE"""),1.036E8)</f>
        <v>103600000</v>
      </c>
      <c r="AV719" s="14">
        <f>IFERROR(__xludf.DUMMYFUNCTION("""COMPUTED_VALUE"""),2.89)</f>
        <v>2.89</v>
      </c>
      <c r="AW719" s="14">
        <f>IFERROR(__xludf.DUMMYFUNCTION("""COMPUTED_VALUE"""),24.4)</f>
        <v>24.4</v>
      </c>
      <c r="AX719" s="14">
        <f>IFERROR(__xludf.DUMMYFUNCTION("""COMPUTED_VALUE"""),1022000.0)</f>
        <v>1022000</v>
      </c>
      <c r="AY719" s="14">
        <f>IFERROR(__xludf.DUMMYFUNCTION("""COMPUTED_VALUE"""),0.6)</f>
        <v>0.6</v>
      </c>
      <c r="AZ719" s="14">
        <f>IFERROR(__xludf.DUMMYFUNCTION("""COMPUTED_VALUE"""),0.007)</f>
        <v>0.007</v>
      </c>
      <c r="BA719" s="14">
        <f t="shared" si="1"/>
        <v>25.007</v>
      </c>
    </row>
    <row r="720" ht="14.25" customHeight="1">
      <c r="A720" s="10" t="str">
        <f>IFERROR(__xludf.DUMMYFUNCTION("""COMPUTED_VALUE"""),"280922DI02")</f>
        <v>280922DI02</v>
      </c>
      <c r="B720" s="12" t="str">
        <f>IFERROR(__xludf.DUMMYFUNCTION("""COMPUTED_VALUE"""),"CMO-Cantón Norte")</f>
        <v>CMO-Cantón Norte</v>
      </c>
      <c r="C720" s="12"/>
      <c r="D720" s="12"/>
      <c r="E720" s="44">
        <f>IFERROR(__xludf.DUMMYFUNCTION("""COMPUTED_VALUE"""),44832.0)</f>
        <v>44832</v>
      </c>
      <c r="F720" s="12" t="str">
        <f>IFERROR(__xludf.DUMMYFUNCTION("""COMPUTED_VALUE"""),"TIPO I")</f>
        <v>TIPO I</v>
      </c>
      <c r="G720" s="12" t="str">
        <f>IFERROR(__xludf.DUMMYFUNCTION("""COMPUTED_VALUE"""),"Durante el monitoreo se observa color, no se percibe olor, estructura del canal en concreto.
Altitud: 2601 msnm. ")</f>
        <v>Durante el monitoreo se observa color, no se percibe olor, estructura del canal en concreto.
Altitud: 2601 msnm. </v>
      </c>
      <c r="H720" s="45">
        <f>IFERROR(__xludf.DUMMYFUNCTION("""COMPUTED_VALUE"""),0.5833333333321207)</f>
        <v>0.5833333333</v>
      </c>
      <c r="I720" s="45">
        <f>IFERROR(__xludf.DUMMYFUNCTION("""COMPUTED_VALUE"""),0.6666666666678793)</f>
        <v>0.6666666667</v>
      </c>
      <c r="J720" s="12">
        <f>IFERROR(__xludf.DUMMYFUNCTION("""COMPUTED_VALUE"""),1.65)</f>
        <v>1.65</v>
      </c>
      <c r="K720" s="12">
        <f>IFERROR(__xludf.DUMMYFUNCTION("""COMPUTED_VALUE"""),0.11)</f>
        <v>0.11</v>
      </c>
      <c r="L720" s="14">
        <f>IFERROR(__xludf.DUMMYFUNCTION("""COMPUTED_VALUE"""),78.254)</f>
        <v>78.254</v>
      </c>
      <c r="M720" s="14">
        <f>IFERROR(__xludf.DUMMYFUNCTION("""COMPUTED_VALUE"""),76.482)</f>
        <v>76.482</v>
      </c>
      <c r="N720" s="14">
        <f>IFERROR(__xludf.DUMMYFUNCTION("""COMPUTED_VALUE"""),75.744)</f>
        <v>75.744</v>
      </c>
      <c r="O720" s="14">
        <f>IFERROR(__xludf.DUMMYFUNCTION("""COMPUTED_VALUE"""),77.539)</f>
        <v>77.539</v>
      </c>
      <c r="P720" s="14">
        <f>IFERROR(__xludf.DUMMYFUNCTION("""COMPUTED_VALUE"""),74.634)</f>
        <v>74.634</v>
      </c>
      <c r="Q720" s="14">
        <f>IFERROR(__xludf.DUMMYFUNCTION("""COMPUTED_VALUE"""),76.531)</f>
        <v>76.531</v>
      </c>
      <c r="R720" s="48">
        <f>IFERROR(__xludf.DUMMYFUNCTION("""COMPUTED_VALUE"""),7.87)</f>
        <v>7.87</v>
      </c>
      <c r="S720" s="48">
        <f>IFERROR(__xludf.DUMMYFUNCTION("""COMPUTED_VALUE"""),7.52)</f>
        <v>7.52</v>
      </c>
      <c r="T720" s="48">
        <f>IFERROR(__xludf.DUMMYFUNCTION("""COMPUTED_VALUE"""),7.54)</f>
        <v>7.54</v>
      </c>
      <c r="U720" s="48">
        <f>IFERROR(__xludf.DUMMYFUNCTION("""COMPUTED_VALUE"""),7.62)</f>
        <v>7.62</v>
      </c>
      <c r="V720" s="48">
        <f>IFERROR(__xludf.DUMMYFUNCTION("""COMPUTED_VALUE"""),7.73)</f>
        <v>7.73</v>
      </c>
      <c r="W720" s="14">
        <f>IFERROR(__xludf.DUMMYFUNCTION("""COMPUTED_VALUE"""),7.656000000000001)</f>
        <v>7.656</v>
      </c>
      <c r="X720" s="14">
        <f>IFERROR(__xludf.DUMMYFUNCTION("""COMPUTED_VALUE"""),13.85)</f>
        <v>13.85</v>
      </c>
      <c r="Y720" s="14">
        <f>IFERROR(__xludf.DUMMYFUNCTION("""COMPUTED_VALUE"""),13.61)</f>
        <v>13.61</v>
      </c>
      <c r="Z720" s="14">
        <f>IFERROR(__xludf.DUMMYFUNCTION("""COMPUTED_VALUE"""),13.77)</f>
        <v>13.77</v>
      </c>
      <c r="AA720" s="14">
        <f>IFERROR(__xludf.DUMMYFUNCTION("""COMPUTED_VALUE"""),13.6)</f>
        <v>13.6</v>
      </c>
      <c r="AB720" s="14">
        <f>IFERROR(__xludf.DUMMYFUNCTION("""COMPUTED_VALUE"""),13.55)</f>
        <v>13.55</v>
      </c>
      <c r="AC720" s="14">
        <f>IFERROR(__xludf.DUMMYFUNCTION("""COMPUTED_VALUE"""),13.676000000000002)</f>
        <v>13.676</v>
      </c>
      <c r="AD720" s="48">
        <f>IFERROR(__xludf.DUMMYFUNCTION("""COMPUTED_VALUE"""),341.0)</f>
        <v>341</v>
      </c>
      <c r="AE720" s="48">
        <f>IFERROR(__xludf.DUMMYFUNCTION("""COMPUTED_VALUE"""),356.0)</f>
        <v>356</v>
      </c>
      <c r="AF720" s="48">
        <f>IFERROR(__xludf.DUMMYFUNCTION("""COMPUTED_VALUE"""),389.0)</f>
        <v>389</v>
      </c>
      <c r="AG720" s="48">
        <f>IFERROR(__xludf.DUMMYFUNCTION("""COMPUTED_VALUE"""),412.0)</f>
        <v>412</v>
      </c>
      <c r="AH720" s="48">
        <f>IFERROR(__xludf.DUMMYFUNCTION("""COMPUTED_VALUE"""),437.0)</f>
        <v>437</v>
      </c>
      <c r="AI720" s="14">
        <f>IFERROR(__xludf.DUMMYFUNCTION("""COMPUTED_VALUE"""),387.0)</f>
        <v>387</v>
      </c>
      <c r="AJ720" s="14">
        <f>IFERROR(__xludf.DUMMYFUNCTION("""COMPUTED_VALUE"""),5.68)</f>
        <v>5.68</v>
      </c>
      <c r="AK720" s="14">
        <f>IFERROR(__xludf.DUMMYFUNCTION("""COMPUTED_VALUE"""),5.69)</f>
        <v>5.69</v>
      </c>
      <c r="AL720" s="14">
        <f>IFERROR(__xludf.DUMMYFUNCTION("""COMPUTED_VALUE"""),5.91)</f>
        <v>5.91</v>
      </c>
      <c r="AM720" s="14">
        <f>IFERROR(__xludf.DUMMYFUNCTION("""COMPUTED_VALUE"""),5.76)</f>
        <v>5.76</v>
      </c>
      <c r="AN720" s="14">
        <f>IFERROR(__xludf.DUMMYFUNCTION("""COMPUTED_VALUE"""),5.47)</f>
        <v>5.47</v>
      </c>
      <c r="AO720" s="14">
        <f>IFERROR(__xludf.DUMMYFUNCTION("""COMPUTED_VALUE"""),5.702)</f>
        <v>5.702</v>
      </c>
      <c r="AP720" s="14">
        <f>IFERROR(__xludf.DUMMYFUNCTION("""COMPUTED_VALUE"""),29.0)</f>
        <v>29</v>
      </c>
      <c r="AQ720" s="14">
        <f>IFERROR(__xludf.DUMMYFUNCTION("""COMPUTED_VALUE"""),36.0)</f>
        <v>36</v>
      </c>
      <c r="AR720" s="14">
        <f>IFERROR(__xludf.DUMMYFUNCTION("""COMPUTED_VALUE"""),30.0)</f>
        <v>30</v>
      </c>
      <c r="AS720" s="14">
        <f>IFERROR(__xludf.DUMMYFUNCTION("""COMPUTED_VALUE"""),12.2)</f>
        <v>12.2</v>
      </c>
      <c r="AT720" s="14">
        <f>IFERROR(__xludf.DUMMYFUNCTION("""COMPUTED_VALUE"""),1.04)</f>
        <v>1.04</v>
      </c>
      <c r="AU720" s="14">
        <f>IFERROR(__xludf.DUMMYFUNCTION("""COMPUTED_VALUE"""),1.043E7)</f>
        <v>10430000</v>
      </c>
      <c r="AV720" s="14">
        <f>IFERROR(__xludf.DUMMYFUNCTION("""COMPUTED_VALUE"""),2.12)</f>
        <v>2.12</v>
      </c>
      <c r="AW720" s="14">
        <f>IFERROR(__xludf.DUMMYFUNCTION("""COMPUTED_VALUE"""),16.8)</f>
        <v>16.8</v>
      </c>
      <c r="AX720" s="14">
        <f>IFERROR(__xludf.DUMMYFUNCTION("""COMPUTED_VALUE"""),51200.0)</f>
        <v>51200</v>
      </c>
      <c r="AY720" s="14">
        <f>IFERROR(__xludf.DUMMYFUNCTION("""COMPUTED_VALUE"""),0.5)</f>
        <v>0.5</v>
      </c>
      <c r="AZ720" s="14">
        <f>IFERROR(__xludf.DUMMYFUNCTION("""COMPUTED_VALUE"""),0.007)</f>
        <v>0.007</v>
      </c>
      <c r="BA720" s="14">
        <f t="shared" si="1"/>
        <v>17.307</v>
      </c>
    </row>
    <row r="721" ht="14.25" customHeight="1">
      <c r="A721" s="10" t="str">
        <f>IFERROR(__xludf.DUMMYFUNCTION("""COMPUTED_VALUE"""),"190922MI02")</f>
        <v>190922MI02</v>
      </c>
      <c r="B721" s="12" t="str">
        <f>IFERROR(__xludf.DUMMYFUNCTION("""COMPUTED_VALUE"""),"HCO-Los Lagartos")</f>
        <v>HCO-Los Lagartos</v>
      </c>
      <c r="C721" s="12"/>
      <c r="D721" s="12"/>
      <c r="E721" s="44">
        <f>IFERROR(__xludf.DUMMYFUNCTION("""COMPUTED_VALUE"""),44823.0)</f>
        <v>44823</v>
      </c>
      <c r="F721" s="12" t="str">
        <f>IFERROR(__xludf.DUMMYFUNCTION("""COMPUTED_VALUE"""),"TIPO I")</f>
        <v>TIPO I</v>
      </c>
      <c r="G721" s="12" t="str">
        <f>IFERROR(__xludf.DUMMYFUNCTION("""COMPUTED_VALUE"""),"Presenta coloración, se perciben olores")</f>
        <v>Presenta coloración, se perciben olores</v>
      </c>
      <c r="H721" s="45">
        <f>IFERROR(__xludf.DUMMYFUNCTION("""COMPUTED_VALUE"""),0.5)</f>
        <v>0.5</v>
      </c>
      <c r="I721" s="45">
        <f>IFERROR(__xludf.DUMMYFUNCTION("""COMPUTED_VALUE"""),0.5833333333321207)</f>
        <v>0.5833333333</v>
      </c>
      <c r="J721" s="12">
        <f>IFERROR(__xludf.DUMMYFUNCTION("""COMPUTED_VALUE"""),6.3)</f>
        <v>6.3</v>
      </c>
      <c r="K721" s="12">
        <f>IFERROR(__xludf.DUMMYFUNCTION("""COMPUTED_VALUE"""),0.5)</f>
        <v>0.5</v>
      </c>
      <c r="L721" s="14">
        <f>IFERROR(__xludf.DUMMYFUNCTION("""COMPUTED_VALUE"""),271.77)</f>
        <v>271.77</v>
      </c>
      <c r="M721" s="14">
        <f>IFERROR(__xludf.DUMMYFUNCTION("""COMPUTED_VALUE"""),277.307)</f>
        <v>277.307</v>
      </c>
      <c r="N721" s="14">
        <f>IFERROR(__xludf.DUMMYFUNCTION("""COMPUTED_VALUE"""),290.615)</f>
        <v>290.615</v>
      </c>
      <c r="O721" s="14">
        <f>IFERROR(__xludf.DUMMYFUNCTION("""COMPUTED_VALUE"""),286.223)</f>
        <v>286.223</v>
      </c>
      <c r="P721" s="14">
        <f>IFERROR(__xludf.DUMMYFUNCTION("""COMPUTED_VALUE"""),262.745)</f>
        <v>262.745</v>
      </c>
      <c r="Q721" s="14">
        <f>IFERROR(__xludf.DUMMYFUNCTION("""COMPUTED_VALUE"""),277.732)</f>
        <v>277.732</v>
      </c>
      <c r="R721" s="48">
        <f>IFERROR(__xludf.DUMMYFUNCTION("""COMPUTED_VALUE"""),7.45)</f>
        <v>7.45</v>
      </c>
      <c r="S721" s="48">
        <f>IFERROR(__xludf.DUMMYFUNCTION("""COMPUTED_VALUE"""),7.17)</f>
        <v>7.17</v>
      </c>
      <c r="T721" s="48">
        <f>IFERROR(__xludf.DUMMYFUNCTION("""COMPUTED_VALUE"""),7.21)</f>
        <v>7.21</v>
      </c>
      <c r="U721" s="48">
        <f>IFERROR(__xludf.DUMMYFUNCTION("""COMPUTED_VALUE"""),7.18)</f>
        <v>7.18</v>
      </c>
      <c r="V721" s="48">
        <f>IFERROR(__xludf.DUMMYFUNCTION("""COMPUTED_VALUE"""),7.2)</f>
        <v>7.2</v>
      </c>
      <c r="W721" s="14">
        <f>IFERROR(__xludf.DUMMYFUNCTION("""COMPUTED_VALUE"""),7.242)</f>
        <v>7.242</v>
      </c>
      <c r="X721" s="14">
        <f>IFERROR(__xludf.DUMMYFUNCTION("""COMPUTED_VALUE"""),18.3)</f>
        <v>18.3</v>
      </c>
      <c r="Y721" s="14">
        <f>IFERROR(__xludf.DUMMYFUNCTION("""COMPUTED_VALUE"""),17.9)</f>
        <v>17.9</v>
      </c>
      <c r="Z721" s="14">
        <f>IFERROR(__xludf.DUMMYFUNCTION("""COMPUTED_VALUE"""),17.4)</f>
        <v>17.4</v>
      </c>
      <c r="AA721" s="14">
        <f>IFERROR(__xludf.DUMMYFUNCTION("""COMPUTED_VALUE"""),18.0)</f>
        <v>18</v>
      </c>
      <c r="AB721" s="14">
        <f>IFERROR(__xludf.DUMMYFUNCTION("""COMPUTED_VALUE"""),17.7)</f>
        <v>17.7</v>
      </c>
      <c r="AC721" s="14">
        <f>IFERROR(__xludf.DUMMYFUNCTION("""COMPUTED_VALUE"""),17.86)</f>
        <v>17.86</v>
      </c>
      <c r="AD721" s="48">
        <f>IFERROR(__xludf.DUMMYFUNCTION("""COMPUTED_VALUE"""),423.0)</f>
        <v>423</v>
      </c>
      <c r="AE721" s="48">
        <f>IFERROR(__xludf.DUMMYFUNCTION("""COMPUTED_VALUE"""),420.0)</f>
        <v>420</v>
      </c>
      <c r="AF721" s="48">
        <f>IFERROR(__xludf.DUMMYFUNCTION("""COMPUTED_VALUE"""),417.0)</f>
        <v>417</v>
      </c>
      <c r="AG721" s="48">
        <f>IFERROR(__xludf.DUMMYFUNCTION("""COMPUTED_VALUE"""),427.0)</f>
        <v>427</v>
      </c>
      <c r="AH721" s="48">
        <f>IFERROR(__xludf.DUMMYFUNCTION("""COMPUTED_VALUE"""),430.0)</f>
        <v>430</v>
      </c>
      <c r="AI721" s="14">
        <f>IFERROR(__xludf.DUMMYFUNCTION("""COMPUTED_VALUE"""),423.4)</f>
        <v>423.4</v>
      </c>
      <c r="AJ721" s="14">
        <f>IFERROR(__xludf.DUMMYFUNCTION("""COMPUTED_VALUE"""),2.53)</f>
        <v>2.53</v>
      </c>
      <c r="AK721" s="14">
        <f>IFERROR(__xludf.DUMMYFUNCTION("""COMPUTED_VALUE"""),2.58)</f>
        <v>2.58</v>
      </c>
      <c r="AL721" s="14">
        <f>IFERROR(__xludf.DUMMYFUNCTION("""COMPUTED_VALUE"""),3.3)</f>
        <v>3.3</v>
      </c>
      <c r="AM721" s="14">
        <f>IFERROR(__xludf.DUMMYFUNCTION("""COMPUTED_VALUE"""),2.64)</f>
        <v>2.64</v>
      </c>
      <c r="AN721" s="14">
        <f>IFERROR(__xludf.DUMMYFUNCTION("""COMPUTED_VALUE"""),2.77)</f>
        <v>2.77</v>
      </c>
      <c r="AO721" s="14">
        <f>IFERROR(__xludf.DUMMYFUNCTION("""COMPUTED_VALUE"""),2.7640000000000002)</f>
        <v>2.764</v>
      </c>
      <c r="AP721" s="14">
        <f>IFERROR(__xludf.DUMMYFUNCTION("""COMPUTED_VALUE"""),56.0)</f>
        <v>56</v>
      </c>
      <c r="AQ721" s="14">
        <f>IFERROR(__xludf.DUMMYFUNCTION("""COMPUTED_VALUE"""),87.0)</f>
        <v>87</v>
      </c>
      <c r="AR721" s="14">
        <f>IFERROR(__xludf.DUMMYFUNCTION("""COMPUTED_VALUE"""),17.0)</f>
        <v>17</v>
      </c>
      <c r="AS721" s="14">
        <f>IFERROR(__xludf.DUMMYFUNCTION("""COMPUTED_VALUE"""),34.0)</f>
        <v>34</v>
      </c>
      <c r="AT721" s="14">
        <f>IFERROR(__xludf.DUMMYFUNCTION("""COMPUTED_VALUE"""),2.39)</f>
        <v>2.39</v>
      </c>
      <c r="AU721" s="14">
        <f>IFERROR(__xludf.DUMMYFUNCTION("""COMPUTED_VALUE"""),1.483E7)</f>
        <v>14830000</v>
      </c>
      <c r="AV721" s="14">
        <f>IFERROR(__xludf.DUMMYFUNCTION("""COMPUTED_VALUE"""),1.98)</f>
        <v>1.98</v>
      </c>
      <c r="AW721" s="14">
        <f>IFERROR(__xludf.DUMMYFUNCTION("""COMPUTED_VALUE"""),19.6)</f>
        <v>19.6</v>
      </c>
      <c r="AX721" s="14">
        <f>IFERROR(__xludf.DUMMYFUNCTION("""COMPUTED_VALUE"""),1354000.0)</f>
        <v>1354000</v>
      </c>
      <c r="AY721" s="14">
        <f>IFERROR(__xludf.DUMMYFUNCTION("""COMPUTED_VALUE"""),0.4)</f>
        <v>0.4</v>
      </c>
      <c r="AZ721" s="14">
        <f>IFERROR(__xludf.DUMMYFUNCTION("""COMPUTED_VALUE"""),0.007)</f>
        <v>0.007</v>
      </c>
      <c r="BA721" s="14">
        <f t="shared" si="1"/>
        <v>20.007</v>
      </c>
    </row>
    <row r="722" ht="14.25" customHeight="1">
      <c r="A722" s="10" t="str">
        <f>IFERROR(__xludf.DUMMYFUNCTION("""COMPUTED_VALUE"""),"200922FE02")</f>
        <v>200922FE02</v>
      </c>
      <c r="B722" s="12" t="str">
        <f>IFERROR(__xludf.DUMMYFUNCTION("""COMPUTED_VALUE"""),"COR-Prado Veraniego")</f>
        <v>COR-Prado Veraniego</v>
      </c>
      <c r="C722" s="12"/>
      <c r="D722" s="12"/>
      <c r="E722" s="44">
        <f>IFERROR(__xludf.DUMMYFUNCTION("""COMPUTED_VALUE"""),44824.0)</f>
        <v>44824</v>
      </c>
      <c r="F722" s="12" t="str">
        <f>IFERROR(__xludf.DUMMYFUNCTION("""COMPUTED_VALUE"""),"TIPO I")</f>
        <v>TIPO I</v>
      </c>
      <c r="G722" s="12" t="str">
        <f>IFERROR(__xludf.DUMMYFUNCTION("""COMPUTED_VALUE"""),"Se presenta un canal en concreto, con presencia de algas en el lecho. Durante el monitoreo se percibe olor y se observa color. ")</f>
        <v>Se presenta un canal en concreto, con presencia de algas en el lecho. Durante el monitoreo se percibe olor y se observa color. </v>
      </c>
      <c r="H722" s="45">
        <f>IFERROR(__xludf.DUMMYFUNCTION("""COMPUTED_VALUE"""),0.4166666666678793)</f>
        <v>0.4166666667</v>
      </c>
      <c r="I722" s="45">
        <f>IFERROR(__xludf.DUMMYFUNCTION("""COMPUTED_VALUE"""),0.5)</f>
        <v>0.5</v>
      </c>
      <c r="J722" s="12">
        <f>IFERROR(__xludf.DUMMYFUNCTION("""COMPUTED_VALUE"""),3.0)</f>
        <v>3</v>
      </c>
      <c r="K722" s="12">
        <f>IFERROR(__xludf.DUMMYFUNCTION("""COMPUTED_VALUE"""),0.14)</f>
        <v>0.14</v>
      </c>
      <c r="L722" s="14">
        <f>IFERROR(__xludf.DUMMYFUNCTION("""COMPUTED_VALUE"""),112.034)</f>
        <v>112.034</v>
      </c>
      <c r="M722" s="14">
        <f>IFERROR(__xludf.DUMMYFUNCTION("""COMPUTED_VALUE"""),116.227)</f>
        <v>116.227</v>
      </c>
      <c r="N722" s="14">
        <f>IFERROR(__xludf.DUMMYFUNCTION("""COMPUTED_VALUE"""),113.042)</f>
        <v>113.042</v>
      </c>
      <c r="O722" s="14">
        <f>IFERROR(__xludf.DUMMYFUNCTION("""COMPUTED_VALUE"""),107.834)</f>
        <v>107.834</v>
      </c>
      <c r="P722" s="14">
        <f>IFERROR(__xludf.DUMMYFUNCTION("""COMPUTED_VALUE"""),103.92)</f>
        <v>103.92</v>
      </c>
      <c r="Q722" s="14">
        <f>IFERROR(__xludf.DUMMYFUNCTION("""COMPUTED_VALUE"""),110.611)</f>
        <v>110.611</v>
      </c>
      <c r="R722" s="48">
        <f>IFERROR(__xludf.DUMMYFUNCTION("""COMPUTED_VALUE"""),8.76)</f>
        <v>8.76</v>
      </c>
      <c r="S722" s="48">
        <f>IFERROR(__xludf.DUMMYFUNCTION("""COMPUTED_VALUE"""),8.72)</f>
        <v>8.72</v>
      </c>
      <c r="T722" s="48">
        <f>IFERROR(__xludf.DUMMYFUNCTION("""COMPUTED_VALUE"""),8.61)</f>
        <v>8.61</v>
      </c>
      <c r="U722" s="48">
        <f>IFERROR(__xludf.DUMMYFUNCTION("""COMPUTED_VALUE"""),8.66)</f>
        <v>8.66</v>
      </c>
      <c r="V722" s="48">
        <f>IFERROR(__xludf.DUMMYFUNCTION("""COMPUTED_VALUE"""),8.51)</f>
        <v>8.51</v>
      </c>
      <c r="W722" s="14">
        <f>IFERROR(__xludf.DUMMYFUNCTION("""COMPUTED_VALUE"""),8.652)</f>
        <v>8.652</v>
      </c>
      <c r="X722" s="14">
        <f>IFERROR(__xludf.DUMMYFUNCTION("""COMPUTED_VALUE"""),20.9)</f>
        <v>20.9</v>
      </c>
      <c r="Y722" s="14">
        <f>IFERROR(__xludf.DUMMYFUNCTION("""COMPUTED_VALUE"""),21.0)</f>
        <v>21</v>
      </c>
      <c r="Z722" s="14">
        <f>IFERROR(__xludf.DUMMYFUNCTION("""COMPUTED_VALUE"""),22.9)</f>
        <v>22.9</v>
      </c>
      <c r="AA722" s="14">
        <f>IFERROR(__xludf.DUMMYFUNCTION("""COMPUTED_VALUE"""),22.0)</f>
        <v>22</v>
      </c>
      <c r="AB722" s="14">
        <f>IFERROR(__xludf.DUMMYFUNCTION("""COMPUTED_VALUE"""),21.4)</f>
        <v>21.4</v>
      </c>
      <c r="AC722" s="14">
        <f>IFERROR(__xludf.DUMMYFUNCTION("""COMPUTED_VALUE"""),21.639999999999997)</f>
        <v>21.64</v>
      </c>
      <c r="AD722" s="48">
        <f>IFERROR(__xludf.DUMMYFUNCTION("""COMPUTED_VALUE"""),263.0)</f>
        <v>263</v>
      </c>
      <c r="AE722" s="48">
        <f>IFERROR(__xludf.DUMMYFUNCTION("""COMPUTED_VALUE"""),275.0)</f>
        <v>275</v>
      </c>
      <c r="AF722" s="48">
        <f>IFERROR(__xludf.DUMMYFUNCTION("""COMPUTED_VALUE"""),301.0)</f>
        <v>301</v>
      </c>
      <c r="AG722" s="48">
        <f>IFERROR(__xludf.DUMMYFUNCTION("""COMPUTED_VALUE"""),313.0)</f>
        <v>313</v>
      </c>
      <c r="AH722" s="48">
        <f>IFERROR(__xludf.DUMMYFUNCTION("""COMPUTED_VALUE"""),300.0)</f>
        <v>300</v>
      </c>
      <c r="AI722" s="14">
        <f>IFERROR(__xludf.DUMMYFUNCTION("""COMPUTED_VALUE"""),290.4)</f>
        <v>290.4</v>
      </c>
      <c r="AJ722" s="14">
        <f>IFERROR(__xludf.DUMMYFUNCTION("""COMPUTED_VALUE"""),8.74)</f>
        <v>8.74</v>
      </c>
      <c r="AK722" s="14">
        <f>IFERROR(__xludf.DUMMYFUNCTION("""COMPUTED_VALUE"""),8.68)</f>
        <v>8.68</v>
      </c>
      <c r="AL722" s="14">
        <f>IFERROR(__xludf.DUMMYFUNCTION("""COMPUTED_VALUE"""),8.55)</f>
        <v>8.55</v>
      </c>
      <c r="AM722" s="14">
        <f>IFERROR(__xludf.DUMMYFUNCTION("""COMPUTED_VALUE"""),8.06)</f>
        <v>8.06</v>
      </c>
      <c r="AN722" s="14">
        <f>IFERROR(__xludf.DUMMYFUNCTION("""COMPUTED_VALUE"""),8.09)</f>
        <v>8.09</v>
      </c>
      <c r="AO722" s="14">
        <f>IFERROR(__xludf.DUMMYFUNCTION("""COMPUTED_VALUE"""),8.424000000000001)</f>
        <v>8.424</v>
      </c>
      <c r="AP722" s="14">
        <f>IFERROR(__xludf.DUMMYFUNCTION("""COMPUTED_VALUE"""),20.0)</f>
        <v>20</v>
      </c>
      <c r="AQ722" s="14">
        <f>IFERROR(__xludf.DUMMYFUNCTION("""COMPUTED_VALUE"""),26.0)</f>
        <v>26</v>
      </c>
      <c r="AR722" s="14">
        <f>IFERROR(__xludf.DUMMYFUNCTION("""COMPUTED_VALUE"""),16.0)</f>
        <v>16</v>
      </c>
      <c r="AS722" s="14">
        <f>IFERROR(__xludf.DUMMYFUNCTION("""COMPUTED_VALUE"""),1.2)</f>
        <v>1.2</v>
      </c>
      <c r="AT722" s="14">
        <f>IFERROR(__xludf.DUMMYFUNCTION("""COMPUTED_VALUE"""),0.39)</f>
        <v>0.39</v>
      </c>
      <c r="AU722" s="14">
        <f>IFERROR(__xludf.DUMMYFUNCTION("""COMPUTED_VALUE"""),1785000.0)</f>
        <v>1785000</v>
      </c>
      <c r="AV722" s="14">
        <f>IFERROR(__xludf.DUMMYFUNCTION("""COMPUTED_VALUE"""),0.5)</f>
        <v>0.5</v>
      </c>
      <c r="AW722" s="14">
        <f>IFERROR(__xludf.DUMMYFUNCTION("""COMPUTED_VALUE"""),6.2)</f>
        <v>6.2</v>
      </c>
      <c r="AX722" s="14">
        <f>IFERROR(__xludf.DUMMYFUNCTION("""COMPUTED_VALUE"""),13330.0)</f>
        <v>13330</v>
      </c>
      <c r="AY722" s="14">
        <f>IFERROR(__xludf.DUMMYFUNCTION("""COMPUTED_VALUE"""),1.1)</f>
        <v>1.1</v>
      </c>
      <c r="AZ722" s="14">
        <f>IFERROR(__xludf.DUMMYFUNCTION("""COMPUTED_VALUE"""),0.086)</f>
        <v>0.086</v>
      </c>
      <c r="BA722" s="14">
        <f t="shared" si="1"/>
        <v>7.386</v>
      </c>
    </row>
    <row r="723" ht="14.25" customHeight="1">
      <c r="A723" s="10" t="str">
        <f>IFERROR(__xludf.DUMMYFUNCTION("""COMPUTED_VALUE"""),"230922FE02")</f>
        <v>230922FE02</v>
      </c>
      <c r="B723" s="12" t="str">
        <f>IFERROR(__xludf.DUMMYFUNCTION("""COMPUTED_VALUE"""),"QSL-Barranquillita")</f>
        <v>QSL-Barranquillita</v>
      </c>
      <c r="C723" s="12"/>
      <c r="D723" s="12"/>
      <c r="E723" s="44">
        <f>IFERROR(__xludf.DUMMYFUNCTION("""COMPUTED_VALUE"""),44827.0)</f>
        <v>44827</v>
      </c>
      <c r="F723" s="12" t="str">
        <f>IFERROR(__xludf.DUMMYFUNCTION("""COMPUTED_VALUE"""),"TIPO I")</f>
        <v>TIPO I</v>
      </c>
      <c r="G723" s="12" t="str">
        <f>IFERROR(__xludf.DUMMYFUNCTION("""COMPUTED_VALUE"""),"Canal natural, durante el monitoreo se observa color y se percibe olor, presencia de espuma y material flotante en el cuerpo de agua.
Altitud: 2654 msnm ")</f>
        <v>Canal natural, durante el monitoreo se observa color y se percibe olor, presencia de espuma y material flotante en el cuerpo de agua.
Altitud: 2654 msnm </v>
      </c>
      <c r="H723" s="45">
        <f>IFERROR(__xludf.DUMMYFUNCTION("""COMPUTED_VALUE"""),0.5833333333321207)</f>
        <v>0.5833333333</v>
      </c>
      <c r="I723" s="45">
        <f>IFERROR(__xludf.DUMMYFUNCTION("""COMPUTED_VALUE"""),0.6666666666678793)</f>
        <v>0.6666666667</v>
      </c>
      <c r="J723" s="12">
        <f>IFERROR(__xludf.DUMMYFUNCTION("""COMPUTED_VALUE"""),1.7)</f>
        <v>1.7</v>
      </c>
      <c r="K723" s="12">
        <f>IFERROR(__xludf.DUMMYFUNCTION("""COMPUTED_VALUE"""),0.09)</f>
        <v>0.09</v>
      </c>
      <c r="L723" s="14">
        <f>IFERROR(__xludf.DUMMYFUNCTION("""COMPUTED_VALUE"""),51.048)</f>
        <v>51.048</v>
      </c>
      <c r="M723" s="14">
        <f>IFERROR(__xludf.DUMMYFUNCTION("""COMPUTED_VALUE"""),50.23)</f>
        <v>50.23</v>
      </c>
      <c r="N723" s="14">
        <f>IFERROR(__xludf.DUMMYFUNCTION("""COMPUTED_VALUE"""),51.744)</f>
        <v>51.744</v>
      </c>
      <c r="O723" s="14">
        <f>IFERROR(__xludf.DUMMYFUNCTION("""COMPUTED_VALUE"""),48.523)</f>
        <v>48.523</v>
      </c>
      <c r="P723" s="14">
        <f>IFERROR(__xludf.DUMMYFUNCTION("""COMPUTED_VALUE"""),57.843)</f>
        <v>57.843</v>
      </c>
      <c r="Q723" s="14">
        <f>IFERROR(__xludf.DUMMYFUNCTION("""COMPUTED_VALUE"""),51.878)</f>
        <v>51.878</v>
      </c>
      <c r="R723" s="48">
        <f>IFERROR(__xludf.DUMMYFUNCTION("""COMPUTED_VALUE"""),7.44)</f>
        <v>7.44</v>
      </c>
      <c r="S723" s="48">
        <f>IFERROR(__xludf.DUMMYFUNCTION("""COMPUTED_VALUE"""),7.42)</f>
        <v>7.42</v>
      </c>
      <c r="T723" s="48">
        <f>IFERROR(__xludf.DUMMYFUNCTION("""COMPUTED_VALUE"""),7.49)</f>
        <v>7.49</v>
      </c>
      <c r="U723" s="48">
        <f>IFERROR(__xludf.DUMMYFUNCTION("""COMPUTED_VALUE"""),7.14)</f>
        <v>7.14</v>
      </c>
      <c r="V723" s="48">
        <f>IFERROR(__xludf.DUMMYFUNCTION("""COMPUTED_VALUE"""),7.1)</f>
        <v>7.1</v>
      </c>
      <c r="W723" s="14">
        <f>IFERROR(__xludf.DUMMYFUNCTION("""COMPUTED_VALUE"""),7.3180000000000005)</f>
        <v>7.318</v>
      </c>
      <c r="X723" s="14">
        <f>IFERROR(__xludf.DUMMYFUNCTION("""COMPUTED_VALUE"""),14.54)</f>
        <v>14.54</v>
      </c>
      <c r="Y723" s="14">
        <f>IFERROR(__xludf.DUMMYFUNCTION("""COMPUTED_VALUE"""),14.55)</f>
        <v>14.55</v>
      </c>
      <c r="Z723" s="14">
        <f>IFERROR(__xludf.DUMMYFUNCTION("""COMPUTED_VALUE"""),14.53)</f>
        <v>14.53</v>
      </c>
      <c r="AA723" s="14">
        <f>IFERROR(__xludf.DUMMYFUNCTION("""COMPUTED_VALUE"""),14.43)</f>
        <v>14.43</v>
      </c>
      <c r="AB723" s="14">
        <f>IFERROR(__xludf.DUMMYFUNCTION("""COMPUTED_VALUE"""),14.39)</f>
        <v>14.39</v>
      </c>
      <c r="AC723" s="14">
        <f>IFERROR(__xludf.DUMMYFUNCTION("""COMPUTED_VALUE"""),14.488)</f>
        <v>14.488</v>
      </c>
      <c r="AD723" s="48">
        <f>IFERROR(__xludf.DUMMYFUNCTION("""COMPUTED_VALUE"""),320.0)</f>
        <v>320</v>
      </c>
      <c r="AE723" s="48">
        <f>IFERROR(__xludf.DUMMYFUNCTION("""COMPUTED_VALUE"""),321.0)</f>
        <v>321</v>
      </c>
      <c r="AF723" s="48">
        <f>IFERROR(__xludf.DUMMYFUNCTION("""COMPUTED_VALUE"""),318.0)</f>
        <v>318</v>
      </c>
      <c r="AG723" s="48">
        <f>IFERROR(__xludf.DUMMYFUNCTION("""COMPUTED_VALUE"""),311.0)</f>
        <v>311</v>
      </c>
      <c r="AH723" s="48">
        <f>IFERROR(__xludf.DUMMYFUNCTION("""COMPUTED_VALUE"""),306.0)</f>
        <v>306</v>
      </c>
      <c r="AI723" s="14">
        <f>IFERROR(__xludf.DUMMYFUNCTION("""COMPUTED_VALUE"""),315.2)</f>
        <v>315.2</v>
      </c>
      <c r="AJ723" s="14">
        <f>IFERROR(__xludf.DUMMYFUNCTION("""COMPUTED_VALUE"""),5.64)</f>
        <v>5.64</v>
      </c>
      <c r="AK723" s="14">
        <f>IFERROR(__xludf.DUMMYFUNCTION("""COMPUTED_VALUE"""),5.93)</f>
        <v>5.93</v>
      </c>
      <c r="AL723" s="14">
        <f>IFERROR(__xludf.DUMMYFUNCTION("""COMPUTED_VALUE"""),5.82)</f>
        <v>5.82</v>
      </c>
      <c r="AM723" s="14">
        <f>IFERROR(__xludf.DUMMYFUNCTION("""COMPUTED_VALUE"""),4.84)</f>
        <v>4.84</v>
      </c>
      <c r="AN723" s="14">
        <f>IFERROR(__xludf.DUMMYFUNCTION("""COMPUTED_VALUE"""),4.76)</f>
        <v>4.76</v>
      </c>
      <c r="AO723" s="14">
        <f>IFERROR(__xludf.DUMMYFUNCTION("""COMPUTED_VALUE"""),5.398000000000001)</f>
        <v>5.398</v>
      </c>
      <c r="AP723" s="14">
        <f>IFERROR(__xludf.DUMMYFUNCTION("""COMPUTED_VALUE"""),22.0)</f>
        <v>22</v>
      </c>
      <c r="AQ723" s="14">
        <f>IFERROR(__xludf.DUMMYFUNCTION("""COMPUTED_VALUE"""),30.0)</f>
        <v>30</v>
      </c>
      <c r="AR723" s="14">
        <f>IFERROR(__xludf.DUMMYFUNCTION("""COMPUTED_VALUE"""),23.0)</f>
        <v>23</v>
      </c>
      <c r="AS723" s="14">
        <f>IFERROR(__xludf.DUMMYFUNCTION("""COMPUTED_VALUE"""),40.0)</f>
        <v>40</v>
      </c>
      <c r="AT723" s="14">
        <f>IFERROR(__xludf.DUMMYFUNCTION("""COMPUTED_VALUE"""),1.56)</f>
        <v>1.56</v>
      </c>
      <c r="AU723" s="14">
        <f>IFERROR(__xludf.DUMMYFUNCTION("""COMPUTED_VALUE"""),108600.0)</f>
        <v>108600</v>
      </c>
      <c r="AV723" s="14">
        <f>IFERROR(__xludf.DUMMYFUNCTION("""COMPUTED_VALUE"""),1.14)</f>
        <v>1.14</v>
      </c>
      <c r="AW723" s="14">
        <f>IFERROR(__xludf.DUMMYFUNCTION("""COMPUTED_VALUE"""),14.6)</f>
        <v>14.6</v>
      </c>
      <c r="AX723" s="14">
        <f>IFERROR(__xludf.DUMMYFUNCTION("""COMPUTED_VALUE"""),93400.0)</f>
        <v>93400</v>
      </c>
      <c r="AY723" s="14">
        <f>IFERROR(__xludf.DUMMYFUNCTION("""COMPUTED_VALUE"""),0.6)</f>
        <v>0.6</v>
      </c>
      <c r="AZ723" s="14">
        <f>IFERROR(__xludf.DUMMYFUNCTION("""COMPUTED_VALUE"""),0.148)</f>
        <v>0.148</v>
      </c>
      <c r="BA723" s="14">
        <f t="shared" si="1"/>
        <v>15.348</v>
      </c>
    </row>
    <row r="724" ht="14.25" customHeight="1">
      <c r="A724" s="10" t="str">
        <f>IFERROR(__xludf.DUMMYFUNCTION("""COMPUTED_VALUE"""),"230922FE01")</f>
        <v>230922FE01</v>
      </c>
      <c r="B724" s="12" t="str">
        <f>IFERROR(__xludf.DUMMYFUNCTION("""COMPUTED_VALUE"""),"QSL-Alfonso López")</f>
        <v>QSL-Alfonso López</v>
      </c>
      <c r="C724" s="12"/>
      <c r="D724" s="12"/>
      <c r="E724" s="44">
        <f>IFERROR(__xludf.DUMMYFUNCTION("""COMPUTED_VALUE"""),44827.0)</f>
        <v>44827</v>
      </c>
      <c r="F724" s="12" t="str">
        <f>IFERROR(__xludf.DUMMYFUNCTION("""COMPUTED_VALUE"""),"TIPO I")</f>
        <v>TIPO I</v>
      </c>
      <c r="G724" s="12" t="str">
        <f>IFERROR(__xludf.DUMMYFUNCTION("""COMPUTED_VALUE"""),"Durante el monitoreo se observa color, no se percibe olor, canal natural, presencia de residuos solios a margen derecha del cauce.
Altitud: 2757 msnm. ")</f>
        <v>Durante el monitoreo se observa color, no se percibe olor, canal natural, presencia de residuos solios a margen derecha del cauce.
Altitud: 2757 msnm. </v>
      </c>
      <c r="H724" s="45">
        <f>IFERROR(__xludf.DUMMYFUNCTION("""COMPUTED_VALUE"""),0.4166666666678793)</f>
        <v>0.4166666667</v>
      </c>
      <c r="I724" s="45">
        <f>IFERROR(__xludf.DUMMYFUNCTION("""COMPUTED_VALUE"""),0.5)</f>
        <v>0.5</v>
      </c>
      <c r="J724" s="12">
        <f>IFERROR(__xludf.DUMMYFUNCTION("""COMPUTED_VALUE"""),0.8)</f>
        <v>0.8</v>
      </c>
      <c r="K724" s="12">
        <f>IFERROR(__xludf.DUMMYFUNCTION("""COMPUTED_VALUE"""),0.13)</f>
        <v>0.13</v>
      </c>
      <c r="L724" s="14">
        <f>IFERROR(__xludf.DUMMYFUNCTION("""COMPUTED_VALUE"""),14.164)</f>
        <v>14.164</v>
      </c>
      <c r="M724" s="14">
        <f>IFERROR(__xludf.DUMMYFUNCTION("""COMPUTED_VALUE"""),16.058)</f>
        <v>16.058</v>
      </c>
      <c r="N724" s="14">
        <f>IFERROR(__xludf.DUMMYFUNCTION("""COMPUTED_VALUE"""),17.12)</f>
        <v>17.12</v>
      </c>
      <c r="O724" s="14">
        <f>IFERROR(__xludf.DUMMYFUNCTION("""COMPUTED_VALUE"""),15.275)</f>
        <v>15.275</v>
      </c>
      <c r="P724" s="14">
        <f>IFERROR(__xludf.DUMMYFUNCTION("""COMPUTED_VALUE"""),15.888)</f>
        <v>15.888</v>
      </c>
      <c r="Q724" s="14">
        <f>IFERROR(__xludf.DUMMYFUNCTION("""COMPUTED_VALUE"""),15.701)</f>
        <v>15.701</v>
      </c>
      <c r="R724" s="48">
        <f>IFERROR(__xludf.DUMMYFUNCTION("""COMPUTED_VALUE"""),6.96)</f>
        <v>6.96</v>
      </c>
      <c r="S724" s="48">
        <f>IFERROR(__xludf.DUMMYFUNCTION("""COMPUTED_VALUE"""),6.89)</f>
        <v>6.89</v>
      </c>
      <c r="T724" s="48">
        <f>IFERROR(__xludf.DUMMYFUNCTION("""COMPUTED_VALUE"""),7.11)</f>
        <v>7.11</v>
      </c>
      <c r="U724" s="48">
        <f>IFERROR(__xludf.DUMMYFUNCTION("""COMPUTED_VALUE"""),7.03)</f>
        <v>7.03</v>
      </c>
      <c r="V724" s="48">
        <f>IFERROR(__xludf.DUMMYFUNCTION("""COMPUTED_VALUE"""),7.04)</f>
        <v>7.04</v>
      </c>
      <c r="W724" s="14">
        <f>IFERROR(__xludf.DUMMYFUNCTION("""COMPUTED_VALUE"""),7.006)</f>
        <v>7.006</v>
      </c>
      <c r="X724" s="14">
        <f>IFERROR(__xludf.DUMMYFUNCTION("""COMPUTED_VALUE"""),11.37)</f>
        <v>11.37</v>
      </c>
      <c r="Y724" s="14">
        <f>IFERROR(__xludf.DUMMYFUNCTION("""COMPUTED_VALUE"""),11.15)</f>
        <v>11.15</v>
      </c>
      <c r="Z724" s="14">
        <f>IFERROR(__xludf.DUMMYFUNCTION("""COMPUTED_VALUE"""),11.62)</f>
        <v>11.62</v>
      </c>
      <c r="AA724" s="14">
        <f>IFERROR(__xludf.DUMMYFUNCTION("""COMPUTED_VALUE"""),11.55)</f>
        <v>11.55</v>
      </c>
      <c r="AB724" s="14">
        <f>IFERROR(__xludf.DUMMYFUNCTION("""COMPUTED_VALUE"""),11.58)</f>
        <v>11.58</v>
      </c>
      <c r="AC724" s="14">
        <f>IFERROR(__xludf.DUMMYFUNCTION("""COMPUTED_VALUE"""),11.453999999999999)</f>
        <v>11.454</v>
      </c>
      <c r="AD724" s="48">
        <f>IFERROR(__xludf.DUMMYFUNCTION("""COMPUTED_VALUE"""),201.0)</f>
        <v>201</v>
      </c>
      <c r="AE724" s="48">
        <f>IFERROR(__xludf.DUMMYFUNCTION("""COMPUTED_VALUE"""),199.0)</f>
        <v>199</v>
      </c>
      <c r="AF724" s="48">
        <f>IFERROR(__xludf.DUMMYFUNCTION("""COMPUTED_VALUE"""),196.0)</f>
        <v>196</v>
      </c>
      <c r="AG724" s="48">
        <f>IFERROR(__xludf.DUMMYFUNCTION("""COMPUTED_VALUE"""),194.0)</f>
        <v>194</v>
      </c>
      <c r="AH724" s="48">
        <f>IFERROR(__xludf.DUMMYFUNCTION("""COMPUTED_VALUE"""),194.0)</f>
        <v>194</v>
      </c>
      <c r="AI724" s="14">
        <f>IFERROR(__xludf.DUMMYFUNCTION("""COMPUTED_VALUE"""),196.8)</f>
        <v>196.8</v>
      </c>
      <c r="AJ724" s="14">
        <f>IFERROR(__xludf.DUMMYFUNCTION("""COMPUTED_VALUE"""),5.71)</f>
        <v>5.71</v>
      </c>
      <c r="AK724" s="14">
        <f>IFERROR(__xludf.DUMMYFUNCTION("""COMPUTED_VALUE"""),5.85)</f>
        <v>5.85</v>
      </c>
      <c r="AL724" s="14">
        <f>IFERROR(__xludf.DUMMYFUNCTION("""COMPUTED_VALUE"""),6.24)</f>
        <v>6.24</v>
      </c>
      <c r="AM724" s="14">
        <f>IFERROR(__xludf.DUMMYFUNCTION("""COMPUTED_VALUE"""),6.22)</f>
        <v>6.22</v>
      </c>
      <c r="AN724" s="14">
        <f>IFERROR(__xludf.DUMMYFUNCTION("""COMPUTED_VALUE"""),5.66)</f>
        <v>5.66</v>
      </c>
      <c r="AO724" s="14">
        <f>IFERROR(__xludf.DUMMYFUNCTION("""COMPUTED_VALUE"""),5.935999999999999)</f>
        <v>5.936</v>
      </c>
      <c r="AP724" s="14">
        <f>IFERROR(__xludf.DUMMYFUNCTION("""COMPUTED_VALUE"""),9.0)</f>
        <v>9</v>
      </c>
      <c r="AQ724" s="14">
        <f>IFERROR(__xludf.DUMMYFUNCTION("""COMPUTED_VALUE"""),15.0)</f>
        <v>15</v>
      </c>
      <c r="AR724" s="14">
        <f>IFERROR(__xludf.DUMMYFUNCTION("""COMPUTED_VALUE"""),22.0)</f>
        <v>22</v>
      </c>
      <c r="AS724" s="14">
        <f>IFERROR(__xludf.DUMMYFUNCTION("""COMPUTED_VALUE"""),1.2)</f>
        <v>1.2</v>
      </c>
      <c r="AT724" s="14">
        <f>IFERROR(__xludf.DUMMYFUNCTION("""COMPUTED_VALUE"""),0.14)</f>
        <v>0.14</v>
      </c>
      <c r="AU724" s="14">
        <f>IFERROR(__xludf.DUMMYFUNCTION("""COMPUTED_VALUE"""),1470000.0)</f>
        <v>1470000</v>
      </c>
      <c r="AV724" s="14">
        <f>IFERROR(__xludf.DUMMYFUNCTION("""COMPUTED_VALUE"""),0.15)</f>
        <v>0.15</v>
      </c>
      <c r="AW724" s="14">
        <f>IFERROR(__xludf.DUMMYFUNCTION("""COMPUTED_VALUE"""),1.0)</f>
        <v>1</v>
      </c>
      <c r="AX724" s="14">
        <f>IFERROR(__xludf.DUMMYFUNCTION("""COMPUTED_VALUE"""),8420.0)</f>
        <v>8420</v>
      </c>
      <c r="AY724" s="14">
        <f>IFERROR(__xludf.DUMMYFUNCTION("""COMPUTED_VALUE"""),3.9)</f>
        <v>3.9</v>
      </c>
      <c r="AZ724" s="14">
        <f>IFERROR(__xludf.DUMMYFUNCTION("""COMPUTED_VALUE"""),0.014)</f>
        <v>0.014</v>
      </c>
      <c r="BA724" s="14">
        <f t="shared" si="1"/>
        <v>4.914</v>
      </c>
    </row>
    <row r="725" ht="14.25" customHeight="1">
      <c r="A725" s="10" t="str">
        <f>IFERROR(__xludf.DUMMYFUNCTION("""COMPUTED_VALUE"""),"280922DI01")</f>
        <v>280922DI01</v>
      </c>
      <c r="B725" s="12" t="str">
        <f>IFERROR(__xludf.DUMMYFUNCTION("""COMPUTED_VALUE"""),"CMO-Pepe Sierra")</f>
        <v>CMO-Pepe Sierra</v>
      </c>
      <c r="C725" s="12"/>
      <c r="D725" s="12"/>
      <c r="E725" s="44">
        <f>IFERROR(__xludf.DUMMYFUNCTION("""COMPUTED_VALUE"""),44832.0)</f>
        <v>44832</v>
      </c>
      <c r="F725" s="12" t="str">
        <f>IFERROR(__xludf.DUMMYFUNCTION("""COMPUTED_VALUE"""),"TIPO I")</f>
        <v>TIPO I</v>
      </c>
      <c r="G725" s="12" t="str">
        <f>IFERROR(__xludf.DUMMYFUNCTION("""COMPUTED_VALUE"""),"Canal en concreto con vegetación alrededor. Durante el monitoreo se observa color y se percibe olor. Presencia de algas en el lecho del canal. A partir de la tercera alícuota se observa nata en la superficie del agua.")</f>
        <v>Canal en concreto con vegetación alrededor. Durante el monitoreo se observa color y se percibe olor. Presencia de algas en el lecho del canal. A partir de la tercera alícuota se observa nata en la superficie del agua.</v>
      </c>
      <c r="H725" s="45">
        <f>IFERROR(__xludf.DUMMYFUNCTION("""COMPUTED_VALUE"""),0.3333333333321207)</f>
        <v>0.3333333333</v>
      </c>
      <c r="I725" s="45">
        <f>IFERROR(__xludf.DUMMYFUNCTION("""COMPUTED_VALUE"""),0.4166666666678793)</f>
        <v>0.4166666667</v>
      </c>
      <c r="J725" s="12">
        <f>IFERROR(__xludf.DUMMYFUNCTION("""COMPUTED_VALUE"""),6.0)</f>
        <v>6</v>
      </c>
      <c r="K725" s="12">
        <f>IFERROR(__xludf.DUMMYFUNCTION("""COMPUTED_VALUE"""),0.15)</f>
        <v>0.15</v>
      </c>
      <c r="L725" s="14">
        <f>IFERROR(__xludf.DUMMYFUNCTION("""COMPUTED_VALUE"""),179.641)</f>
        <v>179.641</v>
      </c>
      <c r="M725" s="14">
        <f>IFERROR(__xludf.DUMMYFUNCTION("""COMPUTED_VALUE"""),186.701)</f>
        <v>186.701</v>
      </c>
      <c r="N725" s="14">
        <f>IFERROR(__xludf.DUMMYFUNCTION("""COMPUTED_VALUE"""),198.653)</f>
        <v>198.653</v>
      </c>
      <c r="O725" s="14">
        <f>IFERROR(__xludf.DUMMYFUNCTION("""COMPUTED_VALUE"""),191.568)</f>
        <v>191.568</v>
      </c>
      <c r="P725" s="14">
        <f>IFERROR(__xludf.DUMMYFUNCTION("""COMPUTED_VALUE"""),191.429)</f>
        <v>191.429</v>
      </c>
      <c r="Q725" s="14">
        <f>IFERROR(__xludf.DUMMYFUNCTION("""COMPUTED_VALUE"""),189.598)</f>
        <v>189.598</v>
      </c>
      <c r="R725" s="48">
        <f>IFERROR(__xludf.DUMMYFUNCTION("""COMPUTED_VALUE"""),7.41)</f>
        <v>7.41</v>
      </c>
      <c r="S725" s="48">
        <f>IFERROR(__xludf.DUMMYFUNCTION("""COMPUTED_VALUE"""),7.26)</f>
        <v>7.26</v>
      </c>
      <c r="T725" s="48">
        <f>IFERROR(__xludf.DUMMYFUNCTION("""COMPUTED_VALUE"""),7.18)</f>
        <v>7.18</v>
      </c>
      <c r="U725" s="48">
        <f>IFERROR(__xludf.DUMMYFUNCTION("""COMPUTED_VALUE"""),7.21)</f>
        <v>7.21</v>
      </c>
      <c r="V725" s="48">
        <f>IFERROR(__xludf.DUMMYFUNCTION("""COMPUTED_VALUE"""),7.25)</f>
        <v>7.25</v>
      </c>
      <c r="W725" s="14">
        <f>IFERROR(__xludf.DUMMYFUNCTION("""COMPUTED_VALUE"""),7.2620000000000005)</f>
        <v>7.262</v>
      </c>
      <c r="X725" s="14">
        <f>IFERROR(__xludf.DUMMYFUNCTION("""COMPUTED_VALUE"""),17.36)</f>
        <v>17.36</v>
      </c>
      <c r="Y725" s="14">
        <f>IFERROR(__xludf.DUMMYFUNCTION("""COMPUTED_VALUE"""),18.38)</f>
        <v>18.38</v>
      </c>
      <c r="Z725" s="14">
        <f>IFERROR(__xludf.DUMMYFUNCTION("""COMPUTED_VALUE"""),18.86)</f>
        <v>18.86</v>
      </c>
      <c r="AA725" s="14">
        <f>IFERROR(__xludf.DUMMYFUNCTION("""COMPUTED_VALUE"""),18.84)</f>
        <v>18.84</v>
      </c>
      <c r="AB725" s="14">
        <f>IFERROR(__xludf.DUMMYFUNCTION("""COMPUTED_VALUE"""),18.07)</f>
        <v>18.07</v>
      </c>
      <c r="AC725" s="14">
        <f>IFERROR(__xludf.DUMMYFUNCTION("""COMPUTED_VALUE"""),18.302)</f>
        <v>18.302</v>
      </c>
      <c r="AD725" s="48">
        <f>IFERROR(__xludf.DUMMYFUNCTION("""COMPUTED_VALUE"""),424.0)</f>
        <v>424</v>
      </c>
      <c r="AE725" s="48">
        <f>IFERROR(__xludf.DUMMYFUNCTION("""COMPUTED_VALUE"""),412.0)</f>
        <v>412</v>
      </c>
      <c r="AF725" s="48">
        <f>IFERROR(__xludf.DUMMYFUNCTION("""COMPUTED_VALUE"""),412.0)</f>
        <v>412</v>
      </c>
      <c r="AG725" s="48">
        <f>IFERROR(__xludf.DUMMYFUNCTION("""COMPUTED_VALUE"""),394.0)</f>
        <v>394</v>
      </c>
      <c r="AH725" s="48">
        <f>IFERROR(__xludf.DUMMYFUNCTION("""COMPUTED_VALUE"""),379.0)</f>
        <v>379</v>
      </c>
      <c r="AI725" s="14">
        <f>IFERROR(__xludf.DUMMYFUNCTION("""COMPUTED_VALUE"""),404.2)</f>
        <v>404.2</v>
      </c>
      <c r="AJ725" s="14">
        <f>IFERROR(__xludf.DUMMYFUNCTION("""COMPUTED_VALUE"""),1.72)</f>
        <v>1.72</v>
      </c>
      <c r="AK725" s="14">
        <f>IFERROR(__xludf.DUMMYFUNCTION("""COMPUTED_VALUE"""),1.79)</f>
        <v>1.79</v>
      </c>
      <c r="AL725" s="14">
        <f>IFERROR(__xludf.DUMMYFUNCTION("""COMPUTED_VALUE"""),1.64)</f>
        <v>1.64</v>
      </c>
      <c r="AM725" s="14">
        <f>IFERROR(__xludf.DUMMYFUNCTION("""COMPUTED_VALUE"""),1.81)</f>
        <v>1.81</v>
      </c>
      <c r="AN725" s="14">
        <f>IFERROR(__xludf.DUMMYFUNCTION("""COMPUTED_VALUE"""),1.75)</f>
        <v>1.75</v>
      </c>
      <c r="AO725" s="14">
        <f>IFERROR(__xludf.DUMMYFUNCTION("""COMPUTED_VALUE"""),1.7419999999999998)</f>
        <v>1.742</v>
      </c>
      <c r="AP725" s="14">
        <f>IFERROR(__xludf.DUMMYFUNCTION("""COMPUTED_VALUE"""),44.0)</f>
        <v>44</v>
      </c>
      <c r="AQ725" s="14">
        <f>IFERROR(__xludf.DUMMYFUNCTION("""COMPUTED_VALUE"""),61.0)</f>
        <v>61</v>
      </c>
      <c r="AR725" s="14">
        <f>IFERROR(__xludf.DUMMYFUNCTION("""COMPUTED_VALUE"""),55.0)</f>
        <v>55</v>
      </c>
      <c r="AS725" s="14">
        <f>IFERROR(__xludf.DUMMYFUNCTION("""COMPUTED_VALUE"""),57.0)</f>
        <v>57</v>
      </c>
      <c r="AT725" s="14">
        <f>IFERROR(__xludf.DUMMYFUNCTION("""COMPUTED_VALUE"""),2.93)</f>
        <v>2.93</v>
      </c>
      <c r="AU725" s="14">
        <f>IFERROR(__xludf.DUMMYFUNCTION("""COMPUTED_VALUE"""),1.872E7)</f>
        <v>18720000</v>
      </c>
      <c r="AV725" s="14">
        <f>IFERROR(__xludf.DUMMYFUNCTION("""COMPUTED_VALUE"""),3.0)</f>
        <v>3</v>
      </c>
      <c r="AW725" s="14">
        <f>IFERROR(__xludf.DUMMYFUNCTION("""COMPUTED_VALUE"""),20.2)</f>
        <v>20.2</v>
      </c>
      <c r="AX725" s="14">
        <f>IFERROR(__xludf.DUMMYFUNCTION("""COMPUTED_VALUE"""),876000.0)</f>
        <v>876000</v>
      </c>
      <c r="AY725" s="14">
        <f>IFERROR(__xludf.DUMMYFUNCTION("""COMPUTED_VALUE"""),0.6)</f>
        <v>0.6</v>
      </c>
      <c r="AZ725" s="14">
        <f>IFERROR(__xludf.DUMMYFUNCTION("""COMPUTED_VALUE"""),0.007)</f>
        <v>0.007</v>
      </c>
      <c r="BA725" s="14">
        <f t="shared" si="1"/>
        <v>20.807</v>
      </c>
    </row>
    <row r="726" ht="14.25" customHeight="1">
      <c r="A726" s="10" t="str">
        <f>IFERROR(__xludf.DUMMYFUNCTION("""COMPUTED_VALUE"""),"260922DU03")</f>
        <v>260922DU03</v>
      </c>
      <c r="B726" s="12" t="str">
        <f>IFERROR(__xludf.DUMMYFUNCTION("""COMPUTED_VALUE"""),"QLI-San Francisco")</f>
        <v>QLI-San Francisco</v>
      </c>
      <c r="C726" s="12"/>
      <c r="D726" s="12"/>
      <c r="E726" s="44">
        <f>IFERROR(__xludf.DUMMYFUNCTION("""COMPUTED_VALUE"""),44830.0)</f>
        <v>44830</v>
      </c>
      <c r="F726" s="12" t="str">
        <f>IFERROR(__xludf.DUMMYFUNCTION("""COMPUTED_VALUE"""),"TIPO I")</f>
        <v>TIPO I</v>
      </c>
      <c r="G726" s="12" t="str">
        <f>IFERROR(__xludf.DUMMYFUNCTION("""COMPUTED_VALUE"""),"Estructura del canal natural con presencia de rocas y residuos sólidos en el lecho y ribera del canal, durante el monitoreo se observa color y se percibe olor.
Altitud: 2588 msnm. ")</f>
        <v>Estructura del canal natural con presencia de rocas y residuos sólidos en el lecho y ribera del canal, durante el monitoreo se observa color y se percibe olor.
Altitud: 2588 msnm. </v>
      </c>
      <c r="H726" s="45">
        <f>IFERROR(__xludf.DUMMYFUNCTION("""COMPUTED_VALUE"""),0.5833333333321207)</f>
        <v>0.5833333333</v>
      </c>
      <c r="I726" s="45">
        <f>IFERROR(__xludf.DUMMYFUNCTION("""COMPUTED_VALUE"""),0.6666666666678793)</f>
        <v>0.6666666667</v>
      </c>
      <c r="J726" s="12">
        <f>IFERROR(__xludf.DUMMYFUNCTION("""COMPUTED_VALUE"""),1.8)</f>
        <v>1.8</v>
      </c>
      <c r="K726" s="12">
        <f>IFERROR(__xludf.DUMMYFUNCTION("""COMPUTED_VALUE"""),0.2)</f>
        <v>0.2</v>
      </c>
      <c r="L726" s="14">
        <f>IFERROR(__xludf.DUMMYFUNCTION("""COMPUTED_VALUE"""),74.798)</f>
        <v>74.798</v>
      </c>
      <c r="M726" s="14">
        <f>IFERROR(__xludf.DUMMYFUNCTION("""COMPUTED_VALUE"""),71.831)</f>
        <v>71.831</v>
      </c>
      <c r="N726" s="14">
        <f>IFERROR(__xludf.DUMMYFUNCTION("""COMPUTED_VALUE"""),68.084)</f>
        <v>68.084</v>
      </c>
      <c r="O726" s="14">
        <f>IFERROR(__xludf.DUMMYFUNCTION("""COMPUTED_VALUE"""),66.729)</f>
        <v>66.729</v>
      </c>
      <c r="P726" s="14">
        <f>IFERROR(__xludf.DUMMYFUNCTION("""COMPUTED_VALUE"""),63.477)</f>
        <v>63.477</v>
      </c>
      <c r="Q726" s="14">
        <f>IFERROR(__xludf.DUMMYFUNCTION("""COMPUTED_VALUE"""),68.984)</f>
        <v>68.984</v>
      </c>
      <c r="R726" s="48">
        <f>IFERROR(__xludf.DUMMYFUNCTION("""COMPUTED_VALUE"""),7.8)</f>
        <v>7.8</v>
      </c>
      <c r="S726" s="48">
        <f>IFERROR(__xludf.DUMMYFUNCTION("""COMPUTED_VALUE"""),7.49)</f>
        <v>7.49</v>
      </c>
      <c r="T726" s="48">
        <f>IFERROR(__xludf.DUMMYFUNCTION("""COMPUTED_VALUE"""),7.55)</f>
        <v>7.55</v>
      </c>
      <c r="U726" s="48">
        <f>IFERROR(__xludf.DUMMYFUNCTION("""COMPUTED_VALUE"""),7.49)</f>
        <v>7.49</v>
      </c>
      <c r="V726" s="48">
        <f>IFERROR(__xludf.DUMMYFUNCTION("""COMPUTED_VALUE"""),7.77)</f>
        <v>7.77</v>
      </c>
      <c r="W726" s="14">
        <f>IFERROR(__xludf.DUMMYFUNCTION("""COMPUTED_VALUE"""),7.619999999999999)</f>
        <v>7.62</v>
      </c>
      <c r="X726" s="14">
        <f>IFERROR(__xludf.DUMMYFUNCTION("""COMPUTED_VALUE"""),19.0)</f>
        <v>19</v>
      </c>
      <c r="Y726" s="14">
        <f>IFERROR(__xludf.DUMMYFUNCTION("""COMPUTED_VALUE"""),19.2)</f>
        <v>19.2</v>
      </c>
      <c r="Z726" s="14">
        <f>IFERROR(__xludf.DUMMYFUNCTION("""COMPUTED_VALUE"""),19.3)</f>
        <v>19.3</v>
      </c>
      <c r="AA726" s="14">
        <f>IFERROR(__xludf.DUMMYFUNCTION("""COMPUTED_VALUE"""),19.4)</f>
        <v>19.4</v>
      </c>
      <c r="AB726" s="14">
        <f>IFERROR(__xludf.DUMMYFUNCTION("""COMPUTED_VALUE"""),19.5)</f>
        <v>19.5</v>
      </c>
      <c r="AC726" s="14">
        <f>IFERROR(__xludf.DUMMYFUNCTION("""COMPUTED_VALUE"""),19.28)</f>
        <v>19.28</v>
      </c>
      <c r="AD726" s="48">
        <f>IFERROR(__xludf.DUMMYFUNCTION("""COMPUTED_VALUE"""),438.0)</f>
        <v>438</v>
      </c>
      <c r="AE726" s="48">
        <f>IFERROR(__xludf.DUMMYFUNCTION("""COMPUTED_VALUE"""),448.0)</f>
        <v>448</v>
      </c>
      <c r="AF726" s="48">
        <f>IFERROR(__xludf.DUMMYFUNCTION("""COMPUTED_VALUE"""),447.0)</f>
        <v>447</v>
      </c>
      <c r="AG726" s="48">
        <f>IFERROR(__xludf.DUMMYFUNCTION("""COMPUTED_VALUE"""),446.0)</f>
        <v>446</v>
      </c>
      <c r="AH726" s="48">
        <f>IFERROR(__xludf.DUMMYFUNCTION("""COMPUTED_VALUE"""),340.0)</f>
        <v>340</v>
      </c>
      <c r="AI726" s="14">
        <f>IFERROR(__xludf.DUMMYFUNCTION("""COMPUTED_VALUE"""),423.8)</f>
        <v>423.8</v>
      </c>
      <c r="AJ726" s="14">
        <f>IFERROR(__xludf.DUMMYFUNCTION("""COMPUTED_VALUE"""),6.34)</f>
        <v>6.34</v>
      </c>
      <c r="AK726" s="14">
        <f>IFERROR(__xludf.DUMMYFUNCTION("""COMPUTED_VALUE"""),6.03)</f>
        <v>6.03</v>
      </c>
      <c r="AL726" s="14">
        <f>IFERROR(__xludf.DUMMYFUNCTION("""COMPUTED_VALUE"""),5.64)</f>
        <v>5.64</v>
      </c>
      <c r="AM726" s="14">
        <f>IFERROR(__xludf.DUMMYFUNCTION("""COMPUTED_VALUE"""),5.69)</f>
        <v>5.69</v>
      </c>
      <c r="AN726" s="14">
        <f>IFERROR(__xludf.DUMMYFUNCTION("""COMPUTED_VALUE"""),5.79)</f>
        <v>5.79</v>
      </c>
      <c r="AO726" s="14">
        <f>IFERROR(__xludf.DUMMYFUNCTION("""COMPUTED_VALUE"""),5.898000000000001)</f>
        <v>5.898</v>
      </c>
      <c r="AP726" s="14">
        <f>IFERROR(__xludf.DUMMYFUNCTION("""COMPUTED_VALUE"""),58.0)</f>
        <v>58</v>
      </c>
      <c r="AQ726" s="14">
        <f>IFERROR(__xludf.DUMMYFUNCTION("""COMPUTED_VALUE"""),75.0)</f>
        <v>75</v>
      </c>
      <c r="AR726" s="14">
        <f>IFERROR(__xludf.DUMMYFUNCTION("""COMPUTED_VALUE"""),60.0)</f>
        <v>60</v>
      </c>
      <c r="AS726" s="14">
        <f>IFERROR(__xludf.DUMMYFUNCTION("""COMPUTED_VALUE"""),1.2)</f>
        <v>1.2</v>
      </c>
      <c r="AT726" s="14">
        <f>IFERROR(__xludf.DUMMYFUNCTION("""COMPUTED_VALUE"""),2.25)</f>
        <v>2.25</v>
      </c>
      <c r="AU726" s="14">
        <f>IFERROR(__xludf.DUMMYFUNCTION("""COMPUTED_VALUE"""),9340000.0)</f>
        <v>9340000</v>
      </c>
      <c r="AV726" s="14">
        <f>IFERROR(__xludf.DUMMYFUNCTION("""COMPUTED_VALUE"""),2.02)</f>
        <v>2.02</v>
      </c>
      <c r="AW726" s="14">
        <f>IFERROR(__xludf.DUMMYFUNCTION("""COMPUTED_VALUE"""),13.2)</f>
        <v>13.2</v>
      </c>
      <c r="AX726" s="14">
        <f>IFERROR(__xludf.DUMMYFUNCTION("""COMPUTED_VALUE"""),82900.0)</f>
        <v>82900</v>
      </c>
      <c r="AY726" s="14">
        <f>IFERROR(__xludf.DUMMYFUNCTION("""COMPUTED_VALUE"""),0.5)</f>
        <v>0.5</v>
      </c>
      <c r="AZ726" s="14">
        <f>IFERROR(__xludf.DUMMYFUNCTION("""COMPUTED_VALUE"""),0.123)</f>
        <v>0.123</v>
      </c>
      <c r="BA726" s="14">
        <f t="shared" si="1"/>
        <v>13.823</v>
      </c>
    </row>
    <row r="727" ht="14.25" customHeight="1">
      <c r="A727" s="10" t="str">
        <f>IFERROR(__xludf.DUMMYFUNCTION("""COMPUTED_VALUE"""),"260922LA03")</f>
        <v>260922LA03</v>
      </c>
      <c r="B727" s="12" t="str">
        <f>IFERROR(__xludf.DUMMYFUNCTION("""COMPUTED_VALUE"""),"QLI-Bella Flor")</f>
        <v>QLI-Bella Flor</v>
      </c>
      <c r="C727" s="12"/>
      <c r="D727" s="12"/>
      <c r="E727" s="44">
        <f>IFERROR(__xludf.DUMMYFUNCTION("""COMPUTED_VALUE"""),44830.0)</f>
        <v>44830</v>
      </c>
      <c r="F727" s="12" t="str">
        <f>IFERROR(__xludf.DUMMYFUNCTION("""COMPUTED_VALUE"""),"TIPO I")</f>
        <v>TIPO I</v>
      </c>
      <c r="G727" s="12" t="str">
        <f>IFERROR(__xludf.DUMMYFUNCTION("""COMPUTED_VALUE"""),"Canal natural, no se percibe olor, se observa color, residuos sólidos en la ribera.
Altitud: 2891 msnm ")</f>
        <v>Canal natural, no se percibe olor, se observa color, residuos sólidos en la ribera.
Altitud: 2891 msnm </v>
      </c>
      <c r="H727" s="45">
        <f>IFERROR(__xludf.DUMMYFUNCTION("""COMPUTED_VALUE"""),0.5833333333321207)</f>
        <v>0.5833333333</v>
      </c>
      <c r="I727" s="45">
        <f>IFERROR(__xludf.DUMMYFUNCTION("""COMPUTED_VALUE"""),0.6666666666678793)</f>
        <v>0.6666666667</v>
      </c>
      <c r="J727" s="12">
        <f>IFERROR(__xludf.DUMMYFUNCTION("""COMPUTED_VALUE"""),0.85)</f>
        <v>0.85</v>
      </c>
      <c r="K727" s="12">
        <f>IFERROR(__xludf.DUMMYFUNCTION("""COMPUTED_VALUE"""),0.18)</f>
        <v>0.18</v>
      </c>
      <c r="L727" s="14">
        <f>IFERROR(__xludf.DUMMYFUNCTION("""COMPUTED_VALUE"""),51.3)</f>
        <v>51.3</v>
      </c>
      <c r="M727" s="14">
        <f>IFERROR(__xludf.DUMMYFUNCTION("""COMPUTED_VALUE"""),45.999)</f>
        <v>45.999</v>
      </c>
      <c r="N727" s="14">
        <f>IFERROR(__xludf.DUMMYFUNCTION("""COMPUTED_VALUE"""),45.87)</f>
        <v>45.87</v>
      </c>
      <c r="O727" s="14">
        <f>IFERROR(__xludf.DUMMYFUNCTION("""COMPUTED_VALUE"""),44.126)</f>
        <v>44.126</v>
      </c>
      <c r="P727" s="14">
        <f>IFERROR(__xludf.DUMMYFUNCTION("""COMPUTED_VALUE"""),42.179)</f>
        <v>42.179</v>
      </c>
      <c r="Q727" s="14">
        <f>IFERROR(__xludf.DUMMYFUNCTION("""COMPUTED_VALUE"""),45.895)</f>
        <v>45.895</v>
      </c>
      <c r="R727" s="48">
        <f>IFERROR(__xludf.DUMMYFUNCTION("""COMPUTED_VALUE"""),7.55)</f>
        <v>7.55</v>
      </c>
      <c r="S727" s="48">
        <f>IFERROR(__xludf.DUMMYFUNCTION("""COMPUTED_VALUE"""),6.92)</f>
        <v>6.92</v>
      </c>
      <c r="T727" s="48">
        <f>IFERROR(__xludf.DUMMYFUNCTION("""COMPUTED_VALUE"""),6.98)</f>
        <v>6.98</v>
      </c>
      <c r="U727" s="48">
        <f>IFERROR(__xludf.DUMMYFUNCTION("""COMPUTED_VALUE"""),7.26)</f>
        <v>7.26</v>
      </c>
      <c r="V727" s="48">
        <f>IFERROR(__xludf.DUMMYFUNCTION("""COMPUTED_VALUE"""),7.07)</f>
        <v>7.07</v>
      </c>
      <c r="W727" s="14">
        <f>IFERROR(__xludf.DUMMYFUNCTION("""COMPUTED_VALUE"""),7.156000000000001)</f>
        <v>7.156</v>
      </c>
      <c r="X727" s="14">
        <f>IFERROR(__xludf.DUMMYFUNCTION("""COMPUTED_VALUE"""),15.98)</f>
        <v>15.98</v>
      </c>
      <c r="Y727" s="14">
        <f>IFERROR(__xludf.DUMMYFUNCTION("""COMPUTED_VALUE"""),15.59)</f>
        <v>15.59</v>
      </c>
      <c r="Z727" s="14">
        <f>IFERROR(__xludf.DUMMYFUNCTION("""COMPUTED_VALUE"""),15.42)</f>
        <v>15.42</v>
      </c>
      <c r="AA727" s="14">
        <f>IFERROR(__xludf.DUMMYFUNCTION("""COMPUTED_VALUE"""),16.09)</f>
        <v>16.09</v>
      </c>
      <c r="AB727" s="14">
        <f>IFERROR(__xludf.DUMMYFUNCTION("""COMPUTED_VALUE"""),15.04)</f>
        <v>15.04</v>
      </c>
      <c r="AC727" s="14">
        <f>IFERROR(__xludf.DUMMYFUNCTION("""COMPUTED_VALUE"""),15.624)</f>
        <v>15.624</v>
      </c>
      <c r="AD727" s="48">
        <f>IFERROR(__xludf.DUMMYFUNCTION("""COMPUTED_VALUE"""),345.0)</f>
        <v>345</v>
      </c>
      <c r="AE727" s="48">
        <f>IFERROR(__xludf.DUMMYFUNCTION("""COMPUTED_VALUE"""),341.0)</f>
        <v>341</v>
      </c>
      <c r="AF727" s="48">
        <f>IFERROR(__xludf.DUMMYFUNCTION("""COMPUTED_VALUE"""),350.0)</f>
        <v>350</v>
      </c>
      <c r="AG727" s="48">
        <f>IFERROR(__xludf.DUMMYFUNCTION("""COMPUTED_VALUE"""),350.0)</f>
        <v>350</v>
      </c>
      <c r="AH727" s="48">
        <f>IFERROR(__xludf.DUMMYFUNCTION("""COMPUTED_VALUE"""),325.0)</f>
        <v>325</v>
      </c>
      <c r="AI727" s="14">
        <f>IFERROR(__xludf.DUMMYFUNCTION("""COMPUTED_VALUE"""),342.2)</f>
        <v>342.2</v>
      </c>
      <c r="AJ727" s="14">
        <f>IFERROR(__xludf.DUMMYFUNCTION("""COMPUTED_VALUE"""),3.86)</f>
        <v>3.86</v>
      </c>
      <c r="AK727" s="14">
        <f>IFERROR(__xludf.DUMMYFUNCTION("""COMPUTED_VALUE"""),3.67)</f>
        <v>3.67</v>
      </c>
      <c r="AL727" s="14">
        <f>IFERROR(__xludf.DUMMYFUNCTION("""COMPUTED_VALUE"""),3.76)</f>
        <v>3.76</v>
      </c>
      <c r="AM727" s="14">
        <f>IFERROR(__xludf.DUMMYFUNCTION("""COMPUTED_VALUE"""),3.54)</f>
        <v>3.54</v>
      </c>
      <c r="AN727" s="14">
        <f>IFERROR(__xludf.DUMMYFUNCTION("""COMPUTED_VALUE"""),4.04)</f>
        <v>4.04</v>
      </c>
      <c r="AO727" s="14">
        <f>IFERROR(__xludf.DUMMYFUNCTION("""COMPUTED_VALUE"""),3.7739999999999996)</f>
        <v>3.774</v>
      </c>
      <c r="AP727" s="14">
        <f>IFERROR(__xludf.DUMMYFUNCTION("""COMPUTED_VALUE"""),26.0)</f>
        <v>26</v>
      </c>
      <c r="AQ727" s="14">
        <f>IFERROR(__xludf.DUMMYFUNCTION("""COMPUTED_VALUE"""),39.0)</f>
        <v>39</v>
      </c>
      <c r="AR727" s="14">
        <f>IFERROR(__xludf.DUMMYFUNCTION("""COMPUTED_VALUE"""),31.0)</f>
        <v>31</v>
      </c>
      <c r="AS727" s="14">
        <f>IFERROR(__xludf.DUMMYFUNCTION("""COMPUTED_VALUE"""),7.2)</f>
        <v>7.2</v>
      </c>
      <c r="AT727" s="14">
        <f>IFERROR(__xludf.DUMMYFUNCTION("""COMPUTED_VALUE"""),0.56)</f>
        <v>0.56</v>
      </c>
      <c r="AU727" s="14">
        <f>IFERROR(__xludf.DUMMYFUNCTION("""COMPUTED_VALUE"""),80100.0)</f>
        <v>80100</v>
      </c>
      <c r="AV727" s="14">
        <f>IFERROR(__xludf.DUMMYFUNCTION("""COMPUTED_VALUE"""),1.14)</f>
        <v>1.14</v>
      </c>
      <c r="AW727" s="14">
        <f>IFERROR(__xludf.DUMMYFUNCTION("""COMPUTED_VALUE"""),24.4)</f>
        <v>24.4</v>
      </c>
      <c r="AX727" s="14">
        <f>IFERROR(__xludf.DUMMYFUNCTION("""COMPUTED_VALUE"""),6950.0)</f>
        <v>6950</v>
      </c>
      <c r="AY727" s="14">
        <f>IFERROR(__xludf.DUMMYFUNCTION("""COMPUTED_VALUE"""),0.7)</f>
        <v>0.7</v>
      </c>
      <c r="AZ727" s="14">
        <f>IFERROR(__xludf.DUMMYFUNCTION("""COMPUTED_VALUE"""),0.112)</f>
        <v>0.112</v>
      </c>
      <c r="BA727" s="14">
        <f t="shared" si="1"/>
        <v>25.212</v>
      </c>
    </row>
    <row r="728" ht="14.25" customHeight="1">
      <c r="A728" s="10" t="str">
        <f>IFERROR(__xludf.DUMMYFUNCTION("""COMPUTED_VALUE"""),"280922FE01")</f>
        <v>280922FE01</v>
      </c>
      <c r="B728" s="12" t="str">
        <f>IFERROR(__xludf.DUMMYFUNCTION("""COMPUTED_VALUE"""),"CMO-Santa Ana")</f>
        <v>CMO-Santa Ana</v>
      </c>
      <c r="C728" s="12"/>
      <c r="D728" s="12"/>
      <c r="E728" s="44">
        <f>IFERROR(__xludf.DUMMYFUNCTION("""COMPUTED_VALUE"""),44832.0)</f>
        <v>44832</v>
      </c>
      <c r="F728" s="12" t="str">
        <f>IFERROR(__xludf.DUMMYFUNCTION("""COMPUTED_VALUE"""),"TIPO I")</f>
        <v>TIPO I</v>
      </c>
      <c r="G728" s="12" t="str">
        <f>IFERROR(__xludf.DUMMYFUNCTION("""COMPUTED_VALUE"""),"Estructura del canal en concreto con presencia de algas en el lecho, durante el monitoreo se pudo percibir olor y observar color.
Altitud: 2571 msnm ")</f>
        <v>Estructura del canal en concreto con presencia de algas en el lecho, durante el monitoreo se pudo percibir olor y observar color.
Altitud: 2571 msnm </v>
      </c>
      <c r="H728" s="45">
        <f>IFERROR(__xludf.DUMMYFUNCTION("""COMPUTED_VALUE"""),0.3333333333321207)</f>
        <v>0.3333333333</v>
      </c>
      <c r="I728" s="45">
        <f>IFERROR(__xludf.DUMMYFUNCTION("""COMPUTED_VALUE"""),0.4166666666678793)</f>
        <v>0.4166666667</v>
      </c>
      <c r="J728" s="12">
        <f>IFERROR(__xludf.DUMMYFUNCTION("""COMPUTED_VALUE"""),3.3)</f>
        <v>3.3</v>
      </c>
      <c r="K728" s="12">
        <f>IFERROR(__xludf.DUMMYFUNCTION("""COMPUTED_VALUE"""),0.13)</f>
        <v>0.13</v>
      </c>
      <c r="L728" s="14">
        <f>IFERROR(__xludf.DUMMYFUNCTION("""COMPUTED_VALUE"""),136.498)</f>
        <v>136.498</v>
      </c>
      <c r="M728" s="14">
        <f>IFERROR(__xludf.DUMMYFUNCTION("""COMPUTED_VALUE"""),133.501)</f>
        <v>133.501</v>
      </c>
      <c r="N728" s="14">
        <f>IFERROR(__xludf.DUMMYFUNCTION("""COMPUTED_VALUE"""),140.161)</f>
        <v>140.161</v>
      </c>
      <c r="O728" s="14">
        <f>IFERROR(__xludf.DUMMYFUNCTION("""COMPUTED_VALUE"""),149.666)</f>
        <v>149.666</v>
      </c>
      <c r="P728" s="14">
        <f>IFERROR(__xludf.DUMMYFUNCTION("""COMPUTED_VALUE"""),156.39)</f>
        <v>156.39</v>
      </c>
      <c r="Q728" s="14">
        <f>IFERROR(__xludf.DUMMYFUNCTION("""COMPUTED_VALUE"""),143.243)</f>
        <v>143.243</v>
      </c>
      <c r="R728" s="48">
        <f>IFERROR(__xludf.DUMMYFUNCTION("""COMPUTED_VALUE"""),7.25)</f>
        <v>7.25</v>
      </c>
      <c r="S728" s="48">
        <f>IFERROR(__xludf.DUMMYFUNCTION("""COMPUTED_VALUE"""),7.13)</f>
        <v>7.13</v>
      </c>
      <c r="T728" s="48">
        <f>IFERROR(__xludf.DUMMYFUNCTION("""COMPUTED_VALUE"""),7.1)</f>
        <v>7.1</v>
      </c>
      <c r="U728" s="48">
        <f>IFERROR(__xludf.DUMMYFUNCTION("""COMPUTED_VALUE"""),7.17)</f>
        <v>7.17</v>
      </c>
      <c r="V728" s="48">
        <f>IFERROR(__xludf.DUMMYFUNCTION("""COMPUTED_VALUE"""),7.0)</f>
        <v>7</v>
      </c>
      <c r="W728" s="14">
        <f>IFERROR(__xludf.DUMMYFUNCTION("""COMPUTED_VALUE"""),7.13)</f>
        <v>7.13</v>
      </c>
      <c r="X728" s="14">
        <f>IFERROR(__xludf.DUMMYFUNCTION("""COMPUTED_VALUE"""),17.5)</f>
        <v>17.5</v>
      </c>
      <c r="Y728" s="14">
        <f>IFERROR(__xludf.DUMMYFUNCTION("""COMPUTED_VALUE"""),17.6)</f>
        <v>17.6</v>
      </c>
      <c r="Z728" s="14">
        <f>IFERROR(__xludf.DUMMYFUNCTION("""COMPUTED_VALUE"""),17.9)</f>
        <v>17.9</v>
      </c>
      <c r="AA728" s="14">
        <f>IFERROR(__xludf.DUMMYFUNCTION("""COMPUTED_VALUE"""),17.7)</f>
        <v>17.7</v>
      </c>
      <c r="AB728" s="14">
        <f>IFERROR(__xludf.DUMMYFUNCTION("""COMPUTED_VALUE"""),18.0)</f>
        <v>18</v>
      </c>
      <c r="AC728" s="14">
        <f>IFERROR(__xludf.DUMMYFUNCTION("""COMPUTED_VALUE"""),17.740000000000002)</f>
        <v>17.74</v>
      </c>
      <c r="AD728" s="48">
        <f>IFERROR(__xludf.DUMMYFUNCTION("""COMPUTED_VALUE"""),427.0)</f>
        <v>427</v>
      </c>
      <c r="AE728" s="48">
        <f>IFERROR(__xludf.DUMMYFUNCTION("""COMPUTED_VALUE"""),375.0)</f>
        <v>375</v>
      </c>
      <c r="AF728" s="48">
        <f>IFERROR(__xludf.DUMMYFUNCTION("""COMPUTED_VALUE"""),378.0)</f>
        <v>378</v>
      </c>
      <c r="AG728" s="48">
        <f>IFERROR(__xludf.DUMMYFUNCTION("""COMPUTED_VALUE"""),366.0)</f>
        <v>366</v>
      </c>
      <c r="AH728" s="48">
        <f>IFERROR(__xludf.DUMMYFUNCTION("""COMPUTED_VALUE"""),368.0)</f>
        <v>368</v>
      </c>
      <c r="AI728" s="14">
        <f>IFERROR(__xludf.DUMMYFUNCTION("""COMPUTED_VALUE"""),382.8)</f>
        <v>382.8</v>
      </c>
      <c r="AJ728" s="14">
        <f>IFERROR(__xludf.DUMMYFUNCTION("""COMPUTED_VALUE"""),5.62)</f>
        <v>5.62</v>
      </c>
      <c r="AK728" s="14">
        <f>IFERROR(__xludf.DUMMYFUNCTION("""COMPUTED_VALUE"""),5.36)</f>
        <v>5.36</v>
      </c>
      <c r="AL728" s="14">
        <f>IFERROR(__xludf.DUMMYFUNCTION("""COMPUTED_VALUE"""),5.18)</f>
        <v>5.18</v>
      </c>
      <c r="AM728" s="14">
        <f>IFERROR(__xludf.DUMMYFUNCTION("""COMPUTED_VALUE"""),5.31)</f>
        <v>5.31</v>
      </c>
      <c r="AN728" s="14">
        <f>IFERROR(__xludf.DUMMYFUNCTION("""COMPUTED_VALUE"""),5.59)</f>
        <v>5.59</v>
      </c>
      <c r="AO728" s="14">
        <f>IFERROR(__xludf.DUMMYFUNCTION("""COMPUTED_VALUE"""),5.412)</f>
        <v>5.412</v>
      </c>
      <c r="AP728" s="14">
        <f>IFERROR(__xludf.DUMMYFUNCTION("""COMPUTED_VALUE"""),39.0)</f>
        <v>39</v>
      </c>
      <c r="AQ728" s="14">
        <f>IFERROR(__xludf.DUMMYFUNCTION("""COMPUTED_VALUE"""),52.0)</f>
        <v>52</v>
      </c>
      <c r="AR728" s="14">
        <f>IFERROR(__xludf.DUMMYFUNCTION("""COMPUTED_VALUE"""),29.0)</f>
        <v>29</v>
      </c>
      <c r="AS728" s="14">
        <f>IFERROR(__xludf.DUMMYFUNCTION("""COMPUTED_VALUE"""),46.0)</f>
        <v>46</v>
      </c>
      <c r="AT728" s="14">
        <f>IFERROR(__xludf.DUMMYFUNCTION("""COMPUTED_VALUE"""),2.44)</f>
        <v>2.44</v>
      </c>
      <c r="AU728" s="14">
        <f>IFERROR(__xludf.DUMMYFUNCTION("""COMPUTED_VALUE"""),1.246E7)</f>
        <v>12460000</v>
      </c>
      <c r="AV728" s="14">
        <f>IFERROR(__xludf.DUMMYFUNCTION("""COMPUTED_VALUE"""),2.62)</f>
        <v>2.62</v>
      </c>
      <c r="AW728" s="14">
        <f>IFERROR(__xludf.DUMMYFUNCTION("""COMPUTED_VALUE"""),22.4)</f>
        <v>22.4</v>
      </c>
      <c r="AX728" s="14">
        <f>IFERROR(__xludf.DUMMYFUNCTION("""COMPUTED_VALUE"""),617000.0)</f>
        <v>617000</v>
      </c>
      <c r="AY728" s="14">
        <f>IFERROR(__xludf.DUMMYFUNCTION("""COMPUTED_VALUE"""),0.4)</f>
        <v>0.4</v>
      </c>
      <c r="AZ728" s="14">
        <f>IFERROR(__xludf.DUMMYFUNCTION("""COMPUTED_VALUE"""),0.007)</f>
        <v>0.007</v>
      </c>
      <c r="BA728" s="14">
        <f t="shared" si="1"/>
        <v>22.807</v>
      </c>
    </row>
    <row r="729" ht="14.25" customHeight="1">
      <c r="A729" s="10" t="str">
        <f>IFERROR(__xludf.DUMMYFUNCTION("""COMPUTED_VALUE"""),"260922DU01")</f>
        <v>260922DU01</v>
      </c>
      <c r="B729" s="12" t="str">
        <f>IFERROR(__xludf.DUMMYFUNCTION("""COMPUTED_VALUE"""),"QLI-El Satélite")</f>
        <v>QLI-El Satélite</v>
      </c>
      <c r="C729" s="12"/>
      <c r="D729" s="12"/>
      <c r="E729" s="44">
        <f>IFERROR(__xludf.DUMMYFUNCTION("""COMPUTED_VALUE"""),44830.0)</f>
        <v>44830</v>
      </c>
      <c r="F729" s="12" t="str">
        <f>IFERROR(__xludf.DUMMYFUNCTION("""COMPUTED_VALUE"""),"TIPO I")</f>
        <v>TIPO I</v>
      </c>
      <c r="G729" s="12" t="str">
        <f>IFERROR(__xludf.DUMMYFUNCTION("""COMPUTED_VALUE"""),"Estructura del canal natural, durante el monitoreo se observa color, presencia de residuos sólidos en la ribera y lodos en el lecho, también se percibe olor.
Altitud: 2568 msnm. ")</f>
        <v>Estructura del canal natural, durante el monitoreo se observa color, presencia de residuos sólidos en la ribera y lodos en el lecho, también se percibe olor.
Altitud: 2568 msnm. </v>
      </c>
      <c r="H729" s="45">
        <f>IFERROR(__xludf.DUMMYFUNCTION("""COMPUTED_VALUE"""),0.25)</f>
        <v>0.25</v>
      </c>
      <c r="I729" s="45">
        <f>IFERROR(__xludf.DUMMYFUNCTION("""COMPUTED_VALUE"""),0.3333333333321207)</f>
        <v>0.3333333333</v>
      </c>
      <c r="J729" s="12">
        <f>IFERROR(__xludf.DUMMYFUNCTION("""COMPUTED_VALUE"""),2.6)</f>
        <v>2.6</v>
      </c>
      <c r="K729" s="12">
        <f>IFERROR(__xludf.DUMMYFUNCTION("""COMPUTED_VALUE"""),0.22)</f>
        <v>0.22</v>
      </c>
      <c r="L729" s="14">
        <f>IFERROR(__xludf.DUMMYFUNCTION("""COMPUTED_VALUE"""),73.858)</f>
        <v>73.858</v>
      </c>
      <c r="M729" s="14">
        <f>IFERROR(__xludf.DUMMYFUNCTION("""COMPUTED_VALUE"""),81.021)</f>
        <v>81.021</v>
      </c>
      <c r="N729" s="14">
        <f>IFERROR(__xludf.DUMMYFUNCTION("""COMPUTED_VALUE"""),86.069)</f>
        <v>86.069</v>
      </c>
      <c r="O729" s="14">
        <f>IFERROR(__xludf.DUMMYFUNCTION("""COMPUTED_VALUE"""),97.731)</f>
        <v>97.731</v>
      </c>
      <c r="P729" s="14">
        <f>IFERROR(__xludf.DUMMYFUNCTION("""COMPUTED_VALUE"""),100.65)</f>
        <v>100.65</v>
      </c>
      <c r="Q729" s="14">
        <f>IFERROR(__xludf.DUMMYFUNCTION("""COMPUTED_VALUE"""),87.866)</f>
        <v>87.866</v>
      </c>
      <c r="R729" s="48">
        <f>IFERROR(__xludf.DUMMYFUNCTION("""COMPUTED_VALUE"""),7.7)</f>
        <v>7.7</v>
      </c>
      <c r="S729" s="48">
        <f>IFERROR(__xludf.DUMMYFUNCTION("""COMPUTED_VALUE"""),7.63)</f>
        <v>7.63</v>
      </c>
      <c r="T729" s="48">
        <f>IFERROR(__xludf.DUMMYFUNCTION("""COMPUTED_VALUE"""),7.63)</f>
        <v>7.63</v>
      </c>
      <c r="U729" s="48">
        <f>IFERROR(__xludf.DUMMYFUNCTION("""COMPUTED_VALUE"""),7.59)</f>
        <v>7.59</v>
      </c>
      <c r="V729" s="48">
        <f>IFERROR(__xludf.DUMMYFUNCTION("""COMPUTED_VALUE"""),7.63)</f>
        <v>7.63</v>
      </c>
      <c r="W729" s="14">
        <f>IFERROR(__xludf.DUMMYFUNCTION("""COMPUTED_VALUE"""),7.636)</f>
        <v>7.636</v>
      </c>
      <c r="X729" s="14">
        <f>IFERROR(__xludf.DUMMYFUNCTION("""COMPUTED_VALUE"""),13.4)</f>
        <v>13.4</v>
      </c>
      <c r="Y729" s="14">
        <f>IFERROR(__xludf.DUMMYFUNCTION("""COMPUTED_VALUE"""),13.7)</f>
        <v>13.7</v>
      </c>
      <c r="Z729" s="14">
        <f>IFERROR(__xludf.DUMMYFUNCTION("""COMPUTED_VALUE"""),13.7)</f>
        <v>13.7</v>
      </c>
      <c r="AA729" s="14">
        <f>IFERROR(__xludf.DUMMYFUNCTION("""COMPUTED_VALUE"""),14.6)</f>
        <v>14.6</v>
      </c>
      <c r="AB729" s="14">
        <f>IFERROR(__xludf.DUMMYFUNCTION("""COMPUTED_VALUE"""),14.9)</f>
        <v>14.9</v>
      </c>
      <c r="AC729" s="14">
        <f>IFERROR(__xludf.DUMMYFUNCTION("""COMPUTED_VALUE"""),14.059999999999999)</f>
        <v>14.06</v>
      </c>
      <c r="AD729" s="48">
        <f>IFERROR(__xludf.DUMMYFUNCTION("""COMPUTED_VALUE"""),339.0)</f>
        <v>339</v>
      </c>
      <c r="AE729" s="48">
        <f>IFERROR(__xludf.DUMMYFUNCTION("""COMPUTED_VALUE"""),344.0)</f>
        <v>344</v>
      </c>
      <c r="AF729" s="48">
        <f>IFERROR(__xludf.DUMMYFUNCTION("""COMPUTED_VALUE"""),345.0)</f>
        <v>345</v>
      </c>
      <c r="AG729" s="48">
        <f>IFERROR(__xludf.DUMMYFUNCTION("""COMPUTED_VALUE"""),345.0)</f>
        <v>345</v>
      </c>
      <c r="AH729" s="48">
        <f>IFERROR(__xludf.DUMMYFUNCTION("""COMPUTED_VALUE"""),346.0)</f>
        <v>346</v>
      </c>
      <c r="AI729" s="14">
        <f>IFERROR(__xludf.DUMMYFUNCTION("""COMPUTED_VALUE"""),343.8)</f>
        <v>343.8</v>
      </c>
      <c r="AJ729" s="14">
        <f>IFERROR(__xludf.DUMMYFUNCTION("""COMPUTED_VALUE"""),7.89)</f>
        <v>7.89</v>
      </c>
      <c r="AK729" s="14">
        <f>IFERROR(__xludf.DUMMYFUNCTION("""COMPUTED_VALUE"""),7.67)</f>
        <v>7.67</v>
      </c>
      <c r="AL729" s="14">
        <f>IFERROR(__xludf.DUMMYFUNCTION("""COMPUTED_VALUE"""),7.54)</f>
        <v>7.54</v>
      </c>
      <c r="AM729" s="14">
        <f>IFERROR(__xludf.DUMMYFUNCTION("""COMPUTED_VALUE"""),7.74)</f>
        <v>7.74</v>
      </c>
      <c r="AN729" s="14">
        <f>IFERROR(__xludf.DUMMYFUNCTION("""COMPUTED_VALUE"""),7.38)</f>
        <v>7.38</v>
      </c>
      <c r="AO729" s="14">
        <f>IFERROR(__xludf.DUMMYFUNCTION("""COMPUTED_VALUE"""),7.644)</f>
        <v>7.644</v>
      </c>
      <c r="AP729" s="14">
        <f>IFERROR(__xludf.DUMMYFUNCTION("""COMPUTED_VALUE"""),30.0)</f>
        <v>30</v>
      </c>
      <c r="AQ729" s="14">
        <f>IFERROR(__xludf.DUMMYFUNCTION("""COMPUTED_VALUE"""),41.0)</f>
        <v>41</v>
      </c>
      <c r="AR729" s="14">
        <f>IFERROR(__xludf.DUMMYFUNCTION("""COMPUTED_VALUE"""),47.0)</f>
        <v>47</v>
      </c>
      <c r="AS729" s="14">
        <f>IFERROR(__xludf.DUMMYFUNCTION("""COMPUTED_VALUE"""),1.2)</f>
        <v>1.2</v>
      </c>
      <c r="AT729" s="14">
        <f>IFERROR(__xludf.DUMMYFUNCTION("""COMPUTED_VALUE"""),1.11)</f>
        <v>1.11</v>
      </c>
      <c r="AU729" s="14">
        <f>IFERROR(__xludf.DUMMYFUNCTION("""COMPUTED_VALUE"""),982000.0)</f>
        <v>982000</v>
      </c>
      <c r="AV729" s="14">
        <f>IFERROR(__xludf.DUMMYFUNCTION("""COMPUTED_VALUE"""),1.81)</f>
        <v>1.81</v>
      </c>
      <c r="AW729" s="14">
        <f>IFERROR(__xludf.DUMMYFUNCTION("""COMPUTED_VALUE"""),18.2)</f>
        <v>18.2</v>
      </c>
      <c r="AX729" s="14">
        <f>IFERROR(__xludf.DUMMYFUNCTION("""COMPUTED_VALUE"""),68700.0)</f>
        <v>68700</v>
      </c>
      <c r="AY729" s="14">
        <f>IFERROR(__xludf.DUMMYFUNCTION("""COMPUTED_VALUE"""),1.3)</f>
        <v>1.3</v>
      </c>
      <c r="AZ729" s="14">
        <f>IFERROR(__xludf.DUMMYFUNCTION("""COMPUTED_VALUE"""),0.159)</f>
        <v>0.159</v>
      </c>
      <c r="BA729" s="14">
        <f t="shared" si="1"/>
        <v>19.659</v>
      </c>
    </row>
    <row r="730" ht="14.25" customHeight="1">
      <c r="A730" s="10" t="str">
        <f>IFERROR(__xludf.DUMMYFUNCTION("""COMPUTED_VALUE"""),"260922LA01")</f>
        <v>260922LA01</v>
      </c>
      <c r="B730" s="12" t="str">
        <f>IFERROR(__xludf.DUMMYFUNCTION("""COMPUTED_VALUE"""),"QLI-Villa del Diamante")</f>
        <v>QLI-Villa del Diamante</v>
      </c>
      <c r="C730" s="12"/>
      <c r="D730" s="12"/>
      <c r="E730" s="44">
        <f>IFERROR(__xludf.DUMMYFUNCTION("""COMPUTED_VALUE"""),44830.0)</f>
        <v>44830</v>
      </c>
      <c r="F730" s="12" t="str">
        <f>IFERROR(__xludf.DUMMYFUNCTION("""COMPUTED_VALUE"""),"TIPO I")</f>
        <v>TIPO I</v>
      </c>
      <c r="G730" s="12" t="str">
        <f>IFERROR(__xludf.DUMMYFUNCTION("""COMPUTED_VALUE"""),"Estructura del canal natural, durante el monitoreo no se percibe color, se observa espuma y color, presencia de residuos sólidos al margen del canal.
Altitud: 2636 msnm. ")</f>
        <v>Estructura del canal natural, durante el monitoreo no se percibe color, se observa espuma y color, presencia de residuos sólidos al margen del canal.
Altitud: 2636 msnm. </v>
      </c>
      <c r="H730" s="45">
        <f>IFERROR(__xludf.DUMMYFUNCTION("""COMPUTED_VALUE"""),0.25)</f>
        <v>0.25</v>
      </c>
      <c r="I730" s="45">
        <f>IFERROR(__xludf.DUMMYFUNCTION("""COMPUTED_VALUE"""),0.3333333333321207)</f>
        <v>0.3333333333</v>
      </c>
      <c r="J730" s="12">
        <f>IFERROR(__xludf.DUMMYFUNCTION("""COMPUTED_VALUE"""),1.9)</f>
        <v>1.9</v>
      </c>
      <c r="K730" s="12">
        <f>IFERROR(__xludf.DUMMYFUNCTION("""COMPUTED_VALUE"""),0.06)</f>
        <v>0.06</v>
      </c>
      <c r="L730" s="14">
        <f>IFERROR(__xludf.DUMMYFUNCTION("""COMPUTED_VALUE"""),27.326)</f>
        <v>27.326</v>
      </c>
      <c r="M730" s="14">
        <f>IFERROR(__xludf.DUMMYFUNCTION("""COMPUTED_VALUE"""),28.482)</f>
        <v>28.482</v>
      </c>
      <c r="N730" s="14">
        <f>IFERROR(__xludf.DUMMYFUNCTION("""COMPUTED_VALUE"""),30.16)</f>
        <v>30.16</v>
      </c>
      <c r="O730" s="14">
        <f>IFERROR(__xludf.DUMMYFUNCTION("""COMPUTED_VALUE"""),29.744)</f>
        <v>29.744</v>
      </c>
      <c r="P730" s="14">
        <f>IFERROR(__xludf.DUMMYFUNCTION("""COMPUTED_VALUE"""),29.319)</f>
        <v>29.319</v>
      </c>
      <c r="Q730" s="14">
        <f>IFERROR(__xludf.DUMMYFUNCTION("""COMPUTED_VALUE"""),29.006)</f>
        <v>29.006</v>
      </c>
      <c r="R730" s="48">
        <f>IFERROR(__xludf.DUMMYFUNCTION("""COMPUTED_VALUE"""),7.03)</f>
        <v>7.03</v>
      </c>
      <c r="S730" s="48">
        <f>IFERROR(__xludf.DUMMYFUNCTION("""COMPUTED_VALUE"""),6.78)</f>
        <v>6.78</v>
      </c>
      <c r="T730" s="48">
        <f>IFERROR(__xludf.DUMMYFUNCTION("""COMPUTED_VALUE"""),6.92)</f>
        <v>6.92</v>
      </c>
      <c r="U730" s="48">
        <f>IFERROR(__xludf.DUMMYFUNCTION("""COMPUTED_VALUE"""),6.79)</f>
        <v>6.79</v>
      </c>
      <c r="V730" s="48">
        <f>IFERROR(__xludf.DUMMYFUNCTION("""COMPUTED_VALUE"""),7.01)</f>
        <v>7.01</v>
      </c>
      <c r="W730" s="14">
        <f>IFERROR(__xludf.DUMMYFUNCTION("""COMPUTED_VALUE"""),6.906000000000001)</f>
        <v>6.906</v>
      </c>
      <c r="X730" s="14">
        <f>IFERROR(__xludf.DUMMYFUNCTION("""COMPUTED_VALUE"""),11.49)</f>
        <v>11.49</v>
      </c>
      <c r="Y730" s="14">
        <f>IFERROR(__xludf.DUMMYFUNCTION("""COMPUTED_VALUE"""),11.77)</f>
        <v>11.77</v>
      </c>
      <c r="Z730" s="14">
        <f>IFERROR(__xludf.DUMMYFUNCTION("""COMPUTED_VALUE"""),11.96)</f>
        <v>11.96</v>
      </c>
      <c r="AA730" s="14">
        <f>IFERROR(__xludf.DUMMYFUNCTION("""COMPUTED_VALUE"""),11.86)</f>
        <v>11.86</v>
      </c>
      <c r="AB730" s="14">
        <f>IFERROR(__xludf.DUMMYFUNCTION("""COMPUTED_VALUE"""),12.0)</f>
        <v>12</v>
      </c>
      <c r="AC730" s="14">
        <f>IFERROR(__xludf.DUMMYFUNCTION("""COMPUTED_VALUE"""),11.815999999999999)</f>
        <v>11.816</v>
      </c>
      <c r="AD730" s="48">
        <f>IFERROR(__xludf.DUMMYFUNCTION("""COMPUTED_VALUE"""),262.0)</f>
        <v>262</v>
      </c>
      <c r="AE730" s="48">
        <f>IFERROR(__xludf.DUMMYFUNCTION("""COMPUTED_VALUE"""),247.0)</f>
        <v>247</v>
      </c>
      <c r="AF730" s="48">
        <f>IFERROR(__xludf.DUMMYFUNCTION("""COMPUTED_VALUE"""),238.0)</f>
        <v>238</v>
      </c>
      <c r="AG730" s="48">
        <f>IFERROR(__xludf.DUMMYFUNCTION("""COMPUTED_VALUE"""),245.0)</f>
        <v>245</v>
      </c>
      <c r="AH730" s="48">
        <f>IFERROR(__xludf.DUMMYFUNCTION("""COMPUTED_VALUE"""),235.0)</f>
        <v>235</v>
      </c>
      <c r="AI730" s="14">
        <f>IFERROR(__xludf.DUMMYFUNCTION("""COMPUTED_VALUE"""),245.4)</f>
        <v>245.4</v>
      </c>
      <c r="AJ730" s="14">
        <f>IFERROR(__xludf.DUMMYFUNCTION("""COMPUTED_VALUE"""),5.3)</f>
        <v>5.3</v>
      </c>
      <c r="AK730" s="14">
        <f>IFERROR(__xludf.DUMMYFUNCTION("""COMPUTED_VALUE"""),5.85)</f>
        <v>5.85</v>
      </c>
      <c r="AL730" s="14">
        <f>IFERROR(__xludf.DUMMYFUNCTION("""COMPUTED_VALUE"""),5.67)</f>
        <v>5.67</v>
      </c>
      <c r="AM730" s="14">
        <f>IFERROR(__xludf.DUMMYFUNCTION("""COMPUTED_VALUE"""),5.86)</f>
        <v>5.86</v>
      </c>
      <c r="AN730" s="14">
        <f>IFERROR(__xludf.DUMMYFUNCTION("""COMPUTED_VALUE"""),5.68)</f>
        <v>5.68</v>
      </c>
      <c r="AO730" s="14">
        <f>IFERROR(__xludf.DUMMYFUNCTION("""COMPUTED_VALUE"""),5.672)</f>
        <v>5.672</v>
      </c>
      <c r="AP730" s="14">
        <f>IFERROR(__xludf.DUMMYFUNCTION("""COMPUTED_VALUE"""),21.0)</f>
        <v>21</v>
      </c>
      <c r="AQ730" s="14">
        <f>IFERROR(__xludf.DUMMYFUNCTION("""COMPUTED_VALUE"""),33.0)</f>
        <v>33</v>
      </c>
      <c r="AR730" s="14">
        <f>IFERROR(__xludf.DUMMYFUNCTION("""COMPUTED_VALUE"""),34.0)</f>
        <v>34</v>
      </c>
      <c r="AS730" s="14">
        <f>IFERROR(__xludf.DUMMYFUNCTION("""COMPUTED_VALUE"""),5.2)</f>
        <v>5.2</v>
      </c>
      <c r="AT730" s="14">
        <f>IFERROR(__xludf.DUMMYFUNCTION("""COMPUTED_VALUE"""),0.17)</f>
        <v>0.17</v>
      </c>
      <c r="AU730" s="14">
        <f>IFERROR(__xludf.DUMMYFUNCTION("""COMPUTED_VALUE"""),119800.0)</f>
        <v>119800</v>
      </c>
      <c r="AV730" s="14">
        <f>IFERROR(__xludf.DUMMYFUNCTION("""COMPUTED_VALUE"""),0.91)</f>
        <v>0.91</v>
      </c>
      <c r="AW730" s="14">
        <f>IFERROR(__xludf.DUMMYFUNCTION("""COMPUTED_VALUE"""),8.7)</f>
        <v>8.7</v>
      </c>
      <c r="AX730" s="14">
        <f>IFERROR(__xludf.DUMMYFUNCTION("""COMPUTED_VALUE"""),7430.0)</f>
        <v>7430</v>
      </c>
      <c r="AY730" s="14">
        <f>IFERROR(__xludf.DUMMYFUNCTION("""COMPUTED_VALUE"""),1.5)</f>
        <v>1.5</v>
      </c>
      <c r="AZ730" s="14">
        <f>IFERROR(__xludf.DUMMYFUNCTION("""COMPUTED_VALUE"""),0.191)</f>
        <v>0.191</v>
      </c>
      <c r="BA730" s="14">
        <f t="shared" si="1"/>
        <v>10.391</v>
      </c>
    </row>
    <row r="731" ht="14.25" customHeight="1">
      <c r="A731" s="10" t="str">
        <f>IFERROR(__xludf.DUMMYFUNCTION("""COMPUTED_VALUE"""),"061022AN01")</f>
        <v>061022AN01</v>
      </c>
      <c r="B731" s="12" t="str">
        <f>IFERROR(__xludf.DUMMYFUNCTION("""COMPUTED_VALUE"""),"CON-Country")</f>
        <v>CON-Country</v>
      </c>
      <c r="C731" s="12"/>
      <c r="D731" s="12"/>
      <c r="E731" s="44">
        <f>IFERROR(__xludf.DUMMYFUNCTION("""COMPUTED_VALUE"""),44840.0)</f>
        <v>44840</v>
      </c>
      <c r="F731" s="12" t="str">
        <f>IFERROR(__xludf.DUMMYFUNCTION("""COMPUTED_VALUE"""),"TIPO I")</f>
        <v>TIPO I</v>
      </c>
      <c r="G731" s="12" t="str">
        <f>IFERROR(__xludf.DUMMYFUNCTION("""COMPUTED_VALUE"""),"Canal en concreto, durante el monitoreo se percibe olor, se observa color y residuos sólidos en la fuente. 
El punto de muestreo se encuentra intervenido por adecuaciones de obras hidráulicas en el canal, por esta razón el monitoreo se realiza aguas arrib"&amp;"a antes de que el flujo de agua sea conducido a la estructura hidráulica.")</f>
        <v>Canal en concreto, durante el monitoreo se percibe olor, se observa color y residuos sólidos en la fuente. 
El punto de muestreo se encuentra intervenido por adecuaciones de obras hidráulicas en el canal, por esta razón el monitoreo se realiza aguas arriba antes de que el flujo de agua sea conducido a la estructura hidráulica.</v>
      </c>
      <c r="H731" s="45">
        <f>IFERROR(__xludf.DUMMYFUNCTION("""COMPUTED_VALUE"""),0.4166666666678793)</f>
        <v>0.4166666667</v>
      </c>
      <c r="I731" s="45">
        <f>IFERROR(__xludf.DUMMYFUNCTION("""COMPUTED_VALUE"""),0.5)</f>
        <v>0.5</v>
      </c>
      <c r="J731" s="12">
        <f>IFERROR(__xludf.DUMMYFUNCTION("""COMPUTED_VALUE"""),0.4)</f>
        <v>0.4</v>
      </c>
      <c r="K731" s="12">
        <f>IFERROR(__xludf.DUMMYFUNCTION("""COMPUTED_VALUE"""),0.07)</f>
        <v>0.07</v>
      </c>
      <c r="L731" s="14">
        <f>IFERROR(__xludf.DUMMYFUNCTION("""COMPUTED_VALUE"""),3.05)</f>
        <v>3.05</v>
      </c>
      <c r="M731" s="14">
        <f>IFERROR(__xludf.DUMMYFUNCTION("""COMPUTED_VALUE"""),3.712)</f>
        <v>3.712</v>
      </c>
      <c r="N731" s="14">
        <f>IFERROR(__xludf.DUMMYFUNCTION("""COMPUTED_VALUE"""),3.732)</f>
        <v>3.732</v>
      </c>
      <c r="O731" s="14">
        <f>IFERROR(__xludf.DUMMYFUNCTION("""COMPUTED_VALUE"""),4.71)</f>
        <v>4.71</v>
      </c>
      <c r="P731" s="14">
        <f>IFERROR(__xludf.DUMMYFUNCTION("""COMPUTED_VALUE"""),5.065)</f>
        <v>5.065</v>
      </c>
      <c r="Q731" s="14">
        <f>IFERROR(__xludf.DUMMYFUNCTION("""COMPUTED_VALUE"""),4.054)</f>
        <v>4.054</v>
      </c>
      <c r="R731" s="48">
        <f>IFERROR(__xludf.DUMMYFUNCTION("""COMPUTED_VALUE"""),8.4)</f>
        <v>8.4</v>
      </c>
      <c r="S731" s="48">
        <f>IFERROR(__xludf.DUMMYFUNCTION("""COMPUTED_VALUE"""),8.56)</f>
        <v>8.56</v>
      </c>
      <c r="T731" s="48">
        <f>IFERROR(__xludf.DUMMYFUNCTION("""COMPUTED_VALUE"""),8.61)</f>
        <v>8.61</v>
      </c>
      <c r="U731" s="48">
        <f>IFERROR(__xludf.DUMMYFUNCTION("""COMPUTED_VALUE"""),8.71)</f>
        <v>8.71</v>
      </c>
      <c r="V731" s="48">
        <f>IFERROR(__xludf.DUMMYFUNCTION("""COMPUTED_VALUE"""),8.78)</f>
        <v>8.78</v>
      </c>
      <c r="W731" s="14">
        <f>IFERROR(__xludf.DUMMYFUNCTION("""COMPUTED_VALUE"""),8.612)</f>
        <v>8.612</v>
      </c>
      <c r="X731" s="14">
        <f>IFERROR(__xludf.DUMMYFUNCTION("""COMPUTED_VALUE"""),18.96)</f>
        <v>18.96</v>
      </c>
      <c r="Y731" s="14">
        <f>IFERROR(__xludf.DUMMYFUNCTION("""COMPUTED_VALUE"""),19.23)</f>
        <v>19.23</v>
      </c>
      <c r="Z731" s="14">
        <f>IFERROR(__xludf.DUMMYFUNCTION("""COMPUTED_VALUE"""),18.77)</f>
        <v>18.77</v>
      </c>
      <c r="AA731" s="14">
        <f>IFERROR(__xludf.DUMMYFUNCTION("""COMPUTED_VALUE"""),19.41)</f>
        <v>19.41</v>
      </c>
      <c r="AB731" s="14">
        <f>IFERROR(__xludf.DUMMYFUNCTION("""COMPUTED_VALUE"""),21.25)</f>
        <v>21.25</v>
      </c>
      <c r="AC731" s="14">
        <f>IFERROR(__xludf.DUMMYFUNCTION("""COMPUTED_VALUE"""),19.523999999999997)</f>
        <v>19.524</v>
      </c>
      <c r="AD731" s="48">
        <f>IFERROR(__xludf.DUMMYFUNCTION("""COMPUTED_VALUE"""),454.0)</f>
        <v>454</v>
      </c>
      <c r="AE731" s="48">
        <f>IFERROR(__xludf.DUMMYFUNCTION("""COMPUTED_VALUE"""),446.0)</f>
        <v>446</v>
      </c>
      <c r="AF731" s="48">
        <f>IFERROR(__xludf.DUMMYFUNCTION("""COMPUTED_VALUE"""),441.0)</f>
        <v>441</v>
      </c>
      <c r="AG731" s="48">
        <f>IFERROR(__xludf.DUMMYFUNCTION("""COMPUTED_VALUE"""),434.0)</f>
        <v>434</v>
      </c>
      <c r="AH731" s="48">
        <f>IFERROR(__xludf.DUMMYFUNCTION("""COMPUTED_VALUE"""),427.0)</f>
        <v>427</v>
      </c>
      <c r="AI731" s="14">
        <f>IFERROR(__xludf.DUMMYFUNCTION("""COMPUTED_VALUE"""),440.4)</f>
        <v>440.4</v>
      </c>
      <c r="AJ731" s="14">
        <f>IFERROR(__xludf.DUMMYFUNCTION("""COMPUTED_VALUE"""),5.57)</f>
        <v>5.57</v>
      </c>
      <c r="AK731" s="14">
        <f>IFERROR(__xludf.DUMMYFUNCTION("""COMPUTED_VALUE"""),5.44)</f>
        <v>5.44</v>
      </c>
      <c r="AL731" s="14">
        <f>IFERROR(__xludf.DUMMYFUNCTION("""COMPUTED_VALUE"""),5.37)</f>
        <v>5.37</v>
      </c>
      <c r="AM731" s="14">
        <f>IFERROR(__xludf.DUMMYFUNCTION("""COMPUTED_VALUE"""),5.3)</f>
        <v>5.3</v>
      </c>
      <c r="AN731" s="14">
        <f>IFERROR(__xludf.DUMMYFUNCTION("""COMPUTED_VALUE"""),5.66)</f>
        <v>5.66</v>
      </c>
      <c r="AO731" s="14">
        <f>IFERROR(__xludf.DUMMYFUNCTION("""COMPUTED_VALUE"""),5.468000000000001)</f>
        <v>5.468</v>
      </c>
      <c r="AP731" s="14">
        <f>IFERROR(__xludf.DUMMYFUNCTION("""COMPUTED_VALUE"""),28.0)</f>
        <v>28</v>
      </c>
      <c r="AQ731" s="14">
        <f>IFERROR(__xludf.DUMMYFUNCTION("""COMPUTED_VALUE"""),39.0)</f>
        <v>39</v>
      </c>
      <c r="AR731" s="14">
        <f>IFERROR(__xludf.DUMMYFUNCTION("""COMPUTED_VALUE"""),8.0)</f>
        <v>8</v>
      </c>
      <c r="AS731" s="14">
        <f>IFERROR(__xludf.DUMMYFUNCTION("""COMPUTED_VALUE"""),17.0)</f>
        <v>17</v>
      </c>
      <c r="AT731" s="14">
        <f>IFERROR(__xludf.DUMMYFUNCTION("""COMPUTED_VALUE"""),2.34)</f>
        <v>2.34</v>
      </c>
      <c r="AU731" s="14">
        <f>IFERROR(__xludf.DUMMYFUNCTION("""COMPUTED_VALUE"""),1234000.0)</f>
        <v>1234000</v>
      </c>
      <c r="AV731" s="14">
        <f>IFERROR(__xludf.DUMMYFUNCTION("""COMPUTED_VALUE"""),1.92)</f>
        <v>1.92</v>
      </c>
      <c r="AW731" s="14">
        <f>IFERROR(__xludf.DUMMYFUNCTION("""COMPUTED_VALUE"""),4.2)</f>
        <v>4.2</v>
      </c>
      <c r="AX731" s="14">
        <f>IFERROR(__xludf.DUMMYFUNCTION("""COMPUTED_VALUE"""),101000.0)</f>
        <v>101000</v>
      </c>
      <c r="AY731" s="14">
        <f>IFERROR(__xludf.DUMMYFUNCTION("""COMPUTED_VALUE"""),0.8)</f>
        <v>0.8</v>
      </c>
      <c r="AZ731" s="14">
        <f>IFERROR(__xludf.DUMMYFUNCTION("""COMPUTED_VALUE"""),0.287)</f>
        <v>0.287</v>
      </c>
      <c r="BA731" s="14">
        <f t="shared" si="1"/>
        <v>5.287</v>
      </c>
    </row>
    <row r="732" ht="14.25" customHeight="1">
      <c r="A732" s="10" t="str">
        <f>IFERROR(__xludf.DUMMYFUNCTION("""COMPUTED_VALUE"""),"061022AN02")</f>
        <v>061022AN02</v>
      </c>
      <c r="B732" s="12" t="str">
        <f>IFERROR(__xludf.DUMMYFUNCTION("""COMPUTED_VALUE"""),"CON-Bella Suiza")</f>
        <v>CON-Bella Suiza</v>
      </c>
      <c r="C732" s="12"/>
      <c r="D732" s="12"/>
      <c r="E732" s="44">
        <f>IFERROR(__xludf.DUMMYFUNCTION("""COMPUTED_VALUE"""),44840.0)</f>
        <v>44840</v>
      </c>
      <c r="F732" s="12" t="str">
        <f>IFERROR(__xludf.DUMMYFUNCTION("""COMPUTED_VALUE"""),"TIPO I")</f>
        <v>TIPO I</v>
      </c>
      <c r="G732" s="12" t="str">
        <f>IFERROR(__xludf.DUMMYFUNCTION("""COMPUTED_VALUE"""),"Se presenta un canal en concreto, durante el monitoreo se percibe olor y se observa color. Además se presentan lluvias que impiden tomar las muestras de la cuarta y quinta alícuota.")</f>
        <v>Se presenta un canal en concreto, durante el monitoreo se percibe olor y se observa color. Además se presentan lluvias que impiden tomar las muestras de la cuarta y quinta alícuota.</v>
      </c>
      <c r="H732" s="45">
        <f>IFERROR(__xludf.DUMMYFUNCTION("""COMPUTED_VALUE"""),0.5833333333321207)</f>
        <v>0.5833333333</v>
      </c>
      <c r="I732" s="45">
        <f>IFERROR(__xludf.DUMMYFUNCTION("""COMPUTED_VALUE"""),0.6666666666678793)</f>
        <v>0.6666666667</v>
      </c>
      <c r="J732" s="12">
        <f>IFERROR(__xludf.DUMMYFUNCTION("""COMPUTED_VALUE"""),1.15)</f>
        <v>1.15</v>
      </c>
      <c r="K732" s="12">
        <f>IFERROR(__xludf.DUMMYFUNCTION("""COMPUTED_VALUE"""),0.08)</f>
        <v>0.08</v>
      </c>
      <c r="L732" s="14">
        <f>IFERROR(__xludf.DUMMYFUNCTION("""COMPUTED_VALUE"""),11.932)</f>
        <v>11.932</v>
      </c>
      <c r="M732" s="14">
        <f>IFERROR(__xludf.DUMMYFUNCTION("""COMPUTED_VALUE"""),11.673)</f>
        <v>11.673</v>
      </c>
      <c r="N732" s="14">
        <f>IFERROR(__xludf.DUMMYFUNCTION("""COMPUTED_VALUE"""),11.016)</f>
        <v>11.016</v>
      </c>
      <c r="O732" s="14"/>
      <c r="P732" s="14"/>
      <c r="Q732" s="14">
        <f>IFERROR(__xludf.DUMMYFUNCTION("""COMPUTED_VALUE"""),11.54)</f>
        <v>11.54</v>
      </c>
      <c r="R732" s="48">
        <f>IFERROR(__xludf.DUMMYFUNCTION("""COMPUTED_VALUE"""),7.4)</f>
        <v>7.4</v>
      </c>
      <c r="S732" s="48">
        <f>IFERROR(__xludf.DUMMYFUNCTION("""COMPUTED_VALUE"""),7.36)</f>
        <v>7.36</v>
      </c>
      <c r="T732" s="48">
        <f>IFERROR(__xludf.DUMMYFUNCTION("""COMPUTED_VALUE"""),7.38)</f>
        <v>7.38</v>
      </c>
      <c r="U732" s="48"/>
      <c r="V732" s="48"/>
      <c r="W732" s="14">
        <f>IFERROR(__xludf.DUMMYFUNCTION("""COMPUTED_VALUE"""),7.38)</f>
        <v>7.38</v>
      </c>
      <c r="X732" s="14">
        <f>IFERROR(__xludf.DUMMYFUNCTION("""COMPUTED_VALUE"""),17.15)</f>
        <v>17.15</v>
      </c>
      <c r="Y732" s="14">
        <f>IFERROR(__xludf.DUMMYFUNCTION("""COMPUTED_VALUE"""),16.75)</f>
        <v>16.75</v>
      </c>
      <c r="Z732" s="14">
        <f>IFERROR(__xludf.DUMMYFUNCTION("""COMPUTED_VALUE"""),16.55)</f>
        <v>16.55</v>
      </c>
      <c r="AA732" s="14"/>
      <c r="AB732" s="14"/>
      <c r="AC732" s="14">
        <f>IFERROR(__xludf.DUMMYFUNCTION("""COMPUTED_VALUE"""),16.816666666666666)</f>
        <v>16.81666667</v>
      </c>
      <c r="AD732" s="48">
        <f>IFERROR(__xludf.DUMMYFUNCTION("""COMPUTED_VALUE"""),228.0)</f>
        <v>228</v>
      </c>
      <c r="AE732" s="48">
        <f>IFERROR(__xludf.DUMMYFUNCTION("""COMPUTED_VALUE"""),224.0)</f>
        <v>224</v>
      </c>
      <c r="AF732" s="48">
        <f>IFERROR(__xludf.DUMMYFUNCTION("""COMPUTED_VALUE"""),227.0)</f>
        <v>227</v>
      </c>
      <c r="AG732" s="48"/>
      <c r="AH732" s="48"/>
      <c r="AI732" s="14">
        <f>IFERROR(__xludf.DUMMYFUNCTION("""COMPUTED_VALUE"""),226.33333333333334)</f>
        <v>226.3333333</v>
      </c>
      <c r="AJ732" s="14">
        <f>IFERROR(__xludf.DUMMYFUNCTION("""COMPUTED_VALUE"""),3.62)</f>
        <v>3.62</v>
      </c>
      <c r="AK732" s="14">
        <f>IFERROR(__xludf.DUMMYFUNCTION("""COMPUTED_VALUE"""),3.42)</f>
        <v>3.42</v>
      </c>
      <c r="AL732" s="14">
        <f>IFERROR(__xludf.DUMMYFUNCTION("""COMPUTED_VALUE"""),3.6)</f>
        <v>3.6</v>
      </c>
      <c r="AM732" s="14"/>
      <c r="AN732" s="14"/>
      <c r="AO732" s="14">
        <f>IFERROR(__xludf.DUMMYFUNCTION("""COMPUTED_VALUE"""),3.546666666666667)</f>
        <v>3.546666667</v>
      </c>
      <c r="AP732" s="14">
        <f>IFERROR(__xludf.DUMMYFUNCTION("""COMPUTED_VALUE"""),17.0)</f>
        <v>17</v>
      </c>
      <c r="AQ732" s="14">
        <f>IFERROR(__xludf.DUMMYFUNCTION("""COMPUTED_VALUE"""),23.0)</f>
        <v>23</v>
      </c>
      <c r="AR732" s="14">
        <f>IFERROR(__xludf.DUMMYFUNCTION("""COMPUTED_VALUE"""),15.0)</f>
        <v>15</v>
      </c>
      <c r="AS732" s="14">
        <f>IFERROR(__xludf.DUMMYFUNCTION("""COMPUTED_VALUE"""),1.2)</f>
        <v>1.2</v>
      </c>
      <c r="AT732" s="14">
        <f>IFERROR(__xludf.DUMMYFUNCTION("""COMPUTED_VALUE"""),0.54)</f>
        <v>0.54</v>
      </c>
      <c r="AU732" s="14">
        <f>IFERROR(__xludf.DUMMYFUNCTION("""COMPUTED_VALUE"""),1.77E7)</f>
        <v>17700000</v>
      </c>
      <c r="AV732" s="14">
        <f>IFERROR(__xludf.DUMMYFUNCTION("""COMPUTED_VALUE"""),0.46)</f>
        <v>0.46</v>
      </c>
      <c r="AW732" s="14">
        <f>IFERROR(__xludf.DUMMYFUNCTION("""COMPUTED_VALUE"""),4.5)</f>
        <v>4.5</v>
      </c>
      <c r="AX732" s="14">
        <f>IFERROR(__xludf.DUMMYFUNCTION("""COMPUTED_VALUE"""),1526000.0)</f>
        <v>1526000</v>
      </c>
      <c r="AY732" s="14">
        <f>IFERROR(__xludf.DUMMYFUNCTION("""COMPUTED_VALUE"""),0.7)</f>
        <v>0.7</v>
      </c>
      <c r="AZ732" s="14">
        <f>IFERROR(__xludf.DUMMYFUNCTION("""COMPUTED_VALUE"""),0.111)</f>
        <v>0.111</v>
      </c>
      <c r="BA732" s="14">
        <f t="shared" si="1"/>
        <v>5.311</v>
      </c>
    </row>
    <row r="733" ht="14.25" customHeight="1">
      <c r="A733" s="10" t="str">
        <f>IFERROR(__xludf.DUMMYFUNCTION("""COMPUTED_VALUE"""),"031022WI01")</f>
        <v>031022WI01</v>
      </c>
      <c r="B733" s="12" t="str">
        <f>IFERROR(__xludf.DUMMYFUNCTION("""COMPUTED_VALUE"""),"QCH-La Orquídea")</f>
        <v>QCH-La Orquídea</v>
      </c>
      <c r="C733" s="12"/>
      <c r="D733" s="12"/>
      <c r="E733" s="44">
        <f>IFERROR(__xludf.DUMMYFUNCTION("""COMPUTED_VALUE"""),44837.0)</f>
        <v>44837</v>
      </c>
      <c r="F733" s="12" t="str">
        <f>IFERROR(__xludf.DUMMYFUNCTION("""COMPUTED_VALUE"""),"TIPO I")</f>
        <v>TIPO I</v>
      </c>
      <c r="G733" s="12" t="str">
        <f>IFERROR(__xludf.DUMMYFUNCTION("""COMPUTED_VALUE"""),"Tubería en concreto. Se observa residuos sólidos alrededor del canal, también se observa iridiscencia y se percibe olor característico a hidrocarburos. La muestra se toma 5m aguas arriba del punto de monitoreo por vertimiento intermitente.")</f>
        <v>Tubería en concreto. Se observa residuos sólidos alrededor del canal, también se observa iridiscencia y se percibe olor característico a hidrocarburos. La muestra se toma 5m aguas arriba del punto de monitoreo por vertimiento intermitente.</v>
      </c>
      <c r="H733" s="45">
        <f>IFERROR(__xludf.DUMMYFUNCTION("""COMPUTED_VALUE"""),0.6666666666678793)</f>
        <v>0.6666666667</v>
      </c>
      <c r="I733" s="45">
        <f>IFERROR(__xludf.DUMMYFUNCTION("""COMPUTED_VALUE"""),0.75)</f>
        <v>0.75</v>
      </c>
      <c r="J733" s="12">
        <f>IFERROR(__xludf.DUMMYFUNCTION("""COMPUTED_VALUE"""),0.86)</f>
        <v>0.86</v>
      </c>
      <c r="K733" s="12"/>
      <c r="L733" s="14">
        <f>IFERROR(__xludf.DUMMYFUNCTION("""COMPUTED_VALUE"""),0.6849)</f>
        <v>0.6849</v>
      </c>
      <c r="M733" s="14">
        <f>IFERROR(__xludf.DUMMYFUNCTION("""COMPUTED_VALUE"""),0.6991)</f>
        <v>0.6991</v>
      </c>
      <c r="N733" s="14">
        <f>IFERROR(__xludf.DUMMYFUNCTION("""COMPUTED_VALUE"""),0.6712)</f>
        <v>0.6712</v>
      </c>
      <c r="O733" s="14">
        <f>IFERROR(__xludf.DUMMYFUNCTION("""COMPUTED_VALUE"""),0.5822)</f>
        <v>0.5822</v>
      </c>
      <c r="P733" s="14">
        <f>IFERROR(__xludf.DUMMYFUNCTION("""COMPUTED_VALUE"""),0.6199)</f>
        <v>0.6199</v>
      </c>
      <c r="Q733" s="14">
        <f>IFERROR(__xludf.DUMMYFUNCTION("""COMPUTED_VALUE"""),0.651)</f>
        <v>0.651</v>
      </c>
      <c r="R733" s="48">
        <f>IFERROR(__xludf.DUMMYFUNCTION("""COMPUTED_VALUE"""),7.97)</f>
        <v>7.97</v>
      </c>
      <c r="S733" s="48">
        <f>IFERROR(__xludf.DUMMYFUNCTION("""COMPUTED_VALUE"""),8.03)</f>
        <v>8.03</v>
      </c>
      <c r="T733" s="48">
        <f>IFERROR(__xludf.DUMMYFUNCTION("""COMPUTED_VALUE"""),8.3)</f>
        <v>8.3</v>
      </c>
      <c r="U733" s="48">
        <f>IFERROR(__xludf.DUMMYFUNCTION("""COMPUTED_VALUE"""),8.34)</f>
        <v>8.34</v>
      </c>
      <c r="V733" s="48">
        <f>IFERROR(__xludf.DUMMYFUNCTION("""COMPUTED_VALUE"""),8.43)</f>
        <v>8.43</v>
      </c>
      <c r="W733" s="14">
        <f>IFERROR(__xludf.DUMMYFUNCTION("""COMPUTED_VALUE"""),8.214)</f>
        <v>8.214</v>
      </c>
      <c r="X733" s="14">
        <f>IFERROR(__xludf.DUMMYFUNCTION("""COMPUTED_VALUE"""),16.98)</f>
        <v>16.98</v>
      </c>
      <c r="Y733" s="14">
        <f>IFERROR(__xludf.DUMMYFUNCTION("""COMPUTED_VALUE"""),16.29)</f>
        <v>16.29</v>
      </c>
      <c r="Z733" s="14">
        <f>IFERROR(__xludf.DUMMYFUNCTION("""COMPUTED_VALUE"""),16.15)</f>
        <v>16.15</v>
      </c>
      <c r="AA733" s="14">
        <f>IFERROR(__xludf.DUMMYFUNCTION("""COMPUTED_VALUE"""),15.89)</f>
        <v>15.89</v>
      </c>
      <c r="AB733" s="14">
        <f>IFERROR(__xludf.DUMMYFUNCTION("""COMPUTED_VALUE"""),15.84)</f>
        <v>15.84</v>
      </c>
      <c r="AC733" s="14">
        <f>IFERROR(__xludf.DUMMYFUNCTION("""COMPUTED_VALUE"""),16.23)</f>
        <v>16.23</v>
      </c>
      <c r="AD733" s="48">
        <f>IFERROR(__xludf.DUMMYFUNCTION("""COMPUTED_VALUE"""),690.0)</f>
        <v>690</v>
      </c>
      <c r="AE733" s="48">
        <f>IFERROR(__xludf.DUMMYFUNCTION("""COMPUTED_VALUE"""),524.0)</f>
        <v>524</v>
      </c>
      <c r="AF733" s="48">
        <f>IFERROR(__xludf.DUMMYFUNCTION("""COMPUTED_VALUE"""),622.0)</f>
        <v>622</v>
      </c>
      <c r="AG733" s="48">
        <f>IFERROR(__xludf.DUMMYFUNCTION("""COMPUTED_VALUE"""),596.0)</f>
        <v>596</v>
      </c>
      <c r="AH733" s="48">
        <f>IFERROR(__xludf.DUMMYFUNCTION("""COMPUTED_VALUE"""),638.0)</f>
        <v>638</v>
      </c>
      <c r="AI733" s="14">
        <f>IFERROR(__xludf.DUMMYFUNCTION("""COMPUTED_VALUE"""),614.0)</f>
        <v>614</v>
      </c>
      <c r="AJ733" s="14">
        <f>IFERROR(__xludf.DUMMYFUNCTION("""COMPUTED_VALUE"""),4.33)</f>
        <v>4.33</v>
      </c>
      <c r="AK733" s="14">
        <f>IFERROR(__xludf.DUMMYFUNCTION("""COMPUTED_VALUE"""),4.08)</f>
        <v>4.08</v>
      </c>
      <c r="AL733" s="14">
        <f>IFERROR(__xludf.DUMMYFUNCTION("""COMPUTED_VALUE"""),4.54)</f>
        <v>4.54</v>
      </c>
      <c r="AM733" s="14">
        <f>IFERROR(__xludf.DUMMYFUNCTION("""COMPUTED_VALUE"""),4.75)</f>
        <v>4.75</v>
      </c>
      <c r="AN733" s="14">
        <f>IFERROR(__xludf.DUMMYFUNCTION("""COMPUTED_VALUE"""),4.6)</f>
        <v>4.6</v>
      </c>
      <c r="AO733" s="14">
        <f>IFERROR(__xludf.DUMMYFUNCTION("""COMPUTED_VALUE"""),4.459999999999999)</f>
        <v>4.46</v>
      </c>
      <c r="AP733" s="14">
        <f>IFERROR(__xludf.DUMMYFUNCTION("""COMPUTED_VALUE"""),85.0)</f>
        <v>85</v>
      </c>
      <c r="AQ733" s="14">
        <f>IFERROR(__xludf.DUMMYFUNCTION("""COMPUTED_VALUE"""),127.0)</f>
        <v>127</v>
      </c>
      <c r="AR733" s="14">
        <f>IFERROR(__xludf.DUMMYFUNCTION("""COMPUTED_VALUE"""),154.0)</f>
        <v>154</v>
      </c>
      <c r="AS733" s="14">
        <f>IFERROR(__xludf.DUMMYFUNCTION("""COMPUTED_VALUE"""),68.0)</f>
        <v>68</v>
      </c>
      <c r="AT733" s="14">
        <f>IFERROR(__xludf.DUMMYFUNCTION("""COMPUTED_VALUE"""),10.19)</f>
        <v>10.19</v>
      </c>
      <c r="AU733" s="14">
        <f>IFERROR(__xludf.DUMMYFUNCTION("""COMPUTED_VALUE"""),1067000.0)</f>
        <v>1067000</v>
      </c>
      <c r="AV733" s="14">
        <f>IFERROR(__xludf.DUMMYFUNCTION("""COMPUTED_VALUE"""),0.62)</f>
        <v>0.62</v>
      </c>
      <c r="AW733" s="14">
        <f>IFERROR(__xludf.DUMMYFUNCTION("""COMPUTED_VALUE"""),8.7)</f>
        <v>8.7</v>
      </c>
      <c r="AX733" s="14">
        <f>IFERROR(__xludf.DUMMYFUNCTION("""COMPUTED_VALUE"""),1010000.0)</f>
        <v>1010000</v>
      </c>
      <c r="AY733" s="14">
        <f>IFERROR(__xludf.DUMMYFUNCTION("""COMPUTED_VALUE"""),0.6)</f>
        <v>0.6</v>
      </c>
      <c r="AZ733" s="14">
        <f>IFERROR(__xludf.DUMMYFUNCTION("""COMPUTED_VALUE"""),1.129)</f>
        <v>1.129</v>
      </c>
      <c r="BA733" s="14">
        <f t="shared" si="1"/>
        <v>10.429</v>
      </c>
    </row>
    <row r="734" ht="14.25" customHeight="1">
      <c r="A734" s="10" t="str">
        <f>IFERROR(__xludf.DUMMYFUNCTION("""COMPUTED_VALUE"""),"031022DU01")</f>
        <v>031022DU01</v>
      </c>
      <c r="B734" s="12" t="str">
        <f>IFERROR(__xludf.DUMMYFUNCTION("""COMPUTED_VALUE"""),"QCH-Cantarrana")</f>
        <v>QCH-Cantarrana</v>
      </c>
      <c r="C734" s="12"/>
      <c r="D734" s="12"/>
      <c r="E734" s="44">
        <f>IFERROR(__xludf.DUMMYFUNCTION("""COMPUTED_VALUE"""),44837.0)</f>
        <v>44837</v>
      </c>
      <c r="F734" s="12" t="str">
        <f>IFERROR(__xludf.DUMMYFUNCTION("""COMPUTED_VALUE"""),"TIPO I")</f>
        <v>TIPO I</v>
      </c>
      <c r="G734" s="12" t="str">
        <f>IFERROR(__xludf.DUMMYFUNCTION("""COMPUTED_VALUE"""),"Presenta coloración, se perciben olores y se observan espumas en el cuerpo de agua")</f>
        <v>Presenta coloración, se perciben olores y se observan espumas en el cuerpo de agua</v>
      </c>
      <c r="H734" s="45">
        <f>IFERROR(__xludf.DUMMYFUNCTION("""COMPUTED_VALUE"""),0.6666666666678793)</f>
        <v>0.6666666667</v>
      </c>
      <c r="I734" s="45">
        <f>IFERROR(__xludf.DUMMYFUNCTION("""COMPUTED_VALUE"""),0.75)</f>
        <v>0.75</v>
      </c>
      <c r="J734" s="12">
        <f>IFERROR(__xludf.DUMMYFUNCTION("""COMPUTED_VALUE"""),0.7)</f>
        <v>0.7</v>
      </c>
      <c r="K734" s="12">
        <f>IFERROR(__xludf.DUMMYFUNCTION("""COMPUTED_VALUE"""),0.28)</f>
        <v>0.28</v>
      </c>
      <c r="L734" s="14">
        <f>IFERROR(__xludf.DUMMYFUNCTION("""COMPUTED_VALUE"""),38.54)</f>
        <v>38.54</v>
      </c>
      <c r="M734" s="14">
        <f>IFERROR(__xludf.DUMMYFUNCTION("""COMPUTED_VALUE"""),38.765)</f>
        <v>38.765</v>
      </c>
      <c r="N734" s="14">
        <f>IFERROR(__xludf.DUMMYFUNCTION("""COMPUTED_VALUE"""),38.888)</f>
        <v>38.888</v>
      </c>
      <c r="O734" s="14">
        <f>IFERROR(__xludf.DUMMYFUNCTION("""COMPUTED_VALUE"""),37.865)</f>
        <v>37.865</v>
      </c>
      <c r="P734" s="14">
        <f>IFERROR(__xludf.DUMMYFUNCTION("""COMPUTED_VALUE"""),35.702)</f>
        <v>35.702</v>
      </c>
      <c r="Q734" s="14">
        <f>IFERROR(__xludf.DUMMYFUNCTION("""COMPUTED_VALUE"""),37.952)</f>
        <v>37.952</v>
      </c>
      <c r="R734" s="48">
        <f>IFERROR(__xludf.DUMMYFUNCTION("""COMPUTED_VALUE"""),7.56)</f>
        <v>7.56</v>
      </c>
      <c r="S734" s="48">
        <f>IFERROR(__xludf.DUMMYFUNCTION("""COMPUTED_VALUE"""),7.71)</f>
        <v>7.71</v>
      </c>
      <c r="T734" s="48">
        <f>IFERROR(__xludf.DUMMYFUNCTION("""COMPUTED_VALUE"""),7.73)</f>
        <v>7.73</v>
      </c>
      <c r="U734" s="48">
        <f>IFERROR(__xludf.DUMMYFUNCTION("""COMPUTED_VALUE"""),7.68)</f>
        <v>7.68</v>
      </c>
      <c r="V734" s="48">
        <f>IFERROR(__xludf.DUMMYFUNCTION("""COMPUTED_VALUE"""),7.65)</f>
        <v>7.65</v>
      </c>
      <c r="W734" s="14">
        <f>IFERROR(__xludf.DUMMYFUNCTION("""COMPUTED_VALUE"""),7.6659999999999995)</f>
        <v>7.666</v>
      </c>
      <c r="X734" s="14">
        <f>IFERROR(__xludf.DUMMYFUNCTION("""COMPUTED_VALUE"""),17.7)</f>
        <v>17.7</v>
      </c>
      <c r="Y734" s="14">
        <f>IFERROR(__xludf.DUMMYFUNCTION("""COMPUTED_VALUE"""),17.0)</f>
        <v>17</v>
      </c>
      <c r="Z734" s="14">
        <f>IFERROR(__xludf.DUMMYFUNCTION("""COMPUTED_VALUE"""),16.5)</f>
        <v>16.5</v>
      </c>
      <c r="AA734" s="14">
        <f>IFERROR(__xludf.DUMMYFUNCTION("""COMPUTED_VALUE"""),16.2)</f>
        <v>16.2</v>
      </c>
      <c r="AB734" s="14">
        <f>IFERROR(__xludf.DUMMYFUNCTION("""COMPUTED_VALUE"""),16.0)</f>
        <v>16</v>
      </c>
      <c r="AC734" s="14">
        <f>IFERROR(__xludf.DUMMYFUNCTION("""COMPUTED_VALUE"""),16.68)</f>
        <v>16.68</v>
      </c>
      <c r="AD734" s="48">
        <f>IFERROR(__xludf.DUMMYFUNCTION("""COMPUTED_VALUE"""),785.0)</f>
        <v>785</v>
      </c>
      <c r="AE734" s="48">
        <f>IFERROR(__xludf.DUMMYFUNCTION("""COMPUTED_VALUE"""),786.0)</f>
        <v>786</v>
      </c>
      <c r="AF734" s="48">
        <f>IFERROR(__xludf.DUMMYFUNCTION("""COMPUTED_VALUE"""),818.0)</f>
        <v>818</v>
      </c>
      <c r="AG734" s="48">
        <f>IFERROR(__xludf.DUMMYFUNCTION("""COMPUTED_VALUE"""),818.0)</f>
        <v>818</v>
      </c>
      <c r="AH734" s="48">
        <f>IFERROR(__xludf.DUMMYFUNCTION("""COMPUTED_VALUE"""),836.0)</f>
        <v>836</v>
      </c>
      <c r="AI734" s="14">
        <f>IFERROR(__xludf.DUMMYFUNCTION("""COMPUTED_VALUE"""),808.6)</f>
        <v>808.6</v>
      </c>
      <c r="AJ734" s="14">
        <f>IFERROR(__xludf.DUMMYFUNCTION("""COMPUTED_VALUE"""),3.23)</f>
        <v>3.23</v>
      </c>
      <c r="AK734" s="14">
        <f>IFERROR(__xludf.DUMMYFUNCTION("""COMPUTED_VALUE"""),4.36)</f>
        <v>4.36</v>
      </c>
      <c r="AL734" s="14">
        <f>IFERROR(__xludf.DUMMYFUNCTION("""COMPUTED_VALUE"""),4.13)</f>
        <v>4.13</v>
      </c>
      <c r="AM734" s="14">
        <f>IFERROR(__xludf.DUMMYFUNCTION("""COMPUTED_VALUE"""),4.22)</f>
        <v>4.22</v>
      </c>
      <c r="AN734" s="14">
        <f>IFERROR(__xludf.DUMMYFUNCTION("""COMPUTED_VALUE"""),4.01)</f>
        <v>4.01</v>
      </c>
      <c r="AO734" s="14">
        <f>IFERROR(__xludf.DUMMYFUNCTION("""COMPUTED_VALUE"""),3.9899999999999993)</f>
        <v>3.99</v>
      </c>
      <c r="AP734" s="14">
        <f>IFERROR(__xludf.DUMMYFUNCTION("""COMPUTED_VALUE"""),249.0)</f>
        <v>249</v>
      </c>
      <c r="AQ734" s="14">
        <f>IFERROR(__xludf.DUMMYFUNCTION("""COMPUTED_VALUE"""),363.0)</f>
        <v>363</v>
      </c>
      <c r="AR734" s="14">
        <f>IFERROR(__xludf.DUMMYFUNCTION("""COMPUTED_VALUE"""),200.0)</f>
        <v>200</v>
      </c>
      <c r="AS734" s="14">
        <f>IFERROR(__xludf.DUMMYFUNCTION("""COMPUTED_VALUE"""),132.0)</f>
        <v>132</v>
      </c>
      <c r="AT734" s="14">
        <f>IFERROR(__xludf.DUMMYFUNCTION("""COMPUTED_VALUE"""),11.38)</f>
        <v>11.38</v>
      </c>
      <c r="AU734" s="14">
        <f>IFERROR(__xludf.DUMMYFUNCTION("""COMPUTED_VALUE"""),1.008E7)</f>
        <v>10080000</v>
      </c>
      <c r="AV734" s="14">
        <f>IFERROR(__xludf.DUMMYFUNCTION("""COMPUTED_VALUE"""),4.45)</f>
        <v>4.45</v>
      </c>
      <c r="AW734" s="14">
        <f>IFERROR(__xludf.DUMMYFUNCTION("""COMPUTED_VALUE"""),35.6)</f>
        <v>35.6</v>
      </c>
      <c r="AX734" s="14">
        <f>IFERROR(__xludf.DUMMYFUNCTION("""COMPUTED_VALUE"""),7000000.0)</f>
        <v>7000000</v>
      </c>
      <c r="AY734" s="14">
        <f>IFERROR(__xludf.DUMMYFUNCTION("""COMPUTED_VALUE"""),0.8)</f>
        <v>0.8</v>
      </c>
      <c r="AZ734" s="14">
        <f>IFERROR(__xludf.DUMMYFUNCTION("""COMPUTED_VALUE"""),0.007)</f>
        <v>0.007</v>
      </c>
      <c r="BA734" s="14">
        <f t="shared" si="1"/>
        <v>36.407</v>
      </c>
    </row>
    <row r="735" ht="14.25" customHeight="1">
      <c r="A735" s="10" t="str">
        <f>IFERROR(__xludf.DUMMYFUNCTION("""COMPUTED_VALUE"""),"041022DI01")</f>
        <v>041022DI01</v>
      </c>
      <c r="B735" s="12" t="str">
        <f>IFERROR(__xludf.DUMMYFUNCTION("""COMPUTED_VALUE"""),"QZA-Meissen")</f>
        <v>QZA-Meissen</v>
      </c>
      <c r="C735" s="12"/>
      <c r="D735" s="12"/>
      <c r="E735" s="44">
        <f>IFERROR(__xludf.DUMMYFUNCTION("""COMPUTED_VALUE"""),44838.0)</f>
        <v>44838</v>
      </c>
      <c r="F735" s="12" t="str">
        <f>IFERROR(__xludf.DUMMYFUNCTION("""COMPUTED_VALUE"""),"TIPO I")</f>
        <v>TIPO I</v>
      </c>
      <c r="G735" s="12" t="str">
        <f>IFERROR(__xludf.DUMMYFUNCTION("""COMPUTED_VALUE"""),"Estructura del canal en concreto, durante el monitoreo se observa color y se percibe olor, presencia de material flotante en el cuerpo de agua.
Altitud: 2574 msnm ")</f>
        <v>Estructura del canal en concreto, durante el monitoreo se observa color y se percibe olor, presencia de material flotante en el cuerpo de agua.
Altitud: 2574 msnm </v>
      </c>
      <c r="H735" s="45">
        <f>IFERROR(__xludf.DUMMYFUNCTION("""COMPUTED_VALUE"""),0.3333333333321207)</f>
        <v>0.3333333333</v>
      </c>
      <c r="I735" s="45">
        <f>IFERROR(__xludf.DUMMYFUNCTION("""COMPUTED_VALUE"""),0.4166666666678793)</f>
        <v>0.4166666667</v>
      </c>
      <c r="J735" s="12">
        <f>IFERROR(__xludf.DUMMYFUNCTION("""COMPUTED_VALUE"""),7.6)</f>
        <v>7.6</v>
      </c>
      <c r="K735" s="12">
        <f>IFERROR(__xludf.DUMMYFUNCTION("""COMPUTED_VALUE"""),0.1)</f>
        <v>0.1</v>
      </c>
      <c r="L735" s="14">
        <f>IFERROR(__xludf.DUMMYFUNCTION("""COMPUTED_VALUE"""),332.498)</f>
        <v>332.498</v>
      </c>
      <c r="M735" s="14">
        <f>IFERROR(__xludf.DUMMYFUNCTION("""COMPUTED_VALUE"""),326.383)</f>
        <v>326.383</v>
      </c>
      <c r="N735" s="14">
        <f>IFERROR(__xludf.DUMMYFUNCTION("""COMPUTED_VALUE"""),325.253)</f>
        <v>325.253</v>
      </c>
      <c r="O735" s="14">
        <f>IFERROR(__xludf.DUMMYFUNCTION("""COMPUTED_VALUE"""),322.708)</f>
        <v>322.708</v>
      </c>
      <c r="P735" s="14">
        <f>IFERROR(__xludf.DUMMYFUNCTION("""COMPUTED_VALUE"""),324.903)</f>
        <v>324.903</v>
      </c>
      <c r="Q735" s="14">
        <f>IFERROR(__xludf.DUMMYFUNCTION("""COMPUTED_VALUE"""),326.349)</f>
        <v>326.349</v>
      </c>
      <c r="R735" s="48">
        <f>IFERROR(__xludf.DUMMYFUNCTION("""COMPUTED_VALUE"""),7.65)</f>
        <v>7.65</v>
      </c>
      <c r="S735" s="48">
        <f>IFERROR(__xludf.DUMMYFUNCTION("""COMPUTED_VALUE"""),7.74)</f>
        <v>7.74</v>
      </c>
      <c r="T735" s="48">
        <f>IFERROR(__xludf.DUMMYFUNCTION("""COMPUTED_VALUE"""),7.72)</f>
        <v>7.72</v>
      </c>
      <c r="U735" s="48">
        <f>IFERROR(__xludf.DUMMYFUNCTION("""COMPUTED_VALUE"""),7.63)</f>
        <v>7.63</v>
      </c>
      <c r="V735" s="48">
        <f>IFERROR(__xludf.DUMMYFUNCTION("""COMPUTED_VALUE"""),7.62)</f>
        <v>7.62</v>
      </c>
      <c r="W735" s="14">
        <f>IFERROR(__xludf.DUMMYFUNCTION("""COMPUTED_VALUE"""),7.672)</f>
        <v>7.672</v>
      </c>
      <c r="X735" s="14">
        <f>IFERROR(__xludf.DUMMYFUNCTION("""COMPUTED_VALUE"""),15.4)</f>
        <v>15.4</v>
      </c>
      <c r="Y735" s="14">
        <f>IFERROR(__xludf.DUMMYFUNCTION("""COMPUTED_VALUE"""),15.8)</f>
        <v>15.8</v>
      </c>
      <c r="Z735" s="14">
        <f>IFERROR(__xludf.DUMMYFUNCTION("""COMPUTED_VALUE"""),16.3)</f>
        <v>16.3</v>
      </c>
      <c r="AA735" s="14">
        <f>IFERROR(__xludf.DUMMYFUNCTION("""COMPUTED_VALUE"""),16.8)</f>
        <v>16.8</v>
      </c>
      <c r="AB735" s="14">
        <f>IFERROR(__xludf.DUMMYFUNCTION("""COMPUTED_VALUE"""),17.3)</f>
        <v>17.3</v>
      </c>
      <c r="AC735" s="14">
        <f>IFERROR(__xludf.DUMMYFUNCTION("""COMPUTED_VALUE"""),16.32)</f>
        <v>16.32</v>
      </c>
      <c r="AD735" s="48">
        <f>IFERROR(__xludf.DUMMYFUNCTION("""COMPUTED_VALUE"""),584.0)</f>
        <v>584</v>
      </c>
      <c r="AE735" s="48">
        <f>IFERROR(__xludf.DUMMYFUNCTION("""COMPUTED_VALUE"""),585.0)</f>
        <v>585</v>
      </c>
      <c r="AF735" s="48">
        <f>IFERROR(__xludf.DUMMYFUNCTION("""COMPUTED_VALUE"""),645.0)</f>
        <v>645</v>
      </c>
      <c r="AG735" s="48">
        <f>IFERROR(__xludf.DUMMYFUNCTION("""COMPUTED_VALUE"""),609.0)</f>
        <v>609</v>
      </c>
      <c r="AH735" s="48">
        <f>IFERROR(__xludf.DUMMYFUNCTION("""COMPUTED_VALUE"""),595.0)</f>
        <v>595</v>
      </c>
      <c r="AI735" s="14">
        <f>IFERROR(__xludf.DUMMYFUNCTION("""COMPUTED_VALUE"""),603.6)</f>
        <v>603.6</v>
      </c>
      <c r="AJ735" s="14">
        <f>IFERROR(__xludf.DUMMYFUNCTION("""COMPUTED_VALUE"""),0.84)</f>
        <v>0.84</v>
      </c>
      <c r="AK735" s="14">
        <f>IFERROR(__xludf.DUMMYFUNCTION("""COMPUTED_VALUE"""),0.64)</f>
        <v>0.64</v>
      </c>
      <c r="AL735" s="14">
        <f>IFERROR(__xludf.DUMMYFUNCTION("""COMPUTED_VALUE"""),1.06)</f>
        <v>1.06</v>
      </c>
      <c r="AM735" s="14">
        <f>IFERROR(__xludf.DUMMYFUNCTION("""COMPUTED_VALUE"""),0.89)</f>
        <v>0.89</v>
      </c>
      <c r="AN735" s="14">
        <f>IFERROR(__xludf.DUMMYFUNCTION("""COMPUTED_VALUE"""),0.86)</f>
        <v>0.86</v>
      </c>
      <c r="AO735" s="14">
        <f>IFERROR(__xludf.DUMMYFUNCTION("""COMPUTED_VALUE"""),0.858)</f>
        <v>0.858</v>
      </c>
      <c r="AP735" s="14">
        <f>IFERROR(__xludf.DUMMYFUNCTION("""COMPUTED_VALUE"""),95.0)</f>
        <v>95</v>
      </c>
      <c r="AQ735" s="14">
        <f>IFERROR(__xludf.DUMMYFUNCTION("""COMPUTED_VALUE"""),132.0)</f>
        <v>132</v>
      </c>
      <c r="AR735" s="14">
        <f>IFERROR(__xludf.DUMMYFUNCTION("""COMPUTED_VALUE"""),110.0)</f>
        <v>110</v>
      </c>
      <c r="AS735" s="14">
        <f>IFERROR(__xludf.DUMMYFUNCTION("""COMPUTED_VALUE"""),63.0)</f>
        <v>63</v>
      </c>
      <c r="AT735" s="14">
        <f>IFERROR(__xludf.DUMMYFUNCTION("""COMPUTED_VALUE"""),3.14)</f>
        <v>3.14</v>
      </c>
      <c r="AU735" s="14">
        <f>IFERROR(__xludf.DUMMYFUNCTION("""COMPUTED_VALUE"""),9100000.0)</f>
        <v>9100000</v>
      </c>
      <c r="AV735" s="14">
        <f>IFERROR(__xludf.DUMMYFUNCTION("""COMPUTED_VALUE"""),3.23)</f>
        <v>3.23</v>
      </c>
      <c r="AW735" s="14">
        <f>IFERROR(__xludf.DUMMYFUNCTION("""COMPUTED_VALUE"""),39.8)</f>
        <v>39.8</v>
      </c>
      <c r="AX735" s="14">
        <f>IFERROR(__xludf.DUMMYFUNCTION("""COMPUTED_VALUE"""),645000.0)</f>
        <v>645000</v>
      </c>
      <c r="AY735" s="14">
        <f>IFERROR(__xludf.DUMMYFUNCTION("""COMPUTED_VALUE"""),0.3)</f>
        <v>0.3</v>
      </c>
      <c r="AZ735" s="14">
        <f>IFERROR(__xludf.DUMMYFUNCTION("""COMPUTED_VALUE"""),0.007)</f>
        <v>0.007</v>
      </c>
      <c r="BA735" s="14">
        <f t="shared" si="1"/>
        <v>40.107</v>
      </c>
    </row>
    <row r="736" ht="14.25" customHeight="1">
      <c r="A736" s="10" t="str">
        <f>IFERROR(__xludf.DUMMYFUNCTION("""COMPUTED_VALUE"""),"041022DI02")</f>
        <v>041022DI02</v>
      </c>
      <c r="B736" s="12" t="str">
        <f>IFERROR(__xludf.DUMMYFUNCTION("""COMPUTED_VALUE"""),"QZA-Molinos")</f>
        <v>QZA-Molinos</v>
      </c>
      <c r="C736" s="12"/>
      <c r="D736" s="12"/>
      <c r="E736" s="44">
        <f>IFERROR(__xludf.DUMMYFUNCTION("""COMPUTED_VALUE"""),44838.0)</f>
        <v>44838</v>
      </c>
      <c r="F736" s="12" t="str">
        <f>IFERROR(__xludf.DUMMYFUNCTION("""COMPUTED_VALUE"""),"TIPO I")</f>
        <v>TIPO I</v>
      </c>
      <c r="G736" s="12" t="str">
        <f>IFERROR(__xludf.DUMMYFUNCTION("""COMPUTED_VALUE"""),"Estructura del canal natural, durante el monitoreo se observo color y se percibió olor.
Altitud: 2597 msnm ")</f>
        <v>Estructura del canal natural, durante el monitoreo se observo color y se percibió olor.
Altitud: 2597 msnm </v>
      </c>
      <c r="H736" s="45">
        <f>IFERROR(__xludf.DUMMYFUNCTION("""COMPUTED_VALUE"""),0.5833333333321207)</f>
        <v>0.5833333333</v>
      </c>
      <c r="I736" s="45">
        <f>IFERROR(__xludf.DUMMYFUNCTION("""COMPUTED_VALUE"""),0.6666666666678793)</f>
        <v>0.6666666667</v>
      </c>
      <c r="J736" s="12">
        <f>IFERROR(__xludf.DUMMYFUNCTION("""COMPUTED_VALUE"""),3.8)</f>
        <v>3.8</v>
      </c>
      <c r="K736" s="12">
        <f>IFERROR(__xludf.DUMMYFUNCTION("""COMPUTED_VALUE"""),0.51)</f>
        <v>0.51</v>
      </c>
      <c r="L736" s="14">
        <f>IFERROR(__xludf.DUMMYFUNCTION("""COMPUTED_VALUE"""),418.106)</f>
        <v>418.106</v>
      </c>
      <c r="M736" s="14">
        <f>IFERROR(__xludf.DUMMYFUNCTION("""COMPUTED_VALUE"""),402.608)</f>
        <v>402.608</v>
      </c>
      <c r="N736" s="14">
        <f>IFERROR(__xludf.DUMMYFUNCTION("""COMPUTED_VALUE"""),415.363)</f>
        <v>415.363</v>
      </c>
      <c r="O736" s="14">
        <f>IFERROR(__xludf.DUMMYFUNCTION("""COMPUTED_VALUE"""),419.381)</f>
        <v>419.381</v>
      </c>
      <c r="P736" s="14">
        <f>IFERROR(__xludf.DUMMYFUNCTION("""COMPUTED_VALUE"""),413.539)</f>
        <v>413.539</v>
      </c>
      <c r="Q736" s="14">
        <f>IFERROR(__xludf.DUMMYFUNCTION("""COMPUTED_VALUE"""),413.8)</f>
        <v>413.8</v>
      </c>
      <c r="R736" s="48">
        <f>IFERROR(__xludf.DUMMYFUNCTION("""COMPUTED_VALUE"""),7.32)</f>
        <v>7.32</v>
      </c>
      <c r="S736" s="48">
        <f>IFERROR(__xludf.DUMMYFUNCTION("""COMPUTED_VALUE"""),7.26)</f>
        <v>7.26</v>
      </c>
      <c r="T736" s="48">
        <f>IFERROR(__xludf.DUMMYFUNCTION("""COMPUTED_VALUE"""),7.36)</f>
        <v>7.36</v>
      </c>
      <c r="U736" s="48">
        <f>IFERROR(__xludf.DUMMYFUNCTION("""COMPUTED_VALUE"""),7.37)</f>
        <v>7.37</v>
      </c>
      <c r="V736" s="48">
        <f>IFERROR(__xludf.DUMMYFUNCTION("""COMPUTED_VALUE"""),7.37)</f>
        <v>7.37</v>
      </c>
      <c r="W736" s="14">
        <f>IFERROR(__xludf.DUMMYFUNCTION("""COMPUTED_VALUE"""),7.336)</f>
        <v>7.336</v>
      </c>
      <c r="X736" s="14">
        <f>IFERROR(__xludf.DUMMYFUNCTION("""COMPUTED_VALUE"""),18.6)</f>
        <v>18.6</v>
      </c>
      <c r="Y736" s="14">
        <f>IFERROR(__xludf.DUMMYFUNCTION("""COMPUTED_VALUE"""),18.7)</f>
        <v>18.7</v>
      </c>
      <c r="Z736" s="14">
        <f>IFERROR(__xludf.DUMMYFUNCTION("""COMPUTED_VALUE"""),19.1)</f>
        <v>19.1</v>
      </c>
      <c r="AA736" s="14">
        <f>IFERROR(__xludf.DUMMYFUNCTION("""COMPUTED_VALUE"""),19.2)</f>
        <v>19.2</v>
      </c>
      <c r="AB736" s="14">
        <f>IFERROR(__xludf.DUMMYFUNCTION("""COMPUTED_VALUE"""),19.3)</f>
        <v>19.3</v>
      </c>
      <c r="AC736" s="14">
        <f>IFERROR(__xludf.DUMMYFUNCTION("""COMPUTED_VALUE"""),18.979999999999997)</f>
        <v>18.98</v>
      </c>
      <c r="AD736" s="48">
        <f>IFERROR(__xludf.DUMMYFUNCTION("""COMPUTED_VALUE"""),756.0)</f>
        <v>756</v>
      </c>
      <c r="AE736" s="48">
        <f>IFERROR(__xludf.DUMMYFUNCTION("""COMPUTED_VALUE"""),759.0)</f>
        <v>759</v>
      </c>
      <c r="AF736" s="48">
        <f>IFERROR(__xludf.DUMMYFUNCTION("""COMPUTED_VALUE"""),774.0)</f>
        <v>774</v>
      </c>
      <c r="AG736" s="48">
        <f>IFERROR(__xludf.DUMMYFUNCTION("""COMPUTED_VALUE"""),758.0)</f>
        <v>758</v>
      </c>
      <c r="AH736" s="48">
        <f>IFERROR(__xludf.DUMMYFUNCTION("""COMPUTED_VALUE"""),797.0)</f>
        <v>797</v>
      </c>
      <c r="AI736" s="14">
        <f>IFERROR(__xludf.DUMMYFUNCTION("""COMPUTED_VALUE"""),768.8)</f>
        <v>768.8</v>
      </c>
      <c r="AJ736" s="14">
        <f>IFERROR(__xludf.DUMMYFUNCTION("""COMPUTED_VALUE"""),0.87)</f>
        <v>0.87</v>
      </c>
      <c r="AK736" s="14">
        <f>IFERROR(__xludf.DUMMYFUNCTION("""COMPUTED_VALUE"""),0.86)</f>
        <v>0.86</v>
      </c>
      <c r="AL736" s="14">
        <f>IFERROR(__xludf.DUMMYFUNCTION("""COMPUTED_VALUE"""),0.84)</f>
        <v>0.84</v>
      </c>
      <c r="AM736" s="14">
        <f>IFERROR(__xludf.DUMMYFUNCTION("""COMPUTED_VALUE"""),0.8)</f>
        <v>0.8</v>
      </c>
      <c r="AN736" s="14">
        <f>IFERROR(__xludf.DUMMYFUNCTION("""COMPUTED_VALUE"""),0.74)</f>
        <v>0.74</v>
      </c>
      <c r="AO736" s="14">
        <f>IFERROR(__xludf.DUMMYFUNCTION("""COMPUTED_VALUE"""),0.8220000000000001)</f>
        <v>0.822</v>
      </c>
      <c r="AP736" s="14">
        <f>IFERROR(__xludf.DUMMYFUNCTION("""COMPUTED_VALUE"""),176.0)</f>
        <v>176</v>
      </c>
      <c r="AQ736" s="14">
        <f>IFERROR(__xludf.DUMMYFUNCTION("""COMPUTED_VALUE"""),257.0)</f>
        <v>257</v>
      </c>
      <c r="AR736" s="14">
        <f>IFERROR(__xludf.DUMMYFUNCTION("""COMPUTED_VALUE"""),162.0)</f>
        <v>162</v>
      </c>
      <c r="AS736" s="14">
        <f>IFERROR(__xludf.DUMMYFUNCTION("""COMPUTED_VALUE"""),62.0)</f>
        <v>62</v>
      </c>
      <c r="AT736" s="14">
        <f>IFERROR(__xludf.DUMMYFUNCTION("""COMPUTED_VALUE"""),7.75)</f>
        <v>7.75</v>
      </c>
      <c r="AU736" s="14">
        <f>IFERROR(__xludf.DUMMYFUNCTION("""COMPUTED_VALUE"""),9340000.0)</f>
        <v>9340000</v>
      </c>
      <c r="AV736" s="14">
        <f>IFERROR(__xludf.DUMMYFUNCTION("""COMPUTED_VALUE"""),4.53)</f>
        <v>4.53</v>
      </c>
      <c r="AW736" s="14">
        <f>IFERROR(__xludf.DUMMYFUNCTION("""COMPUTED_VALUE"""),14.6)</f>
        <v>14.6</v>
      </c>
      <c r="AX736" s="14">
        <f>IFERROR(__xludf.DUMMYFUNCTION("""COMPUTED_VALUE"""),784000.0)</f>
        <v>784000</v>
      </c>
      <c r="AY736" s="14">
        <f>IFERROR(__xludf.DUMMYFUNCTION("""COMPUTED_VALUE"""),0.7)</f>
        <v>0.7</v>
      </c>
      <c r="AZ736" s="14">
        <f>IFERROR(__xludf.DUMMYFUNCTION("""COMPUTED_VALUE"""),0.007)</f>
        <v>0.007</v>
      </c>
      <c r="BA736" s="14">
        <f t="shared" si="1"/>
        <v>15.307</v>
      </c>
    </row>
    <row r="737" ht="14.25" customHeight="1">
      <c r="A737" s="10" t="str">
        <f>IFERROR(__xludf.DUMMYFUNCTION("""COMPUTED_VALUE"""),"051022FE01")</f>
        <v>051022FE01</v>
      </c>
      <c r="B737" s="12" t="str">
        <f>IFERROR(__xludf.DUMMYFUNCTION("""COMPUTED_VALUE"""),"QZA-Entre Nubes")</f>
        <v>QZA-Entre Nubes</v>
      </c>
      <c r="C737" s="12"/>
      <c r="D737" s="12"/>
      <c r="E737" s="44">
        <f>IFERROR(__xludf.DUMMYFUNCTION("""COMPUTED_VALUE"""),44839.0)</f>
        <v>44839</v>
      </c>
      <c r="F737" s="12" t="str">
        <f>IFERROR(__xludf.DUMMYFUNCTION("""COMPUTED_VALUE"""),"TIPO I")</f>
        <v>TIPO I</v>
      </c>
      <c r="G737" s="12" t="str">
        <f>IFERROR(__xludf.DUMMYFUNCTION("""COMPUTED_VALUE"""),"Estructura del canal natural, durante el monitoreo se observa color y se percibe olor, presencia de residuos solidos en el lecho del canal.
Altitud: 2680 msnm ")</f>
        <v>Estructura del canal natural, durante el monitoreo se observa color y se percibe olor, presencia de residuos solidos en el lecho del canal.
Altitud: 2680 msnm </v>
      </c>
      <c r="H737" s="45">
        <f>IFERROR(__xludf.DUMMYFUNCTION("""COMPUTED_VALUE"""),0.3333333333321207)</f>
        <v>0.3333333333</v>
      </c>
      <c r="I737" s="45">
        <f>IFERROR(__xludf.DUMMYFUNCTION("""COMPUTED_VALUE"""),0.4166666666678793)</f>
        <v>0.4166666667</v>
      </c>
      <c r="J737" s="12">
        <f>IFERROR(__xludf.DUMMYFUNCTION("""COMPUTED_VALUE"""),4.4)</f>
        <v>4.4</v>
      </c>
      <c r="K737" s="12">
        <f>IFERROR(__xludf.DUMMYFUNCTION("""COMPUTED_VALUE"""),0.1)</f>
        <v>0.1</v>
      </c>
      <c r="L737" s="14">
        <f>IFERROR(__xludf.DUMMYFUNCTION("""COMPUTED_VALUE"""),68.146)</f>
        <v>68.146</v>
      </c>
      <c r="M737" s="14">
        <f>IFERROR(__xludf.DUMMYFUNCTION("""COMPUTED_VALUE"""),61.561)</f>
        <v>61.561</v>
      </c>
      <c r="N737" s="14">
        <f>IFERROR(__xludf.DUMMYFUNCTION("""COMPUTED_VALUE"""),64.062)</f>
        <v>64.062</v>
      </c>
      <c r="O737" s="14">
        <f>IFERROR(__xludf.DUMMYFUNCTION("""COMPUTED_VALUE"""),67.436)</f>
        <v>67.436</v>
      </c>
      <c r="P737" s="14">
        <f>IFERROR(__xludf.DUMMYFUNCTION("""COMPUTED_VALUE"""),74.916)</f>
        <v>74.916</v>
      </c>
      <c r="Q737" s="14">
        <f>IFERROR(__xludf.DUMMYFUNCTION("""COMPUTED_VALUE"""),67.224)</f>
        <v>67.224</v>
      </c>
      <c r="R737" s="48">
        <f>IFERROR(__xludf.DUMMYFUNCTION("""COMPUTED_VALUE"""),8.03)</f>
        <v>8.03</v>
      </c>
      <c r="S737" s="48">
        <f>IFERROR(__xludf.DUMMYFUNCTION("""COMPUTED_VALUE"""),7.94)</f>
        <v>7.94</v>
      </c>
      <c r="T737" s="48">
        <f>IFERROR(__xludf.DUMMYFUNCTION("""COMPUTED_VALUE"""),7.98)</f>
        <v>7.98</v>
      </c>
      <c r="U737" s="48">
        <f>IFERROR(__xludf.DUMMYFUNCTION("""COMPUTED_VALUE"""),7.83)</f>
        <v>7.83</v>
      </c>
      <c r="V737" s="48">
        <f>IFERROR(__xludf.DUMMYFUNCTION("""COMPUTED_VALUE"""),7.87)</f>
        <v>7.87</v>
      </c>
      <c r="W737" s="14">
        <f>IFERROR(__xludf.DUMMYFUNCTION("""COMPUTED_VALUE"""),7.93)</f>
        <v>7.93</v>
      </c>
      <c r="X737" s="14">
        <f>IFERROR(__xludf.DUMMYFUNCTION("""COMPUTED_VALUE"""),15.0)</f>
        <v>15</v>
      </c>
      <c r="Y737" s="14">
        <f>IFERROR(__xludf.DUMMYFUNCTION("""COMPUTED_VALUE"""),15.2)</f>
        <v>15.2</v>
      </c>
      <c r="Z737" s="14">
        <f>IFERROR(__xludf.DUMMYFUNCTION("""COMPUTED_VALUE"""),15.6)</f>
        <v>15.6</v>
      </c>
      <c r="AA737" s="14">
        <f>IFERROR(__xludf.DUMMYFUNCTION("""COMPUTED_VALUE"""),15.9)</f>
        <v>15.9</v>
      </c>
      <c r="AB737" s="14">
        <f>IFERROR(__xludf.DUMMYFUNCTION("""COMPUTED_VALUE"""),15.8)</f>
        <v>15.8</v>
      </c>
      <c r="AC737" s="14">
        <f>IFERROR(__xludf.DUMMYFUNCTION("""COMPUTED_VALUE"""),15.5)</f>
        <v>15.5</v>
      </c>
      <c r="AD737" s="48">
        <f>IFERROR(__xludf.DUMMYFUNCTION("""COMPUTED_VALUE"""),851.0)</f>
        <v>851</v>
      </c>
      <c r="AE737" s="48">
        <f>IFERROR(__xludf.DUMMYFUNCTION("""COMPUTED_VALUE"""),849.0)</f>
        <v>849</v>
      </c>
      <c r="AF737" s="48">
        <f>IFERROR(__xludf.DUMMYFUNCTION("""COMPUTED_VALUE"""),864.0)</f>
        <v>864</v>
      </c>
      <c r="AG737" s="48">
        <f>IFERROR(__xludf.DUMMYFUNCTION("""COMPUTED_VALUE"""),853.0)</f>
        <v>853</v>
      </c>
      <c r="AH737" s="48">
        <f>IFERROR(__xludf.DUMMYFUNCTION("""COMPUTED_VALUE"""),850.0)</f>
        <v>850</v>
      </c>
      <c r="AI737" s="14">
        <f>IFERROR(__xludf.DUMMYFUNCTION("""COMPUTED_VALUE"""),853.4)</f>
        <v>853.4</v>
      </c>
      <c r="AJ737" s="14">
        <f>IFERROR(__xludf.DUMMYFUNCTION("""COMPUTED_VALUE"""),4.71)</f>
        <v>4.71</v>
      </c>
      <c r="AK737" s="14">
        <f>IFERROR(__xludf.DUMMYFUNCTION("""COMPUTED_VALUE"""),5.05)</f>
        <v>5.05</v>
      </c>
      <c r="AL737" s="14">
        <f>IFERROR(__xludf.DUMMYFUNCTION("""COMPUTED_VALUE"""),5.04)</f>
        <v>5.04</v>
      </c>
      <c r="AM737" s="14">
        <f>IFERROR(__xludf.DUMMYFUNCTION("""COMPUTED_VALUE"""),4.91)</f>
        <v>4.91</v>
      </c>
      <c r="AN737" s="14">
        <f>IFERROR(__xludf.DUMMYFUNCTION("""COMPUTED_VALUE"""),4.95)</f>
        <v>4.95</v>
      </c>
      <c r="AO737" s="14">
        <f>IFERROR(__xludf.DUMMYFUNCTION("""COMPUTED_VALUE"""),4.932)</f>
        <v>4.932</v>
      </c>
      <c r="AP737" s="14">
        <f>IFERROR(__xludf.DUMMYFUNCTION("""COMPUTED_VALUE"""),195.0)</f>
        <v>195</v>
      </c>
      <c r="AQ737" s="14">
        <f>IFERROR(__xludf.DUMMYFUNCTION("""COMPUTED_VALUE"""),282.0)</f>
        <v>282</v>
      </c>
      <c r="AR737" s="14">
        <f>IFERROR(__xludf.DUMMYFUNCTION("""COMPUTED_VALUE"""),206.0)</f>
        <v>206</v>
      </c>
      <c r="AS737" s="14">
        <f>IFERROR(__xludf.DUMMYFUNCTION("""COMPUTED_VALUE"""),75.0)</f>
        <v>75</v>
      </c>
      <c r="AT737" s="14">
        <f>IFERROR(__xludf.DUMMYFUNCTION("""COMPUTED_VALUE"""),6.18)</f>
        <v>6.18</v>
      </c>
      <c r="AU737" s="14">
        <f>IFERROR(__xludf.DUMMYFUNCTION("""COMPUTED_VALUE"""),8.05E7)</f>
        <v>80500000</v>
      </c>
      <c r="AV737" s="14">
        <f>IFERROR(__xludf.DUMMYFUNCTION("""COMPUTED_VALUE"""),6.73)</f>
        <v>6.73</v>
      </c>
      <c r="AW737" s="14">
        <f>IFERROR(__xludf.DUMMYFUNCTION("""COMPUTED_VALUE"""),55.7)</f>
        <v>55.7</v>
      </c>
      <c r="AX737" s="14">
        <f>IFERROR(__xludf.DUMMYFUNCTION("""COMPUTED_VALUE"""),512000.0)</f>
        <v>512000</v>
      </c>
      <c r="AY737" s="14">
        <f>IFERROR(__xludf.DUMMYFUNCTION("""COMPUTED_VALUE"""),0.8)</f>
        <v>0.8</v>
      </c>
      <c r="AZ737" s="14">
        <f>IFERROR(__xludf.DUMMYFUNCTION("""COMPUTED_VALUE"""),0.007)</f>
        <v>0.007</v>
      </c>
      <c r="BA737" s="14">
        <f t="shared" si="1"/>
        <v>56.507</v>
      </c>
    </row>
    <row r="738" ht="14.25" customHeight="1">
      <c r="A738" s="10" t="str">
        <f>IFERROR(__xludf.DUMMYFUNCTION("""COMPUTED_VALUE"""),"051022FE02")</f>
        <v>051022FE02</v>
      </c>
      <c r="B738" s="12" t="str">
        <f>IFERROR(__xludf.DUMMYFUNCTION("""COMPUTED_VALUE"""),"QZA-Quindío")</f>
        <v>QZA-Quindío</v>
      </c>
      <c r="C738" s="12"/>
      <c r="D738" s="12"/>
      <c r="E738" s="44">
        <f>IFERROR(__xludf.DUMMYFUNCTION("""COMPUTED_VALUE"""),44839.0)</f>
        <v>44839</v>
      </c>
      <c r="F738" s="12" t="str">
        <f>IFERROR(__xludf.DUMMYFUNCTION("""COMPUTED_VALUE"""),"TIPO I")</f>
        <v>TIPO I</v>
      </c>
      <c r="G738" s="12" t="str">
        <f>IFERROR(__xludf.DUMMYFUNCTION("""COMPUTED_VALUE"""),"Canal natural, durante el monitoreo se observó color y espuma, se percibió olor, se presentaron lluvias intermitentes a partir de la tercera alícuota. 
Altitud: 2879 msnm ")</f>
        <v>Canal natural, durante el monitoreo se observó color y espuma, se percibió olor, se presentaron lluvias intermitentes a partir de la tercera alícuota. 
Altitud: 2879 msnm </v>
      </c>
      <c r="H738" s="45">
        <f>IFERROR(__xludf.DUMMYFUNCTION("""COMPUTED_VALUE"""),0.5833333333321207)</f>
        <v>0.5833333333</v>
      </c>
      <c r="I738" s="45">
        <f>IFERROR(__xludf.DUMMYFUNCTION("""COMPUTED_VALUE"""),0.6666666666678793)</f>
        <v>0.6666666667</v>
      </c>
      <c r="J738" s="12">
        <f>IFERROR(__xludf.DUMMYFUNCTION("""COMPUTED_VALUE"""),0.8)</f>
        <v>0.8</v>
      </c>
      <c r="K738" s="12">
        <f>IFERROR(__xludf.DUMMYFUNCTION("""COMPUTED_VALUE"""),0.2)</f>
        <v>0.2</v>
      </c>
      <c r="L738" s="14">
        <f>IFERROR(__xludf.DUMMYFUNCTION("""COMPUTED_VALUE"""),7.01)</f>
        <v>7.01</v>
      </c>
      <c r="M738" s="14">
        <f>IFERROR(__xludf.DUMMYFUNCTION("""COMPUTED_VALUE"""),8.097)</f>
        <v>8.097</v>
      </c>
      <c r="N738" s="14">
        <f>IFERROR(__xludf.DUMMYFUNCTION("""COMPUTED_VALUE"""),10.142)</f>
        <v>10.142</v>
      </c>
      <c r="O738" s="14">
        <f>IFERROR(__xludf.DUMMYFUNCTION("""COMPUTED_VALUE"""),11.33)</f>
        <v>11.33</v>
      </c>
      <c r="P738" s="14">
        <f>IFERROR(__xludf.DUMMYFUNCTION("""COMPUTED_VALUE"""),14.475)</f>
        <v>14.475</v>
      </c>
      <c r="Q738" s="14">
        <f>IFERROR(__xludf.DUMMYFUNCTION("""COMPUTED_VALUE"""),10.211)</f>
        <v>10.211</v>
      </c>
      <c r="R738" s="48">
        <f>IFERROR(__xludf.DUMMYFUNCTION("""COMPUTED_VALUE"""),7.2)</f>
        <v>7.2</v>
      </c>
      <c r="S738" s="48">
        <f>IFERROR(__xludf.DUMMYFUNCTION("""COMPUTED_VALUE"""),7.16)</f>
        <v>7.16</v>
      </c>
      <c r="T738" s="48">
        <f>IFERROR(__xludf.DUMMYFUNCTION("""COMPUTED_VALUE"""),7.2)</f>
        <v>7.2</v>
      </c>
      <c r="U738" s="48">
        <f>IFERROR(__xludf.DUMMYFUNCTION("""COMPUTED_VALUE"""),7.14)</f>
        <v>7.14</v>
      </c>
      <c r="V738" s="48">
        <f>IFERROR(__xludf.DUMMYFUNCTION("""COMPUTED_VALUE"""),7.18)</f>
        <v>7.18</v>
      </c>
      <c r="W738" s="14">
        <f>IFERROR(__xludf.DUMMYFUNCTION("""COMPUTED_VALUE"""),7.175999999999999)</f>
        <v>7.176</v>
      </c>
      <c r="X738" s="14">
        <f>IFERROR(__xludf.DUMMYFUNCTION("""COMPUTED_VALUE"""),13.5)</f>
        <v>13.5</v>
      </c>
      <c r="Y738" s="14">
        <f>IFERROR(__xludf.DUMMYFUNCTION("""COMPUTED_VALUE"""),13.2)</f>
        <v>13.2</v>
      </c>
      <c r="Z738" s="14">
        <f>IFERROR(__xludf.DUMMYFUNCTION("""COMPUTED_VALUE"""),13.0)</f>
        <v>13</v>
      </c>
      <c r="AA738" s="14">
        <f>IFERROR(__xludf.DUMMYFUNCTION("""COMPUTED_VALUE"""),12.9)</f>
        <v>12.9</v>
      </c>
      <c r="AB738" s="14">
        <f>IFERROR(__xludf.DUMMYFUNCTION("""COMPUTED_VALUE"""),13.0)</f>
        <v>13</v>
      </c>
      <c r="AC738" s="14">
        <f>IFERROR(__xludf.DUMMYFUNCTION("""COMPUTED_VALUE"""),13.12)</f>
        <v>13.12</v>
      </c>
      <c r="AD738" s="48">
        <f>IFERROR(__xludf.DUMMYFUNCTION("""COMPUTED_VALUE"""),279.0)</f>
        <v>279</v>
      </c>
      <c r="AE738" s="48">
        <f>IFERROR(__xludf.DUMMYFUNCTION("""COMPUTED_VALUE"""),282.0)</f>
        <v>282</v>
      </c>
      <c r="AF738" s="48">
        <f>IFERROR(__xludf.DUMMYFUNCTION("""COMPUTED_VALUE"""),282.0)</f>
        <v>282</v>
      </c>
      <c r="AG738" s="48">
        <f>IFERROR(__xludf.DUMMYFUNCTION("""COMPUTED_VALUE"""),292.0)</f>
        <v>292</v>
      </c>
      <c r="AH738" s="48">
        <f>IFERROR(__xludf.DUMMYFUNCTION("""COMPUTED_VALUE"""),293.0)</f>
        <v>293</v>
      </c>
      <c r="AI738" s="14">
        <f>IFERROR(__xludf.DUMMYFUNCTION("""COMPUTED_VALUE"""),285.6)</f>
        <v>285.6</v>
      </c>
      <c r="AJ738" s="14">
        <f>IFERROR(__xludf.DUMMYFUNCTION("""COMPUTED_VALUE"""),5.37)</f>
        <v>5.37</v>
      </c>
      <c r="AK738" s="14">
        <f>IFERROR(__xludf.DUMMYFUNCTION("""COMPUTED_VALUE"""),5.49)</f>
        <v>5.49</v>
      </c>
      <c r="AL738" s="14">
        <f>IFERROR(__xludf.DUMMYFUNCTION("""COMPUTED_VALUE"""),5.86)</f>
        <v>5.86</v>
      </c>
      <c r="AM738" s="14">
        <f>IFERROR(__xludf.DUMMYFUNCTION("""COMPUTED_VALUE"""),5.3)</f>
        <v>5.3</v>
      </c>
      <c r="AN738" s="14">
        <f>IFERROR(__xludf.DUMMYFUNCTION("""COMPUTED_VALUE"""),4.67)</f>
        <v>4.67</v>
      </c>
      <c r="AO738" s="14">
        <f>IFERROR(__xludf.DUMMYFUNCTION("""COMPUTED_VALUE"""),5.337999999999999)</f>
        <v>5.338</v>
      </c>
      <c r="AP738" s="14">
        <f>IFERROR(__xludf.DUMMYFUNCTION("""COMPUTED_VALUE"""),38.0)</f>
        <v>38</v>
      </c>
      <c r="AQ738" s="14">
        <f>IFERROR(__xludf.DUMMYFUNCTION("""COMPUTED_VALUE"""),66.0)</f>
        <v>66</v>
      </c>
      <c r="AR738" s="14">
        <f>IFERROR(__xludf.DUMMYFUNCTION("""COMPUTED_VALUE"""),36.0)</f>
        <v>36</v>
      </c>
      <c r="AS738" s="14">
        <f>IFERROR(__xludf.DUMMYFUNCTION("""COMPUTED_VALUE"""),46.0)</f>
        <v>46</v>
      </c>
      <c r="AT738" s="14">
        <f>IFERROR(__xludf.DUMMYFUNCTION("""COMPUTED_VALUE"""),4.35)</f>
        <v>4.35</v>
      </c>
      <c r="AU738" s="14">
        <f>IFERROR(__xludf.DUMMYFUNCTION("""COMPUTED_VALUE"""),598000.0)</f>
        <v>598000</v>
      </c>
      <c r="AV738" s="14">
        <f>IFERROR(__xludf.DUMMYFUNCTION("""COMPUTED_VALUE"""),1.44)</f>
        <v>1.44</v>
      </c>
      <c r="AW738" s="14">
        <f>IFERROR(__xludf.DUMMYFUNCTION("""COMPUTED_VALUE"""),9.2)</f>
        <v>9.2</v>
      </c>
      <c r="AX738" s="14">
        <f>IFERROR(__xludf.DUMMYFUNCTION("""COMPUTED_VALUE"""),82000.0)</f>
        <v>82000</v>
      </c>
      <c r="AY738" s="14">
        <f>IFERROR(__xludf.DUMMYFUNCTION("""COMPUTED_VALUE"""),0.5)</f>
        <v>0.5</v>
      </c>
      <c r="AZ738" s="14">
        <f>IFERROR(__xludf.DUMMYFUNCTION("""COMPUTED_VALUE"""),0.007)</f>
        <v>0.007</v>
      </c>
      <c r="BA738" s="14">
        <f t="shared" si="1"/>
        <v>9.707</v>
      </c>
    </row>
    <row r="739" ht="14.25" customHeight="1">
      <c r="A739" s="10" t="str">
        <f>IFERROR(__xludf.DUMMYFUNCTION("""COMPUTED_VALUE"""),"201022MP02")</f>
        <v>201022MP02</v>
      </c>
      <c r="B739" s="12" t="str">
        <f>IFERROR(__xludf.DUMMYFUNCTION("""COMPUTED_VALUE"""),"CMO-Pepe Sierra")</f>
        <v>CMO-Pepe Sierra</v>
      </c>
      <c r="C739" s="12"/>
      <c r="D739" s="12"/>
      <c r="E739" s="44">
        <f>IFERROR(__xludf.DUMMYFUNCTION("""COMPUTED_VALUE"""),44854.0)</f>
        <v>44854</v>
      </c>
      <c r="F739" s="12" t="str">
        <f>IFERROR(__xludf.DUMMYFUNCTION("""COMPUTED_VALUE"""),"TIPO I")</f>
        <v>TIPO I</v>
      </c>
      <c r="G739" s="12" t="str">
        <f>IFERROR(__xludf.DUMMYFUNCTION("""COMPUTED_VALUE"""),"Presenta coloración y se perciben olores")</f>
        <v>Presenta coloración y se perciben olores</v>
      </c>
      <c r="H739" s="45">
        <f>IFERROR(__xludf.DUMMYFUNCTION("""COMPUTED_VALUE"""),0.5)</f>
        <v>0.5</v>
      </c>
      <c r="I739" s="45">
        <f>IFERROR(__xludf.DUMMYFUNCTION("""COMPUTED_VALUE"""),0.5833333333321207)</f>
        <v>0.5833333333</v>
      </c>
      <c r="J739" s="12">
        <f>IFERROR(__xludf.DUMMYFUNCTION("""COMPUTED_VALUE"""),9.2)</f>
        <v>9.2</v>
      </c>
      <c r="K739" s="12">
        <f>IFERROR(__xludf.DUMMYFUNCTION("""COMPUTED_VALUE"""),0.25)</f>
        <v>0.25</v>
      </c>
      <c r="L739" s="14">
        <f>IFERROR(__xludf.DUMMYFUNCTION("""COMPUTED_VALUE"""),904.67)</f>
        <v>904.67</v>
      </c>
      <c r="M739" s="14">
        <f>IFERROR(__xludf.DUMMYFUNCTION("""COMPUTED_VALUE"""),920.919)</f>
        <v>920.919</v>
      </c>
      <c r="N739" s="14">
        <f>IFERROR(__xludf.DUMMYFUNCTION("""COMPUTED_VALUE"""),878.965)</f>
        <v>878.965</v>
      </c>
      <c r="O739" s="14">
        <f>IFERROR(__xludf.DUMMYFUNCTION("""COMPUTED_VALUE"""),871.107)</f>
        <v>871.107</v>
      </c>
      <c r="P739" s="14">
        <f>IFERROR(__xludf.DUMMYFUNCTION("""COMPUTED_VALUE"""),849.306)</f>
        <v>849.306</v>
      </c>
      <c r="Q739" s="14">
        <f>IFERROR(__xludf.DUMMYFUNCTION("""COMPUTED_VALUE"""),884.993)</f>
        <v>884.993</v>
      </c>
      <c r="R739" s="48">
        <f>IFERROR(__xludf.DUMMYFUNCTION("""COMPUTED_VALUE"""),7.55)</f>
        <v>7.55</v>
      </c>
      <c r="S739" s="48">
        <f>IFERROR(__xludf.DUMMYFUNCTION("""COMPUTED_VALUE"""),7.56)</f>
        <v>7.56</v>
      </c>
      <c r="T739" s="48">
        <f>IFERROR(__xludf.DUMMYFUNCTION("""COMPUTED_VALUE"""),7.6)</f>
        <v>7.6</v>
      </c>
      <c r="U739" s="48">
        <f>IFERROR(__xludf.DUMMYFUNCTION("""COMPUTED_VALUE"""),7.64)</f>
        <v>7.64</v>
      </c>
      <c r="V739" s="48">
        <f>IFERROR(__xludf.DUMMYFUNCTION("""COMPUTED_VALUE"""),7.6)</f>
        <v>7.6</v>
      </c>
      <c r="W739" s="14">
        <f>IFERROR(__xludf.DUMMYFUNCTION("""COMPUTED_VALUE"""),7.590000000000001)</f>
        <v>7.59</v>
      </c>
      <c r="X739" s="14">
        <f>IFERROR(__xludf.DUMMYFUNCTION("""COMPUTED_VALUE"""),16.9)</f>
        <v>16.9</v>
      </c>
      <c r="Y739" s="14">
        <f>IFERROR(__xludf.DUMMYFUNCTION("""COMPUTED_VALUE"""),16.94)</f>
        <v>16.94</v>
      </c>
      <c r="Z739" s="14">
        <f>IFERROR(__xludf.DUMMYFUNCTION("""COMPUTED_VALUE"""),16.74)</f>
        <v>16.74</v>
      </c>
      <c r="AA739" s="14">
        <f>IFERROR(__xludf.DUMMYFUNCTION("""COMPUTED_VALUE"""),17.51)</f>
        <v>17.51</v>
      </c>
      <c r="AB739" s="14">
        <f>IFERROR(__xludf.DUMMYFUNCTION("""COMPUTED_VALUE"""),18.3)</f>
        <v>18.3</v>
      </c>
      <c r="AC739" s="14">
        <f>IFERROR(__xludf.DUMMYFUNCTION("""COMPUTED_VALUE"""),17.278)</f>
        <v>17.278</v>
      </c>
      <c r="AD739" s="48">
        <f>IFERROR(__xludf.DUMMYFUNCTION("""COMPUTED_VALUE"""),220.0)</f>
        <v>220</v>
      </c>
      <c r="AE739" s="48">
        <f>IFERROR(__xludf.DUMMYFUNCTION("""COMPUTED_VALUE"""),209.0)</f>
        <v>209</v>
      </c>
      <c r="AF739" s="48">
        <f>IFERROR(__xludf.DUMMYFUNCTION("""COMPUTED_VALUE"""),227.0)</f>
        <v>227</v>
      </c>
      <c r="AG739" s="48">
        <f>IFERROR(__xludf.DUMMYFUNCTION("""COMPUTED_VALUE"""),228.0)</f>
        <v>228</v>
      </c>
      <c r="AH739" s="48">
        <f>IFERROR(__xludf.DUMMYFUNCTION("""COMPUTED_VALUE"""),229.0)</f>
        <v>229</v>
      </c>
      <c r="AI739" s="14">
        <f>IFERROR(__xludf.DUMMYFUNCTION("""COMPUTED_VALUE"""),222.6)</f>
        <v>222.6</v>
      </c>
      <c r="AJ739" s="14">
        <f>IFERROR(__xludf.DUMMYFUNCTION("""COMPUTED_VALUE"""),3.19)</f>
        <v>3.19</v>
      </c>
      <c r="AK739" s="14">
        <f>IFERROR(__xludf.DUMMYFUNCTION("""COMPUTED_VALUE"""),3.87)</f>
        <v>3.87</v>
      </c>
      <c r="AL739" s="14">
        <f>IFERROR(__xludf.DUMMYFUNCTION("""COMPUTED_VALUE"""),3.77)</f>
        <v>3.77</v>
      </c>
      <c r="AM739" s="14">
        <f>IFERROR(__xludf.DUMMYFUNCTION("""COMPUTED_VALUE"""),3.82)</f>
        <v>3.82</v>
      </c>
      <c r="AN739" s="14">
        <f>IFERROR(__xludf.DUMMYFUNCTION("""COMPUTED_VALUE"""),3.19)</f>
        <v>3.19</v>
      </c>
      <c r="AO739" s="14">
        <f>IFERROR(__xludf.DUMMYFUNCTION("""COMPUTED_VALUE"""),3.568)</f>
        <v>3.568</v>
      </c>
      <c r="AP739" s="14">
        <f>IFERROR(__xludf.DUMMYFUNCTION("""COMPUTED_VALUE"""),18.0)</f>
        <v>18</v>
      </c>
      <c r="AQ739" s="14">
        <f>IFERROR(__xludf.DUMMYFUNCTION("""COMPUTED_VALUE"""),24.0)</f>
        <v>24</v>
      </c>
      <c r="AR739" s="14">
        <f>IFERROR(__xludf.DUMMYFUNCTION("""COMPUTED_VALUE"""),39.0)</f>
        <v>39</v>
      </c>
      <c r="AS739" s="14">
        <f>IFERROR(__xludf.DUMMYFUNCTION("""COMPUTED_VALUE"""),1.2)</f>
        <v>1.2</v>
      </c>
      <c r="AT739" s="14">
        <f>IFERROR(__xludf.DUMMYFUNCTION("""COMPUTED_VALUE"""),1.39)</f>
        <v>1.39</v>
      </c>
      <c r="AU739" s="14">
        <f>IFERROR(__xludf.DUMMYFUNCTION("""COMPUTED_VALUE"""),101900.0)</f>
        <v>101900</v>
      </c>
      <c r="AV739" s="14">
        <f>IFERROR(__xludf.DUMMYFUNCTION("""COMPUTED_VALUE"""),0.31)</f>
        <v>0.31</v>
      </c>
      <c r="AW739" s="14">
        <f>IFERROR(__xludf.DUMMYFUNCTION("""COMPUTED_VALUE"""),7.3)</f>
        <v>7.3</v>
      </c>
      <c r="AX739" s="14">
        <f>IFERROR(__xludf.DUMMYFUNCTION("""COMPUTED_VALUE"""),93400.0)</f>
        <v>93400</v>
      </c>
      <c r="AY739" s="14">
        <f>IFERROR(__xludf.DUMMYFUNCTION("""COMPUTED_VALUE"""),1.0)</f>
        <v>1</v>
      </c>
      <c r="AZ739" s="14">
        <f>IFERROR(__xludf.DUMMYFUNCTION("""COMPUTED_VALUE"""),0.684)</f>
        <v>0.684</v>
      </c>
      <c r="BA739" s="14">
        <f t="shared" si="1"/>
        <v>8.984</v>
      </c>
    </row>
    <row r="740" ht="14.25" customHeight="1">
      <c r="A740" s="10" t="str">
        <f>IFERROR(__xludf.DUMMYFUNCTION("""COMPUTED_VALUE"""),"201022HA03")</f>
        <v>201022HA03</v>
      </c>
      <c r="B740" s="12" t="str">
        <f>IFERROR(__xludf.DUMMYFUNCTION("""COMPUTED_VALUE"""),"QSL-Barranquillita")</f>
        <v>QSL-Barranquillita</v>
      </c>
      <c r="C740" s="12"/>
      <c r="D740" s="12"/>
      <c r="E740" s="44">
        <f>IFERROR(__xludf.DUMMYFUNCTION("""COMPUTED_VALUE"""),44854.0)</f>
        <v>44854</v>
      </c>
      <c r="F740" s="12" t="str">
        <f>IFERROR(__xludf.DUMMYFUNCTION("""COMPUTED_VALUE"""),"TIPO I")</f>
        <v>TIPO I</v>
      </c>
      <c r="G740" s="12" t="str">
        <f>IFERROR(__xludf.DUMMYFUNCTION("""COMPUTED_VALUE"""),"Presenta coloración, se perciben olores, durante el monitoreo se presentan lluvias leves")</f>
        <v>Presenta coloración, se perciben olores, durante el monitoreo se presentan lluvias leves</v>
      </c>
      <c r="H740" s="45">
        <f>IFERROR(__xludf.DUMMYFUNCTION("""COMPUTED_VALUE"""),0.6666666666678793)</f>
        <v>0.6666666667</v>
      </c>
      <c r="I740" s="45">
        <f>IFERROR(__xludf.DUMMYFUNCTION("""COMPUTED_VALUE"""),0.75)</f>
        <v>0.75</v>
      </c>
      <c r="J740" s="12">
        <f>IFERROR(__xludf.DUMMYFUNCTION("""COMPUTED_VALUE"""),2.2)</f>
        <v>2.2</v>
      </c>
      <c r="K740" s="12">
        <f>IFERROR(__xludf.DUMMYFUNCTION("""COMPUTED_VALUE"""),0.15)</f>
        <v>0.15</v>
      </c>
      <c r="L740" s="14">
        <f>IFERROR(__xludf.DUMMYFUNCTION("""COMPUTED_VALUE"""),115.893)</f>
        <v>115.893</v>
      </c>
      <c r="M740" s="14">
        <f>IFERROR(__xludf.DUMMYFUNCTION("""COMPUTED_VALUE"""),121.112)</f>
        <v>121.112</v>
      </c>
      <c r="N740" s="14">
        <f>IFERROR(__xludf.DUMMYFUNCTION("""COMPUTED_VALUE"""),117.076)</f>
        <v>117.076</v>
      </c>
      <c r="O740" s="14">
        <f>IFERROR(__xludf.DUMMYFUNCTION("""COMPUTED_VALUE"""),118.656)</f>
        <v>118.656</v>
      </c>
      <c r="P740" s="14">
        <f>IFERROR(__xludf.DUMMYFUNCTION("""COMPUTED_VALUE"""),115.28)</f>
        <v>115.28</v>
      </c>
      <c r="Q740" s="14">
        <f>IFERROR(__xludf.DUMMYFUNCTION("""COMPUTED_VALUE"""),117.603)</f>
        <v>117.603</v>
      </c>
      <c r="R740" s="48">
        <f>IFERROR(__xludf.DUMMYFUNCTION("""COMPUTED_VALUE"""),7.6)</f>
        <v>7.6</v>
      </c>
      <c r="S740" s="48">
        <f>IFERROR(__xludf.DUMMYFUNCTION("""COMPUTED_VALUE"""),7.46)</f>
        <v>7.46</v>
      </c>
      <c r="T740" s="48">
        <f>IFERROR(__xludf.DUMMYFUNCTION("""COMPUTED_VALUE"""),7.42)</f>
        <v>7.42</v>
      </c>
      <c r="U740" s="48">
        <f>IFERROR(__xludf.DUMMYFUNCTION("""COMPUTED_VALUE"""),7.44)</f>
        <v>7.44</v>
      </c>
      <c r="V740" s="48">
        <f>IFERROR(__xludf.DUMMYFUNCTION("""COMPUTED_VALUE"""),7.34)</f>
        <v>7.34</v>
      </c>
      <c r="W740" s="14">
        <f>IFERROR(__xludf.DUMMYFUNCTION("""COMPUTED_VALUE"""),7.452)</f>
        <v>7.452</v>
      </c>
      <c r="X740" s="14">
        <f>IFERROR(__xludf.DUMMYFUNCTION("""COMPUTED_VALUE"""),13.8)</f>
        <v>13.8</v>
      </c>
      <c r="Y740" s="14">
        <f>IFERROR(__xludf.DUMMYFUNCTION("""COMPUTED_VALUE"""),13.5)</f>
        <v>13.5</v>
      </c>
      <c r="Z740" s="14">
        <f>IFERROR(__xludf.DUMMYFUNCTION("""COMPUTED_VALUE"""),13.5)</f>
        <v>13.5</v>
      </c>
      <c r="AA740" s="14">
        <f>IFERROR(__xludf.DUMMYFUNCTION("""COMPUTED_VALUE"""),13.7)</f>
        <v>13.7</v>
      </c>
      <c r="AB740" s="14">
        <f>IFERROR(__xludf.DUMMYFUNCTION("""COMPUTED_VALUE"""),13.4)</f>
        <v>13.4</v>
      </c>
      <c r="AC740" s="14">
        <f>IFERROR(__xludf.DUMMYFUNCTION("""COMPUTED_VALUE"""),13.580000000000002)</f>
        <v>13.58</v>
      </c>
      <c r="AD740" s="48">
        <f>IFERROR(__xludf.DUMMYFUNCTION("""COMPUTED_VALUE"""),238.0)</f>
        <v>238</v>
      </c>
      <c r="AE740" s="48">
        <f>IFERROR(__xludf.DUMMYFUNCTION("""COMPUTED_VALUE"""),240.0)</f>
        <v>240</v>
      </c>
      <c r="AF740" s="48">
        <f>IFERROR(__xludf.DUMMYFUNCTION("""COMPUTED_VALUE"""),245.0)</f>
        <v>245</v>
      </c>
      <c r="AG740" s="48">
        <f>IFERROR(__xludf.DUMMYFUNCTION("""COMPUTED_VALUE"""),236.0)</f>
        <v>236</v>
      </c>
      <c r="AH740" s="48">
        <f>IFERROR(__xludf.DUMMYFUNCTION("""COMPUTED_VALUE"""),232.0)</f>
        <v>232</v>
      </c>
      <c r="AI740" s="14">
        <f>IFERROR(__xludf.DUMMYFUNCTION("""COMPUTED_VALUE"""),238.2)</f>
        <v>238.2</v>
      </c>
      <c r="AJ740" s="14">
        <f>IFERROR(__xludf.DUMMYFUNCTION("""COMPUTED_VALUE"""),6.76)</f>
        <v>6.76</v>
      </c>
      <c r="AK740" s="14">
        <f>IFERROR(__xludf.DUMMYFUNCTION("""COMPUTED_VALUE"""),6.93)</f>
        <v>6.93</v>
      </c>
      <c r="AL740" s="14">
        <f>IFERROR(__xludf.DUMMYFUNCTION("""COMPUTED_VALUE"""),6.4)</f>
        <v>6.4</v>
      </c>
      <c r="AM740" s="14">
        <f>IFERROR(__xludf.DUMMYFUNCTION("""COMPUTED_VALUE"""),6.6)</f>
        <v>6.6</v>
      </c>
      <c r="AN740" s="14">
        <f>IFERROR(__xludf.DUMMYFUNCTION("""COMPUTED_VALUE"""),6.54)</f>
        <v>6.54</v>
      </c>
      <c r="AO740" s="14">
        <f>IFERROR(__xludf.DUMMYFUNCTION("""COMPUTED_VALUE"""),6.645999999999999)</f>
        <v>6.646</v>
      </c>
      <c r="AP740" s="14">
        <f>IFERROR(__xludf.DUMMYFUNCTION("""COMPUTED_VALUE"""),9.0)</f>
        <v>9</v>
      </c>
      <c r="AQ740" s="14">
        <f>IFERROR(__xludf.DUMMYFUNCTION("""COMPUTED_VALUE"""),11.0)</f>
        <v>11</v>
      </c>
      <c r="AR740" s="14">
        <f>IFERROR(__xludf.DUMMYFUNCTION("""COMPUTED_VALUE"""),240.0)</f>
        <v>240</v>
      </c>
      <c r="AS740" s="14">
        <f>IFERROR(__xludf.DUMMYFUNCTION("""COMPUTED_VALUE"""),1.2)</f>
        <v>1.2</v>
      </c>
      <c r="AT740" s="14">
        <f>IFERROR(__xludf.DUMMYFUNCTION("""COMPUTED_VALUE"""),0.68)</f>
        <v>0.68</v>
      </c>
      <c r="AU740" s="14">
        <f>IFERROR(__xludf.DUMMYFUNCTION("""COMPUTED_VALUE"""),984000.0)</f>
        <v>984000</v>
      </c>
      <c r="AV740" s="14">
        <f>IFERROR(__xludf.DUMMYFUNCTION("""COMPUTED_VALUE"""),0.33)</f>
        <v>0.33</v>
      </c>
      <c r="AW740" s="14">
        <f>IFERROR(__xludf.DUMMYFUNCTION("""COMPUTED_VALUE"""),5.6)</f>
        <v>5.6</v>
      </c>
      <c r="AX740" s="14">
        <f>IFERROR(__xludf.DUMMYFUNCTION("""COMPUTED_VALUE"""),48700.0)</f>
        <v>48700</v>
      </c>
      <c r="AY740" s="14">
        <f>IFERROR(__xludf.DUMMYFUNCTION("""COMPUTED_VALUE"""),1.4)</f>
        <v>1.4</v>
      </c>
      <c r="AZ740" s="14">
        <f>IFERROR(__xludf.DUMMYFUNCTION("""COMPUTED_VALUE"""),0.295)</f>
        <v>0.295</v>
      </c>
      <c r="BA740" s="14">
        <f t="shared" si="1"/>
        <v>7.295</v>
      </c>
    </row>
    <row r="741" ht="14.25" customHeight="1">
      <c r="A741" s="10" t="str">
        <f>IFERROR(__xludf.DUMMYFUNCTION("""COMPUTED_VALUE"""),"211022DA03")</f>
        <v>211022DA03</v>
      </c>
      <c r="B741" s="12" t="str">
        <f>IFERROR(__xludf.DUMMYFUNCTION("""COMPUTED_VALUE"""),"CRN-Entre Ríos")</f>
        <v>CRN-Entre Ríos</v>
      </c>
      <c r="C741" s="12"/>
      <c r="D741" s="12"/>
      <c r="E741" s="44">
        <f>IFERROR(__xludf.DUMMYFUNCTION("""COMPUTED_VALUE"""),44855.0)</f>
        <v>44855</v>
      </c>
      <c r="F741" s="12" t="str">
        <f>IFERROR(__xludf.DUMMYFUNCTION("""COMPUTED_VALUE"""),"TIPO I")</f>
        <v>TIPO I</v>
      </c>
      <c r="G741" s="12" t="str">
        <f>IFERROR(__xludf.DUMMYFUNCTION("""COMPUTED_VALUE"""),"Presenta coloración, se perciben olores, se observa material flotante, durante el monitoreo se observa una baja conductividad por lo cual se realiza verificación del equipo (calibración)y se vuelve a medir")</f>
        <v>Presenta coloración, se perciben olores, se observa material flotante, durante el monitoreo se observa una baja conductividad por lo cual se realiza verificación del equipo (calibración)y se vuelve a medir</v>
      </c>
      <c r="H741" s="45">
        <f>IFERROR(__xludf.DUMMYFUNCTION("""COMPUTED_VALUE"""),0.5833333333321207)</f>
        <v>0.5833333333</v>
      </c>
      <c r="I741" s="45">
        <f>IFERROR(__xludf.DUMMYFUNCTION("""COMPUTED_VALUE"""),0.6666666666678793)</f>
        <v>0.6666666667</v>
      </c>
      <c r="J741" s="12">
        <f>IFERROR(__xludf.DUMMYFUNCTION("""COMPUTED_VALUE"""),11.2)</f>
        <v>11.2</v>
      </c>
      <c r="K741" s="12">
        <f>IFERROR(__xludf.DUMMYFUNCTION("""COMPUTED_VALUE"""),0.5)</f>
        <v>0.5</v>
      </c>
      <c r="L741" s="14">
        <f>IFERROR(__xludf.DUMMYFUNCTION("""COMPUTED_VALUE"""),1745.292)</f>
        <v>1745.292</v>
      </c>
      <c r="M741" s="14">
        <f>IFERROR(__xludf.DUMMYFUNCTION("""COMPUTED_VALUE"""),1714.159)</f>
        <v>1714.159</v>
      </c>
      <c r="N741" s="14">
        <f>IFERROR(__xludf.DUMMYFUNCTION("""COMPUTED_VALUE"""),1687.383)</f>
        <v>1687.383</v>
      </c>
      <c r="O741" s="14">
        <f>IFERROR(__xludf.DUMMYFUNCTION("""COMPUTED_VALUE"""),1731.2)</f>
        <v>1731.2</v>
      </c>
      <c r="P741" s="14">
        <f>IFERROR(__xludf.DUMMYFUNCTION("""COMPUTED_VALUE"""),1674.137)</f>
        <v>1674.137</v>
      </c>
      <c r="Q741" s="14">
        <f>IFERROR(__xludf.DUMMYFUNCTION("""COMPUTED_VALUE"""),1710.434)</f>
        <v>1710.434</v>
      </c>
      <c r="R741" s="48">
        <f>IFERROR(__xludf.DUMMYFUNCTION("""COMPUTED_VALUE"""),7.25)</f>
        <v>7.25</v>
      </c>
      <c r="S741" s="48">
        <f>IFERROR(__xludf.DUMMYFUNCTION("""COMPUTED_VALUE"""),7.23)</f>
        <v>7.23</v>
      </c>
      <c r="T741" s="48">
        <f>IFERROR(__xludf.DUMMYFUNCTION("""COMPUTED_VALUE"""),7.19)</f>
        <v>7.19</v>
      </c>
      <c r="U741" s="48">
        <f>IFERROR(__xludf.DUMMYFUNCTION("""COMPUTED_VALUE"""),7.21)</f>
        <v>7.21</v>
      </c>
      <c r="V741" s="48">
        <f>IFERROR(__xludf.DUMMYFUNCTION("""COMPUTED_VALUE"""),7.07)</f>
        <v>7.07</v>
      </c>
      <c r="W741" s="14">
        <f>IFERROR(__xludf.DUMMYFUNCTION("""COMPUTED_VALUE"""),7.19)</f>
        <v>7.19</v>
      </c>
      <c r="X741" s="14">
        <f>IFERROR(__xludf.DUMMYFUNCTION("""COMPUTED_VALUE"""),17.7)</f>
        <v>17.7</v>
      </c>
      <c r="Y741" s="14">
        <f>IFERROR(__xludf.DUMMYFUNCTION("""COMPUTED_VALUE"""),16.8)</f>
        <v>16.8</v>
      </c>
      <c r="Z741" s="14">
        <f>IFERROR(__xludf.DUMMYFUNCTION("""COMPUTED_VALUE"""),17.0)</f>
        <v>17</v>
      </c>
      <c r="AA741" s="14">
        <f>IFERROR(__xludf.DUMMYFUNCTION("""COMPUTED_VALUE"""),16.7)</f>
        <v>16.7</v>
      </c>
      <c r="AB741" s="14">
        <f>IFERROR(__xludf.DUMMYFUNCTION("""COMPUTED_VALUE"""),16.6)</f>
        <v>16.6</v>
      </c>
      <c r="AC741" s="14">
        <f>IFERROR(__xludf.DUMMYFUNCTION("""COMPUTED_VALUE"""),16.96)</f>
        <v>16.96</v>
      </c>
      <c r="AD741" s="48">
        <f>IFERROR(__xludf.DUMMYFUNCTION("""COMPUTED_VALUE"""),180.0)</f>
        <v>180</v>
      </c>
      <c r="AE741" s="48">
        <f>IFERROR(__xludf.DUMMYFUNCTION("""COMPUTED_VALUE"""),148.6)</f>
        <v>148.6</v>
      </c>
      <c r="AF741" s="48">
        <f>IFERROR(__xludf.DUMMYFUNCTION("""COMPUTED_VALUE"""),167.1)</f>
        <v>167.1</v>
      </c>
      <c r="AG741" s="48">
        <f>IFERROR(__xludf.DUMMYFUNCTION("""COMPUTED_VALUE"""),165.3)</f>
        <v>165.3</v>
      </c>
      <c r="AH741" s="48">
        <f>IFERROR(__xludf.DUMMYFUNCTION("""COMPUTED_VALUE"""),153.4)</f>
        <v>153.4</v>
      </c>
      <c r="AI741" s="14">
        <f>IFERROR(__xludf.DUMMYFUNCTION("""COMPUTED_VALUE"""),162.88)</f>
        <v>162.88</v>
      </c>
      <c r="AJ741" s="14">
        <f>IFERROR(__xludf.DUMMYFUNCTION("""COMPUTED_VALUE"""),4.99)</f>
        <v>4.99</v>
      </c>
      <c r="AK741" s="14">
        <f>IFERROR(__xludf.DUMMYFUNCTION("""COMPUTED_VALUE"""),5.7)</f>
        <v>5.7</v>
      </c>
      <c r="AL741" s="14">
        <f>IFERROR(__xludf.DUMMYFUNCTION("""COMPUTED_VALUE"""),5.53)</f>
        <v>5.53</v>
      </c>
      <c r="AM741" s="14">
        <f>IFERROR(__xludf.DUMMYFUNCTION("""COMPUTED_VALUE"""),5.23)</f>
        <v>5.23</v>
      </c>
      <c r="AN741" s="14">
        <f>IFERROR(__xludf.DUMMYFUNCTION("""COMPUTED_VALUE"""),5.11)</f>
        <v>5.11</v>
      </c>
      <c r="AO741" s="14">
        <f>IFERROR(__xludf.DUMMYFUNCTION("""COMPUTED_VALUE"""),5.312)</f>
        <v>5.312</v>
      </c>
      <c r="AP741" s="14">
        <f>IFERROR(__xludf.DUMMYFUNCTION("""COMPUTED_VALUE"""),48.0)</f>
        <v>48</v>
      </c>
      <c r="AQ741" s="14">
        <f>IFERROR(__xludf.DUMMYFUNCTION("""COMPUTED_VALUE"""),65.0)</f>
        <v>65</v>
      </c>
      <c r="AR741" s="14">
        <f>IFERROR(__xludf.DUMMYFUNCTION("""COMPUTED_VALUE"""),128.0)</f>
        <v>128</v>
      </c>
      <c r="AS741" s="14">
        <f>IFERROR(__xludf.DUMMYFUNCTION("""COMPUTED_VALUE"""),1.2)</f>
        <v>1.2</v>
      </c>
      <c r="AT741" s="14">
        <f>IFERROR(__xludf.DUMMYFUNCTION("""COMPUTED_VALUE"""),1.33)</f>
        <v>1.33</v>
      </c>
      <c r="AU741" s="14">
        <f>IFERROR(__xludf.DUMMYFUNCTION("""COMPUTED_VALUE"""),191800.0)</f>
        <v>191800</v>
      </c>
      <c r="AV741" s="14">
        <f>IFERROR(__xludf.DUMMYFUNCTION("""COMPUTED_VALUE"""),0.38)</f>
        <v>0.38</v>
      </c>
      <c r="AW741" s="14">
        <f>IFERROR(__xludf.DUMMYFUNCTION("""COMPUTED_VALUE"""),7.0)</f>
        <v>7</v>
      </c>
      <c r="AX741" s="14">
        <f>IFERROR(__xludf.DUMMYFUNCTION("""COMPUTED_VALUE"""),160700.0)</f>
        <v>160700</v>
      </c>
      <c r="AY741" s="14">
        <f>IFERROR(__xludf.DUMMYFUNCTION("""COMPUTED_VALUE"""),0.3)</f>
        <v>0.3</v>
      </c>
      <c r="AZ741" s="14">
        <f>IFERROR(__xludf.DUMMYFUNCTION("""COMPUTED_VALUE"""),0.029)</f>
        <v>0.029</v>
      </c>
      <c r="BA741" s="14">
        <f t="shared" si="1"/>
        <v>7.329</v>
      </c>
    </row>
    <row r="742" ht="14.25" customHeight="1">
      <c r="A742" s="10" t="str">
        <f>IFERROR(__xludf.DUMMYFUNCTION("""COMPUTED_VALUE"""),"181022DU01")</f>
        <v>181022DU01</v>
      </c>
      <c r="B742" s="12" t="str">
        <f>IFERROR(__xludf.DUMMYFUNCTION("""COMPUTED_VALUE"""),"QTR-Quiba")</f>
        <v>QTR-Quiba</v>
      </c>
      <c r="C742" s="12"/>
      <c r="D742" s="12"/>
      <c r="E742" s="44">
        <f>IFERROR(__xludf.DUMMYFUNCTION("""COMPUTED_VALUE"""),44852.0)</f>
        <v>44852</v>
      </c>
      <c r="F742" s="12" t="str">
        <f>IFERROR(__xludf.DUMMYFUNCTION("""COMPUTED_VALUE"""),"TIPO I")</f>
        <v>TIPO I</v>
      </c>
      <c r="G742" s="12" t="str">
        <f>IFERROR(__xludf.DUMMYFUNCTION("""COMPUTED_VALUE"""),"Lecho rocoso. Durante el monitoreo se observa color y se percibe olor. ")</f>
        <v>Lecho rocoso. Durante el monitoreo se observa color y se percibe olor. </v>
      </c>
      <c r="H742" s="45">
        <f>IFERROR(__xludf.DUMMYFUNCTION("""COMPUTED_VALUE"""),0.3333333333321207)</f>
        <v>0.3333333333</v>
      </c>
      <c r="I742" s="45">
        <f>IFERROR(__xludf.DUMMYFUNCTION("""COMPUTED_VALUE"""),0.4166666666678793)</f>
        <v>0.4166666667</v>
      </c>
      <c r="J742" s="12">
        <f>IFERROR(__xludf.DUMMYFUNCTION("""COMPUTED_VALUE"""),1.0)</f>
        <v>1</v>
      </c>
      <c r="K742" s="12">
        <f>IFERROR(__xludf.DUMMYFUNCTION("""COMPUTED_VALUE"""),0.09)</f>
        <v>0.09</v>
      </c>
      <c r="L742" s="14">
        <f>IFERROR(__xludf.DUMMYFUNCTION("""COMPUTED_VALUE"""),22.13)</f>
        <v>22.13</v>
      </c>
      <c r="M742" s="14">
        <f>IFERROR(__xludf.DUMMYFUNCTION("""COMPUTED_VALUE"""),24.399)</f>
        <v>24.399</v>
      </c>
      <c r="N742" s="14">
        <f>IFERROR(__xludf.DUMMYFUNCTION("""COMPUTED_VALUE"""),25.041)</f>
        <v>25.041</v>
      </c>
      <c r="O742" s="14">
        <f>IFERROR(__xludf.DUMMYFUNCTION("""COMPUTED_VALUE"""),24.293)</f>
        <v>24.293</v>
      </c>
      <c r="P742" s="14">
        <f>IFERROR(__xludf.DUMMYFUNCTION("""COMPUTED_VALUE"""),24.568)</f>
        <v>24.568</v>
      </c>
      <c r="Q742" s="14">
        <f>IFERROR(__xludf.DUMMYFUNCTION("""COMPUTED_VALUE"""),24.086)</f>
        <v>24.086</v>
      </c>
      <c r="R742" s="48">
        <f>IFERROR(__xludf.DUMMYFUNCTION("""COMPUTED_VALUE"""),8.58)</f>
        <v>8.58</v>
      </c>
      <c r="S742" s="48">
        <f>IFERROR(__xludf.DUMMYFUNCTION("""COMPUTED_VALUE"""),8.42)</f>
        <v>8.42</v>
      </c>
      <c r="T742" s="48">
        <f>IFERROR(__xludf.DUMMYFUNCTION("""COMPUTED_VALUE"""),8.18)</f>
        <v>8.18</v>
      </c>
      <c r="U742" s="48">
        <f>IFERROR(__xludf.DUMMYFUNCTION("""COMPUTED_VALUE"""),8.23)</f>
        <v>8.23</v>
      </c>
      <c r="V742" s="48">
        <f>IFERROR(__xludf.DUMMYFUNCTION("""COMPUTED_VALUE"""),8.18)</f>
        <v>8.18</v>
      </c>
      <c r="W742" s="14">
        <f>IFERROR(__xludf.DUMMYFUNCTION("""COMPUTED_VALUE"""),8.318)</f>
        <v>8.318</v>
      </c>
      <c r="X742" s="14">
        <f>IFERROR(__xludf.DUMMYFUNCTION("""COMPUTED_VALUE"""),14.0)</f>
        <v>14</v>
      </c>
      <c r="Y742" s="14">
        <f>IFERROR(__xludf.DUMMYFUNCTION("""COMPUTED_VALUE"""),14.3)</f>
        <v>14.3</v>
      </c>
      <c r="Z742" s="14">
        <f>IFERROR(__xludf.DUMMYFUNCTION("""COMPUTED_VALUE"""),16.4)</f>
        <v>16.4</v>
      </c>
      <c r="AA742" s="14">
        <f>IFERROR(__xludf.DUMMYFUNCTION("""COMPUTED_VALUE"""),16.5)</f>
        <v>16.5</v>
      </c>
      <c r="AB742" s="14">
        <f>IFERROR(__xludf.DUMMYFUNCTION("""COMPUTED_VALUE"""),16.3)</f>
        <v>16.3</v>
      </c>
      <c r="AC742" s="14">
        <f>IFERROR(__xludf.DUMMYFUNCTION("""COMPUTED_VALUE"""),15.5)</f>
        <v>15.5</v>
      </c>
      <c r="AD742" s="48">
        <f>IFERROR(__xludf.DUMMYFUNCTION("""COMPUTED_VALUE"""),740.0)</f>
        <v>740</v>
      </c>
      <c r="AE742" s="48">
        <f>IFERROR(__xludf.DUMMYFUNCTION("""COMPUTED_VALUE"""),602.0)</f>
        <v>602</v>
      </c>
      <c r="AF742" s="48">
        <f>IFERROR(__xludf.DUMMYFUNCTION("""COMPUTED_VALUE"""),606.0)</f>
        <v>606</v>
      </c>
      <c r="AG742" s="48">
        <f>IFERROR(__xludf.DUMMYFUNCTION("""COMPUTED_VALUE"""),596.0)</f>
        <v>596</v>
      </c>
      <c r="AH742" s="48">
        <f>IFERROR(__xludf.DUMMYFUNCTION("""COMPUTED_VALUE"""),615.0)</f>
        <v>615</v>
      </c>
      <c r="AI742" s="14">
        <f>IFERROR(__xludf.DUMMYFUNCTION("""COMPUTED_VALUE"""),631.8)</f>
        <v>631.8</v>
      </c>
      <c r="AJ742" s="14">
        <f>IFERROR(__xludf.DUMMYFUNCTION("""COMPUTED_VALUE"""),4.55)</f>
        <v>4.55</v>
      </c>
      <c r="AK742" s="14">
        <f>IFERROR(__xludf.DUMMYFUNCTION("""COMPUTED_VALUE"""),4.82)</f>
        <v>4.82</v>
      </c>
      <c r="AL742" s="14">
        <f>IFERROR(__xludf.DUMMYFUNCTION("""COMPUTED_VALUE"""),4.15)</f>
        <v>4.15</v>
      </c>
      <c r="AM742" s="14">
        <f>IFERROR(__xludf.DUMMYFUNCTION("""COMPUTED_VALUE"""),4.94)</f>
        <v>4.94</v>
      </c>
      <c r="AN742" s="14">
        <f>IFERROR(__xludf.DUMMYFUNCTION("""COMPUTED_VALUE"""),4.09)</f>
        <v>4.09</v>
      </c>
      <c r="AO742" s="14">
        <f>IFERROR(__xludf.DUMMYFUNCTION("""COMPUTED_VALUE"""),4.51)</f>
        <v>4.51</v>
      </c>
      <c r="AP742" s="14">
        <f>IFERROR(__xludf.DUMMYFUNCTION("""COMPUTED_VALUE"""),25.0)</f>
        <v>25</v>
      </c>
      <c r="AQ742" s="14">
        <f>IFERROR(__xludf.DUMMYFUNCTION("""COMPUTED_VALUE"""),38.0)</f>
        <v>38</v>
      </c>
      <c r="AR742" s="14">
        <f>IFERROR(__xludf.DUMMYFUNCTION("""COMPUTED_VALUE"""),127.0)</f>
        <v>127</v>
      </c>
      <c r="AS742" s="14">
        <f>IFERROR(__xludf.DUMMYFUNCTION("""COMPUTED_VALUE"""),1.2)</f>
        <v>1.2</v>
      </c>
      <c r="AT742" s="14">
        <f>IFERROR(__xludf.DUMMYFUNCTION("""COMPUTED_VALUE"""),2.08)</f>
        <v>2.08</v>
      </c>
      <c r="AU742" s="14">
        <f>IFERROR(__xludf.DUMMYFUNCTION("""COMPUTED_VALUE"""),1.106E7)</f>
        <v>11060000</v>
      </c>
      <c r="AV742" s="14">
        <f>IFERROR(__xludf.DUMMYFUNCTION("""COMPUTED_VALUE"""),1.78)</f>
        <v>1.78</v>
      </c>
      <c r="AW742" s="14">
        <f>IFERROR(__xludf.DUMMYFUNCTION("""COMPUTED_VALUE"""),15.7)</f>
        <v>15.7</v>
      </c>
      <c r="AX742" s="14">
        <f>IFERROR(__xludf.DUMMYFUNCTION("""COMPUTED_VALUE"""),934000.0)</f>
        <v>934000</v>
      </c>
      <c r="AY742" s="14">
        <f>IFERROR(__xludf.DUMMYFUNCTION("""COMPUTED_VALUE"""),0.4)</f>
        <v>0.4</v>
      </c>
      <c r="AZ742" s="14">
        <f>IFERROR(__xludf.DUMMYFUNCTION("""COMPUTED_VALUE"""),0.007)</f>
        <v>0.007</v>
      </c>
      <c r="BA742" s="14">
        <f t="shared" si="1"/>
        <v>16.107</v>
      </c>
    </row>
    <row r="743" ht="14.25" customHeight="1">
      <c r="A743" s="10" t="str">
        <f>IFERROR(__xludf.DUMMYFUNCTION("""COMPUTED_VALUE"""),"181022DU02")</f>
        <v>181022DU02</v>
      </c>
      <c r="B743" s="12" t="str">
        <f>IFERROR(__xludf.DUMMYFUNCTION("""COMPUTED_VALUE"""),"QTR-Acapulco")</f>
        <v>QTR-Acapulco</v>
      </c>
      <c r="C743" s="12"/>
      <c r="D743" s="12"/>
      <c r="E743" s="44">
        <f>IFERROR(__xludf.DUMMYFUNCTION("""COMPUTED_VALUE"""),44852.0)</f>
        <v>44852</v>
      </c>
      <c r="F743" s="12" t="str">
        <f>IFERROR(__xludf.DUMMYFUNCTION("""COMPUTED_VALUE"""),"TIPO I")</f>
        <v>TIPO I</v>
      </c>
      <c r="G743" s="12" t="str">
        <f>IFERROR(__xludf.DUMMYFUNCTION("""COMPUTED_VALUE"""),"Estructura del canal natural, lecho rocoso, lodoso - arenoso, se observa color y se percibe olor, después de la tercer alícuota se observa cambio de color.
Altitud: 2650 msnm. ")</f>
        <v>Estructura del canal natural, lecho rocoso, lodoso - arenoso, se observa color y se percibe olor, después de la tercer alícuota se observa cambio de color.
Altitud: 2650 msnm. </v>
      </c>
      <c r="H743" s="45">
        <f>IFERROR(__xludf.DUMMYFUNCTION("""COMPUTED_VALUE"""),0.5)</f>
        <v>0.5</v>
      </c>
      <c r="I743" s="45">
        <f>IFERROR(__xludf.DUMMYFUNCTION("""COMPUTED_VALUE"""),0.5833333333321207)</f>
        <v>0.5833333333</v>
      </c>
      <c r="J743" s="12">
        <f>IFERROR(__xludf.DUMMYFUNCTION("""COMPUTED_VALUE"""),1.1)</f>
        <v>1.1</v>
      </c>
      <c r="K743" s="12">
        <f>IFERROR(__xludf.DUMMYFUNCTION("""COMPUTED_VALUE"""),0.21)</f>
        <v>0.21</v>
      </c>
      <c r="L743" s="14">
        <f>IFERROR(__xludf.DUMMYFUNCTION("""COMPUTED_VALUE"""),39.428)</f>
        <v>39.428</v>
      </c>
      <c r="M743" s="14">
        <f>IFERROR(__xludf.DUMMYFUNCTION("""COMPUTED_VALUE"""),39.233)</f>
        <v>39.233</v>
      </c>
      <c r="N743" s="14">
        <f>IFERROR(__xludf.DUMMYFUNCTION("""COMPUTED_VALUE"""),41.665)</f>
        <v>41.665</v>
      </c>
      <c r="O743" s="14">
        <f>IFERROR(__xludf.DUMMYFUNCTION("""COMPUTED_VALUE"""),42.818)</f>
        <v>42.818</v>
      </c>
      <c r="P743" s="14">
        <f>IFERROR(__xludf.DUMMYFUNCTION("""COMPUTED_VALUE"""),40.206)</f>
        <v>40.206</v>
      </c>
      <c r="Q743" s="14">
        <f>IFERROR(__xludf.DUMMYFUNCTION("""COMPUTED_VALUE"""),40.67)</f>
        <v>40.67</v>
      </c>
      <c r="R743" s="48">
        <f>IFERROR(__xludf.DUMMYFUNCTION("""COMPUTED_VALUE"""),8.63)</f>
        <v>8.63</v>
      </c>
      <c r="S743" s="48">
        <f>IFERROR(__xludf.DUMMYFUNCTION("""COMPUTED_VALUE"""),8.35)</f>
        <v>8.35</v>
      </c>
      <c r="T743" s="48">
        <f>IFERROR(__xludf.DUMMYFUNCTION("""COMPUTED_VALUE"""),9.28)</f>
        <v>9.28</v>
      </c>
      <c r="U743" s="48">
        <f>IFERROR(__xludf.DUMMYFUNCTION("""COMPUTED_VALUE"""),8.86)</f>
        <v>8.86</v>
      </c>
      <c r="V743" s="48">
        <f>IFERROR(__xludf.DUMMYFUNCTION("""COMPUTED_VALUE"""),8.68)</f>
        <v>8.68</v>
      </c>
      <c r="W743" s="14">
        <f>IFERROR(__xludf.DUMMYFUNCTION("""COMPUTED_VALUE"""),8.76)</f>
        <v>8.76</v>
      </c>
      <c r="X743" s="14">
        <f>IFERROR(__xludf.DUMMYFUNCTION("""COMPUTED_VALUE"""),17.4)</f>
        <v>17.4</v>
      </c>
      <c r="Y743" s="14">
        <f>IFERROR(__xludf.DUMMYFUNCTION("""COMPUTED_VALUE"""),17.2)</f>
        <v>17.2</v>
      </c>
      <c r="Z743" s="14">
        <f>IFERROR(__xludf.DUMMYFUNCTION("""COMPUTED_VALUE"""),16.0)</f>
        <v>16</v>
      </c>
      <c r="AA743" s="14">
        <f>IFERROR(__xludf.DUMMYFUNCTION("""COMPUTED_VALUE"""),16.7)</f>
        <v>16.7</v>
      </c>
      <c r="AB743" s="14">
        <f>IFERROR(__xludf.DUMMYFUNCTION("""COMPUTED_VALUE"""),16.3)</f>
        <v>16.3</v>
      </c>
      <c r="AC743" s="14">
        <f>IFERROR(__xludf.DUMMYFUNCTION("""COMPUTED_VALUE"""),16.72)</f>
        <v>16.72</v>
      </c>
      <c r="AD743" s="48">
        <f>IFERROR(__xludf.DUMMYFUNCTION("""COMPUTED_VALUE"""),590.0)</f>
        <v>590</v>
      </c>
      <c r="AE743" s="48">
        <f>IFERROR(__xludf.DUMMYFUNCTION("""COMPUTED_VALUE"""),611.0)</f>
        <v>611</v>
      </c>
      <c r="AF743" s="48">
        <f>IFERROR(__xludf.DUMMYFUNCTION("""COMPUTED_VALUE"""),603.0)</f>
        <v>603</v>
      </c>
      <c r="AG743" s="48">
        <f>IFERROR(__xludf.DUMMYFUNCTION("""COMPUTED_VALUE"""),625.0)</f>
        <v>625</v>
      </c>
      <c r="AH743" s="48">
        <f>IFERROR(__xludf.DUMMYFUNCTION("""COMPUTED_VALUE"""),594.0)</f>
        <v>594</v>
      </c>
      <c r="AI743" s="14">
        <f>IFERROR(__xludf.DUMMYFUNCTION("""COMPUTED_VALUE"""),604.6)</f>
        <v>604.6</v>
      </c>
      <c r="AJ743" s="14">
        <f>IFERROR(__xludf.DUMMYFUNCTION("""COMPUTED_VALUE"""),4.77)</f>
        <v>4.77</v>
      </c>
      <c r="AK743" s="14">
        <f>IFERROR(__xludf.DUMMYFUNCTION("""COMPUTED_VALUE"""),4.24)</f>
        <v>4.24</v>
      </c>
      <c r="AL743" s="14">
        <f>IFERROR(__xludf.DUMMYFUNCTION("""COMPUTED_VALUE"""),3.8)</f>
        <v>3.8</v>
      </c>
      <c r="AM743" s="14">
        <f>IFERROR(__xludf.DUMMYFUNCTION("""COMPUTED_VALUE"""),4.02)</f>
        <v>4.02</v>
      </c>
      <c r="AN743" s="14">
        <f>IFERROR(__xludf.DUMMYFUNCTION("""COMPUTED_VALUE"""),4.73)</f>
        <v>4.73</v>
      </c>
      <c r="AO743" s="14">
        <f>IFERROR(__xludf.DUMMYFUNCTION("""COMPUTED_VALUE"""),4.311999999999999)</f>
        <v>4.312</v>
      </c>
      <c r="AP743" s="14">
        <f>IFERROR(__xludf.DUMMYFUNCTION("""COMPUTED_VALUE"""),32.0)</f>
        <v>32</v>
      </c>
      <c r="AQ743" s="14">
        <f>IFERROR(__xludf.DUMMYFUNCTION("""COMPUTED_VALUE"""),50.0)</f>
        <v>50</v>
      </c>
      <c r="AR743" s="14">
        <f>IFERROR(__xludf.DUMMYFUNCTION("""COMPUTED_VALUE"""),528.0)</f>
        <v>528</v>
      </c>
      <c r="AS743" s="14">
        <f>IFERROR(__xludf.DUMMYFUNCTION("""COMPUTED_VALUE"""),1.2)</f>
        <v>1.2</v>
      </c>
      <c r="AT743" s="14">
        <f>IFERROR(__xludf.DUMMYFUNCTION("""COMPUTED_VALUE"""),1.66)</f>
        <v>1.66</v>
      </c>
      <c r="AU743" s="14">
        <f>IFERROR(__xludf.DUMMYFUNCTION("""COMPUTED_VALUE"""),1.145E8)</f>
        <v>114500000</v>
      </c>
      <c r="AV743" s="14">
        <f>IFERROR(__xludf.DUMMYFUNCTION("""COMPUTED_VALUE"""),2.19)</f>
        <v>2.19</v>
      </c>
      <c r="AW743" s="14">
        <f>IFERROR(__xludf.DUMMYFUNCTION("""COMPUTED_VALUE"""),22.7)</f>
        <v>22.7</v>
      </c>
      <c r="AX743" s="14">
        <f>IFERROR(__xludf.DUMMYFUNCTION("""COMPUTED_VALUE"""),9.59E7)</f>
        <v>95900000</v>
      </c>
      <c r="AY743" s="14">
        <f>IFERROR(__xludf.DUMMYFUNCTION("""COMPUTED_VALUE"""),0.4)</f>
        <v>0.4</v>
      </c>
      <c r="AZ743" s="14">
        <f>IFERROR(__xludf.DUMMYFUNCTION("""COMPUTED_VALUE"""),0.007)</f>
        <v>0.007</v>
      </c>
      <c r="BA743" s="14">
        <f t="shared" si="1"/>
        <v>23.107</v>
      </c>
    </row>
    <row r="744" ht="14.25" customHeight="1">
      <c r="A744" s="10" t="str">
        <f>IFERROR(__xludf.DUMMYFUNCTION("""COMPUTED_VALUE"""),"201022HA01")</f>
        <v>201022HA01</v>
      </c>
      <c r="B744" s="12" t="str">
        <f>IFERROR(__xludf.DUMMYFUNCTION("""COMPUTED_VALUE"""),"QSL-Portal Usme")</f>
        <v>QSL-Portal Usme</v>
      </c>
      <c r="C744" s="12"/>
      <c r="D744" s="12"/>
      <c r="E744" s="44">
        <f>IFERROR(__xludf.DUMMYFUNCTION("""COMPUTED_VALUE"""),44854.0)</f>
        <v>44854</v>
      </c>
      <c r="F744" s="12" t="str">
        <f>IFERROR(__xludf.DUMMYFUNCTION("""COMPUTED_VALUE"""),"TIPO I")</f>
        <v>TIPO I</v>
      </c>
      <c r="G744" s="12" t="str">
        <f>IFERROR(__xludf.DUMMYFUNCTION("""COMPUTED_VALUE"""),"Estructura del canal en concreto, durante el monitoreo se observa color y se percibe olor, se presentan lluvias antes de la ultima alícuota.
Altitud: 2571 msnm ")</f>
        <v>Estructura del canal en concreto, durante el monitoreo se observa color y se percibe olor, se presentan lluvias antes de la ultima alícuota.
Altitud: 2571 msnm </v>
      </c>
      <c r="H744" s="45">
        <f>IFERROR(__xludf.DUMMYFUNCTION("""COMPUTED_VALUE"""),0.3333333333321207)</f>
        <v>0.3333333333</v>
      </c>
      <c r="I744" s="45">
        <f>IFERROR(__xludf.DUMMYFUNCTION("""COMPUTED_VALUE"""),0.4166666666678793)</f>
        <v>0.4166666667</v>
      </c>
      <c r="J744" s="12">
        <f>IFERROR(__xludf.DUMMYFUNCTION("""COMPUTED_VALUE"""),1.5)</f>
        <v>1.5</v>
      </c>
      <c r="K744" s="12">
        <f>IFERROR(__xludf.DUMMYFUNCTION("""COMPUTED_VALUE"""),0.52)</f>
        <v>0.52</v>
      </c>
      <c r="L744" s="14">
        <f>IFERROR(__xludf.DUMMYFUNCTION("""COMPUTED_VALUE"""),130.648)</f>
        <v>130.648</v>
      </c>
      <c r="M744" s="14">
        <f>IFERROR(__xludf.DUMMYFUNCTION("""COMPUTED_VALUE"""),132.561)</f>
        <v>132.561</v>
      </c>
      <c r="N744" s="14">
        <f>IFERROR(__xludf.DUMMYFUNCTION("""COMPUTED_VALUE"""),128.388)</f>
        <v>128.388</v>
      </c>
      <c r="O744" s="14">
        <f>IFERROR(__xludf.DUMMYFUNCTION("""COMPUTED_VALUE"""),134.37)</f>
        <v>134.37</v>
      </c>
      <c r="P744" s="14"/>
      <c r="Q744" s="14">
        <f>IFERROR(__xludf.DUMMYFUNCTION("""COMPUTED_VALUE"""),131.492)</f>
        <v>131.492</v>
      </c>
      <c r="R744" s="48">
        <f>IFERROR(__xludf.DUMMYFUNCTION("""COMPUTED_VALUE"""),8.07)</f>
        <v>8.07</v>
      </c>
      <c r="S744" s="48">
        <f>IFERROR(__xludf.DUMMYFUNCTION("""COMPUTED_VALUE"""),7.79)</f>
        <v>7.79</v>
      </c>
      <c r="T744" s="48">
        <f>IFERROR(__xludf.DUMMYFUNCTION("""COMPUTED_VALUE"""),7.63)</f>
        <v>7.63</v>
      </c>
      <c r="U744" s="48">
        <f>IFERROR(__xludf.DUMMYFUNCTION("""COMPUTED_VALUE"""),7.56)</f>
        <v>7.56</v>
      </c>
      <c r="V744" s="48"/>
      <c r="W744" s="14">
        <f>IFERROR(__xludf.DUMMYFUNCTION("""COMPUTED_VALUE"""),7.762499999999999)</f>
        <v>7.7625</v>
      </c>
      <c r="X744" s="14">
        <f>IFERROR(__xludf.DUMMYFUNCTION("""COMPUTED_VALUE"""),14.7)</f>
        <v>14.7</v>
      </c>
      <c r="Y744" s="14">
        <f>IFERROR(__xludf.DUMMYFUNCTION("""COMPUTED_VALUE"""),14.2)</f>
        <v>14.2</v>
      </c>
      <c r="Z744" s="14">
        <f>IFERROR(__xludf.DUMMYFUNCTION("""COMPUTED_VALUE"""),14.5)</f>
        <v>14.5</v>
      </c>
      <c r="AA744" s="14">
        <f>IFERROR(__xludf.DUMMYFUNCTION("""COMPUTED_VALUE"""),14.2)</f>
        <v>14.2</v>
      </c>
      <c r="AB744" s="14"/>
      <c r="AC744" s="14">
        <f>IFERROR(__xludf.DUMMYFUNCTION("""COMPUTED_VALUE"""),14.399999999999999)</f>
        <v>14.4</v>
      </c>
      <c r="AD744" s="48">
        <f>IFERROR(__xludf.DUMMYFUNCTION("""COMPUTED_VALUE"""),287.0)</f>
        <v>287</v>
      </c>
      <c r="AE744" s="48">
        <f>IFERROR(__xludf.DUMMYFUNCTION("""COMPUTED_VALUE"""),323.0)</f>
        <v>323</v>
      </c>
      <c r="AF744" s="48">
        <f>IFERROR(__xludf.DUMMYFUNCTION("""COMPUTED_VALUE"""),321.0)</f>
        <v>321</v>
      </c>
      <c r="AG744" s="48">
        <f>IFERROR(__xludf.DUMMYFUNCTION("""COMPUTED_VALUE"""),326.0)</f>
        <v>326</v>
      </c>
      <c r="AH744" s="48"/>
      <c r="AI744" s="14">
        <f>IFERROR(__xludf.DUMMYFUNCTION("""COMPUTED_VALUE"""),314.25)</f>
        <v>314.25</v>
      </c>
      <c r="AJ744" s="14">
        <f>IFERROR(__xludf.DUMMYFUNCTION("""COMPUTED_VALUE"""),6.74)</f>
        <v>6.74</v>
      </c>
      <c r="AK744" s="14">
        <f>IFERROR(__xludf.DUMMYFUNCTION("""COMPUTED_VALUE"""),6.48)</f>
        <v>6.48</v>
      </c>
      <c r="AL744" s="14">
        <f>IFERROR(__xludf.DUMMYFUNCTION("""COMPUTED_VALUE"""),5.36)</f>
        <v>5.36</v>
      </c>
      <c r="AM744" s="14">
        <f>IFERROR(__xludf.DUMMYFUNCTION("""COMPUTED_VALUE"""),5.54)</f>
        <v>5.54</v>
      </c>
      <c r="AN744" s="14"/>
      <c r="AO744" s="14">
        <f>IFERROR(__xludf.DUMMYFUNCTION("""COMPUTED_VALUE"""),6.03)</f>
        <v>6.03</v>
      </c>
      <c r="AP744" s="14">
        <f>IFERROR(__xludf.DUMMYFUNCTION("""COMPUTED_VALUE"""),20.0)</f>
        <v>20</v>
      </c>
      <c r="AQ744" s="14">
        <f>IFERROR(__xludf.DUMMYFUNCTION("""COMPUTED_VALUE"""),25.0)</f>
        <v>25</v>
      </c>
      <c r="AR744" s="14">
        <f>IFERROR(__xludf.DUMMYFUNCTION("""COMPUTED_VALUE"""),173.0)</f>
        <v>173</v>
      </c>
      <c r="AS744" s="14">
        <f>IFERROR(__xludf.DUMMYFUNCTION("""COMPUTED_VALUE"""),1.2)</f>
        <v>1.2</v>
      </c>
      <c r="AT744" s="14">
        <f>IFERROR(__xludf.DUMMYFUNCTION("""COMPUTED_VALUE"""),1.11)</f>
        <v>1.11</v>
      </c>
      <c r="AU744" s="14">
        <f>IFERROR(__xludf.DUMMYFUNCTION("""COMPUTED_VALUE"""),9340000.0)</f>
        <v>9340000</v>
      </c>
      <c r="AV744" s="14">
        <f>IFERROR(__xludf.DUMMYFUNCTION("""COMPUTED_VALUE"""),0.98)</f>
        <v>0.98</v>
      </c>
      <c r="AW744" s="14">
        <f>IFERROR(__xludf.DUMMYFUNCTION("""COMPUTED_VALUE"""),12.9)</f>
        <v>12.9</v>
      </c>
      <c r="AX744" s="14">
        <f>IFERROR(__xludf.DUMMYFUNCTION("""COMPUTED_VALUE"""),1281000.0)</f>
        <v>1281000</v>
      </c>
      <c r="AY744" s="14">
        <f>IFERROR(__xludf.DUMMYFUNCTION("""COMPUTED_VALUE"""),0.2)</f>
        <v>0.2</v>
      </c>
      <c r="AZ744" s="14">
        <f>IFERROR(__xludf.DUMMYFUNCTION("""COMPUTED_VALUE"""),0.007)</f>
        <v>0.007</v>
      </c>
      <c r="BA744" s="14">
        <f t="shared" si="1"/>
        <v>13.107</v>
      </c>
    </row>
    <row r="745" ht="14.25" customHeight="1">
      <c r="A745" s="10" t="str">
        <f>IFERROR(__xludf.DUMMYFUNCTION("""COMPUTED_VALUE"""),"201022HA02")</f>
        <v>201022HA02</v>
      </c>
      <c r="B745" s="12" t="str">
        <f>IFERROR(__xludf.DUMMYFUNCTION("""COMPUTED_VALUE"""),"QSL-Alfonso López")</f>
        <v>QSL-Alfonso López</v>
      </c>
      <c r="C745" s="12"/>
      <c r="D745" s="12"/>
      <c r="E745" s="44">
        <f>IFERROR(__xludf.DUMMYFUNCTION("""COMPUTED_VALUE"""),44854.0)</f>
        <v>44854</v>
      </c>
      <c r="F745" s="12" t="str">
        <f>IFERROR(__xludf.DUMMYFUNCTION("""COMPUTED_VALUE"""),"TIPO I")</f>
        <v>TIPO I</v>
      </c>
      <c r="G745" s="12" t="str">
        <f>IFERROR(__xludf.DUMMYFUNCTION("""COMPUTED_VALUE"""),"Canal natural, lecho rocoso - arenoso, durante el monitoreo se observa color y se percibe olor, se presenta lluvias antes del monitoreo y durante la primera alícuota.
Altitud: 2744 msnm. ")</f>
        <v>Canal natural, lecho rocoso - arenoso, durante el monitoreo se observa color y se percibe olor, se presenta lluvias antes del monitoreo y durante la primera alícuota.
Altitud: 2744 msnm. </v>
      </c>
      <c r="H745" s="45">
        <f>IFERROR(__xludf.DUMMYFUNCTION("""COMPUTED_VALUE"""),0.5)</f>
        <v>0.5</v>
      </c>
      <c r="I745" s="45">
        <f>IFERROR(__xludf.DUMMYFUNCTION("""COMPUTED_VALUE"""),0.5833333333321207)</f>
        <v>0.5833333333</v>
      </c>
      <c r="J745" s="12">
        <f>IFERROR(__xludf.DUMMYFUNCTION("""COMPUTED_VALUE"""),1.3)</f>
        <v>1.3</v>
      </c>
      <c r="K745" s="12">
        <f>IFERROR(__xludf.DUMMYFUNCTION("""COMPUTED_VALUE"""),0.17)</f>
        <v>0.17</v>
      </c>
      <c r="L745" s="14"/>
      <c r="M745" s="14">
        <f>IFERROR(__xludf.DUMMYFUNCTION("""COMPUTED_VALUE"""),94.501)</f>
        <v>94.501</v>
      </c>
      <c r="N745" s="14">
        <f>IFERROR(__xludf.DUMMYFUNCTION("""COMPUTED_VALUE"""),90.657)</f>
        <v>90.657</v>
      </c>
      <c r="O745" s="14">
        <f>IFERROR(__xludf.DUMMYFUNCTION("""COMPUTED_VALUE"""),82.963)</f>
        <v>82.963</v>
      </c>
      <c r="P745" s="14">
        <f>IFERROR(__xludf.DUMMYFUNCTION("""COMPUTED_VALUE"""),86.576)</f>
        <v>86.576</v>
      </c>
      <c r="Q745" s="14">
        <f>IFERROR(__xludf.DUMMYFUNCTION("""COMPUTED_VALUE"""),88.674)</f>
        <v>88.674</v>
      </c>
      <c r="R745" s="48"/>
      <c r="S745" s="48">
        <f>IFERROR(__xludf.DUMMYFUNCTION("""COMPUTED_VALUE"""),8.37)</f>
        <v>8.37</v>
      </c>
      <c r="T745" s="48">
        <f>IFERROR(__xludf.DUMMYFUNCTION("""COMPUTED_VALUE"""),7.73)</f>
        <v>7.73</v>
      </c>
      <c r="U745" s="48">
        <f>IFERROR(__xludf.DUMMYFUNCTION("""COMPUTED_VALUE"""),7.82)</f>
        <v>7.82</v>
      </c>
      <c r="V745" s="48">
        <f>IFERROR(__xludf.DUMMYFUNCTION("""COMPUTED_VALUE"""),7.62)</f>
        <v>7.62</v>
      </c>
      <c r="W745" s="14">
        <f>IFERROR(__xludf.DUMMYFUNCTION("""COMPUTED_VALUE"""),7.885000000000001)</f>
        <v>7.885</v>
      </c>
      <c r="X745" s="14"/>
      <c r="Y745" s="14">
        <f>IFERROR(__xludf.DUMMYFUNCTION("""COMPUTED_VALUE"""),12.8)</f>
        <v>12.8</v>
      </c>
      <c r="Z745" s="14">
        <f>IFERROR(__xludf.DUMMYFUNCTION("""COMPUTED_VALUE"""),12.5)</f>
        <v>12.5</v>
      </c>
      <c r="AA745" s="14">
        <f>IFERROR(__xludf.DUMMYFUNCTION("""COMPUTED_VALUE"""),14.0)</f>
        <v>14</v>
      </c>
      <c r="AB745" s="14">
        <f>IFERROR(__xludf.DUMMYFUNCTION("""COMPUTED_VALUE"""),12.4)</f>
        <v>12.4</v>
      </c>
      <c r="AC745" s="14">
        <f>IFERROR(__xludf.DUMMYFUNCTION("""COMPUTED_VALUE"""),12.924999999999999)</f>
        <v>12.925</v>
      </c>
      <c r="AD745" s="48"/>
      <c r="AE745" s="48">
        <f>IFERROR(__xludf.DUMMYFUNCTION("""COMPUTED_VALUE"""),183.1)</f>
        <v>183.1</v>
      </c>
      <c r="AF745" s="48">
        <f>IFERROR(__xludf.DUMMYFUNCTION("""COMPUTED_VALUE"""),174.7)</f>
        <v>174.7</v>
      </c>
      <c r="AG745" s="48">
        <f>IFERROR(__xludf.DUMMYFUNCTION("""COMPUTED_VALUE"""),177.1)</f>
        <v>177.1</v>
      </c>
      <c r="AH745" s="48">
        <f>IFERROR(__xludf.DUMMYFUNCTION("""COMPUTED_VALUE"""),174.2)</f>
        <v>174.2</v>
      </c>
      <c r="AI745" s="14">
        <f>IFERROR(__xludf.DUMMYFUNCTION("""COMPUTED_VALUE"""),177.27499999999998)</f>
        <v>177.275</v>
      </c>
      <c r="AJ745" s="14"/>
      <c r="AK745" s="14">
        <f>IFERROR(__xludf.DUMMYFUNCTION("""COMPUTED_VALUE"""),8.4)</f>
        <v>8.4</v>
      </c>
      <c r="AL745" s="14">
        <f>IFERROR(__xludf.DUMMYFUNCTION("""COMPUTED_VALUE"""),7.57)</f>
        <v>7.57</v>
      </c>
      <c r="AM745" s="14">
        <f>IFERROR(__xludf.DUMMYFUNCTION("""COMPUTED_VALUE"""),7.85)</f>
        <v>7.85</v>
      </c>
      <c r="AN745" s="14">
        <f>IFERROR(__xludf.DUMMYFUNCTION("""COMPUTED_VALUE"""),7.43)</f>
        <v>7.43</v>
      </c>
      <c r="AO745" s="14">
        <f>IFERROR(__xludf.DUMMYFUNCTION("""COMPUTED_VALUE"""),7.8125)</f>
        <v>7.8125</v>
      </c>
      <c r="AP745" s="14">
        <f>IFERROR(__xludf.DUMMYFUNCTION("""COMPUTED_VALUE"""),10.0)</f>
        <v>10</v>
      </c>
      <c r="AQ745" s="14">
        <f>IFERROR(__xludf.DUMMYFUNCTION("""COMPUTED_VALUE"""),13.0)</f>
        <v>13</v>
      </c>
      <c r="AR745" s="14">
        <f>IFERROR(__xludf.DUMMYFUNCTION("""COMPUTED_VALUE"""),532.0)</f>
        <v>532</v>
      </c>
      <c r="AS745" s="14">
        <f>IFERROR(__xludf.DUMMYFUNCTION("""COMPUTED_VALUE"""),40.0)</f>
        <v>40</v>
      </c>
      <c r="AT745" s="14">
        <f>IFERROR(__xludf.DUMMYFUNCTION("""COMPUTED_VALUE"""),0.07)</f>
        <v>0.07</v>
      </c>
      <c r="AU745" s="14">
        <f>IFERROR(__xludf.DUMMYFUNCTION("""COMPUTED_VALUE"""),185000.0)</f>
        <v>185000</v>
      </c>
      <c r="AV745" s="14">
        <f>IFERROR(__xludf.DUMMYFUNCTION("""COMPUTED_VALUE"""),0.41)</f>
        <v>0.41</v>
      </c>
      <c r="AW745" s="14">
        <f>IFERROR(__xludf.DUMMYFUNCTION("""COMPUTED_VALUE"""),1.0)</f>
        <v>1</v>
      </c>
      <c r="AX745" s="14">
        <f>IFERROR(__xludf.DUMMYFUNCTION("""COMPUTED_VALUE"""),77200.0)</f>
        <v>77200</v>
      </c>
      <c r="AY745" s="14">
        <f>IFERROR(__xludf.DUMMYFUNCTION("""COMPUTED_VALUE"""),2.3)</f>
        <v>2.3</v>
      </c>
      <c r="AZ745" s="14">
        <f>IFERROR(__xludf.DUMMYFUNCTION("""COMPUTED_VALUE"""),0.179)</f>
        <v>0.179</v>
      </c>
      <c r="BA745" s="14">
        <f t="shared" si="1"/>
        <v>3.479</v>
      </c>
    </row>
    <row r="746" ht="14.25" customHeight="1">
      <c r="A746" s="10" t="str">
        <f>IFERROR(__xludf.DUMMYFUNCTION("""COMPUTED_VALUE"""),"211022FE01")</f>
        <v>211022FE01</v>
      </c>
      <c r="B746" s="12" t="str">
        <f>IFERROR(__xludf.DUMMYFUNCTION("""COMPUTED_VALUE"""),"QLI-Bella Flor")</f>
        <v>QLI-Bella Flor</v>
      </c>
      <c r="C746" s="12"/>
      <c r="D746" s="12"/>
      <c r="E746" s="44">
        <f>IFERROR(__xludf.DUMMYFUNCTION("""COMPUTED_VALUE"""),44855.0)</f>
        <v>44855</v>
      </c>
      <c r="F746" s="12" t="str">
        <f>IFERROR(__xludf.DUMMYFUNCTION("""COMPUTED_VALUE"""),"TIPO I")</f>
        <v>TIPO I</v>
      </c>
      <c r="G746" s="12" t="str">
        <f>IFERROR(__xludf.DUMMYFUNCTION("""COMPUTED_VALUE"""),"Canal natural con lecho rocoso. Se percibe olor y se observa color.")</f>
        <v>Canal natural con lecho rocoso. Se percibe olor y se observa color.</v>
      </c>
      <c r="H746" s="45">
        <f>IFERROR(__xludf.DUMMYFUNCTION("""COMPUTED_VALUE"""),0.3333333333321207)</f>
        <v>0.3333333333</v>
      </c>
      <c r="I746" s="45">
        <f>IFERROR(__xludf.DUMMYFUNCTION("""COMPUTED_VALUE"""),0.4166666666678793)</f>
        <v>0.4166666667</v>
      </c>
      <c r="J746" s="12">
        <f>IFERROR(__xludf.DUMMYFUNCTION("""COMPUTED_VALUE"""),0.9)</f>
        <v>0.9</v>
      </c>
      <c r="K746" s="12">
        <f>IFERROR(__xludf.DUMMYFUNCTION("""COMPUTED_VALUE"""),0.15)</f>
        <v>0.15</v>
      </c>
      <c r="L746" s="14">
        <f>IFERROR(__xludf.DUMMYFUNCTION("""COMPUTED_VALUE"""),41.192)</f>
        <v>41.192</v>
      </c>
      <c r="M746" s="14">
        <f>IFERROR(__xludf.DUMMYFUNCTION("""COMPUTED_VALUE"""),44.512)</f>
        <v>44.512</v>
      </c>
      <c r="N746" s="14">
        <f>IFERROR(__xludf.DUMMYFUNCTION("""COMPUTED_VALUE"""),43.12)</f>
        <v>43.12</v>
      </c>
      <c r="O746" s="14">
        <f>IFERROR(__xludf.DUMMYFUNCTION("""COMPUTED_VALUE"""),42.627)</f>
        <v>42.627</v>
      </c>
      <c r="P746" s="14">
        <f>IFERROR(__xludf.DUMMYFUNCTION("""COMPUTED_VALUE"""),44.19)</f>
        <v>44.19</v>
      </c>
      <c r="Q746" s="14">
        <f>IFERROR(__xludf.DUMMYFUNCTION("""COMPUTED_VALUE"""),43.128)</f>
        <v>43.128</v>
      </c>
      <c r="R746" s="48">
        <f>IFERROR(__xludf.DUMMYFUNCTION("""COMPUTED_VALUE"""),7.71)</f>
        <v>7.71</v>
      </c>
      <c r="S746" s="48">
        <f>IFERROR(__xludf.DUMMYFUNCTION("""COMPUTED_VALUE"""),7.77)</f>
        <v>7.77</v>
      </c>
      <c r="T746" s="48">
        <f>IFERROR(__xludf.DUMMYFUNCTION("""COMPUTED_VALUE"""),7.75)</f>
        <v>7.75</v>
      </c>
      <c r="U746" s="48">
        <f>IFERROR(__xludf.DUMMYFUNCTION("""COMPUTED_VALUE"""),7.72)</f>
        <v>7.72</v>
      </c>
      <c r="V746" s="48">
        <f>IFERROR(__xludf.DUMMYFUNCTION("""COMPUTED_VALUE"""),7.73)</f>
        <v>7.73</v>
      </c>
      <c r="W746" s="14">
        <f>IFERROR(__xludf.DUMMYFUNCTION("""COMPUTED_VALUE"""),7.736)</f>
        <v>7.736</v>
      </c>
      <c r="X746" s="14">
        <f>IFERROR(__xludf.DUMMYFUNCTION("""COMPUTED_VALUE"""),13.08)</f>
        <v>13.08</v>
      </c>
      <c r="Y746" s="14">
        <f>IFERROR(__xludf.DUMMYFUNCTION("""COMPUTED_VALUE"""),13.32)</f>
        <v>13.32</v>
      </c>
      <c r="Z746" s="14">
        <f>IFERROR(__xludf.DUMMYFUNCTION("""COMPUTED_VALUE"""),13.32)</f>
        <v>13.32</v>
      </c>
      <c r="AA746" s="14">
        <f>IFERROR(__xludf.DUMMYFUNCTION("""COMPUTED_VALUE"""),13.57)</f>
        <v>13.57</v>
      </c>
      <c r="AB746" s="14">
        <f>IFERROR(__xludf.DUMMYFUNCTION("""COMPUTED_VALUE"""),13.61)</f>
        <v>13.61</v>
      </c>
      <c r="AC746" s="14">
        <f>IFERROR(__xludf.DUMMYFUNCTION("""COMPUTED_VALUE"""),13.38)</f>
        <v>13.38</v>
      </c>
      <c r="AD746" s="48">
        <f>IFERROR(__xludf.DUMMYFUNCTION("""COMPUTED_VALUE"""),289.0)</f>
        <v>289</v>
      </c>
      <c r="AE746" s="48">
        <f>IFERROR(__xludf.DUMMYFUNCTION("""COMPUTED_VALUE"""),285.0)</f>
        <v>285</v>
      </c>
      <c r="AF746" s="48">
        <f>IFERROR(__xludf.DUMMYFUNCTION("""COMPUTED_VALUE"""),284.0)</f>
        <v>284</v>
      </c>
      <c r="AG746" s="48">
        <f>IFERROR(__xludf.DUMMYFUNCTION("""COMPUTED_VALUE"""),299.0)</f>
        <v>299</v>
      </c>
      <c r="AH746" s="48">
        <f>IFERROR(__xludf.DUMMYFUNCTION("""COMPUTED_VALUE"""),316.0)</f>
        <v>316</v>
      </c>
      <c r="AI746" s="14">
        <f>IFERROR(__xludf.DUMMYFUNCTION("""COMPUTED_VALUE"""),294.6)</f>
        <v>294.6</v>
      </c>
      <c r="AJ746" s="14">
        <f>IFERROR(__xludf.DUMMYFUNCTION("""COMPUTED_VALUE"""),4.52)</f>
        <v>4.52</v>
      </c>
      <c r="AK746" s="14">
        <f>IFERROR(__xludf.DUMMYFUNCTION("""COMPUTED_VALUE"""),4.36)</f>
        <v>4.36</v>
      </c>
      <c r="AL746" s="14">
        <f>IFERROR(__xludf.DUMMYFUNCTION("""COMPUTED_VALUE"""),4.56)</f>
        <v>4.56</v>
      </c>
      <c r="AM746" s="14">
        <f>IFERROR(__xludf.DUMMYFUNCTION("""COMPUTED_VALUE"""),4.96)</f>
        <v>4.96</v>
      </c>
      <c r="AN746" s="14">
        <f>IFERROR(__xludf.DUMMYFUNCTION("""COMPUTED_VALUE"""),4.63)</f>
        <v>4.63</v>
      </c>
      <c r="AO746" s="14">
        <f>IFERROR(__xludf.DUMMYFUNCTION("""COMPUTED_VALUE"""),4.606)</f>
        <v>4.606</v>
      </c>
      <c r="AP746" s="14">
        <f>IFERROR(__xludf.DUMMYFUNCTION("""COMPUTED_VALUE"""),19.0)</f>
        <v>19</v>
      </c>
      <c r="AQ746" s="14">
        <f>IFERROR(__xludf.DUMMYFUNCTION("""COMPUTED_VALUE"""),26.0)</f>
        <v>26</v>
      </c>
      <c r="AR746" s="14">
        <f>IFERROR(__xludf.DUMMYFUNCTION("""COMPUTED_VALUE"""),55.0)</f>
        <v>55</v>
      </c>
      <c r="AS746" s="14">
        <f>IFERROR(__xludf.DUMMYFUNCTION("""COMPUTED_VALUE"""),1.2)</f>
        <v>1.2</v>
      </c>
      <c r="AT746" s="14">
        <f>IFERROR(__xludf.DUMMYFUNCTION("""COMPUTED_VALUE"""),0.23)</f>
        <v>0.23</v>
      </c>
      <c r="AU746" s="14">
        <f>IFERROR(__xludf.DUMMYFUNCTION("""COMPUTED_VALUE"""),80900.0)</f>
        <v>80900</v>
      </c>
      <c r="AV746" s="14">
        <f>IFERROR(__xludf.DUMMYFUNCTION("""COMPUTED_VALUE"""),0.63)</f>
        <v>0.63</v>
      </c>
      <c r="AW746" s="14">
        <f>IFERROR(__xludf.DUMMYFUNCTION("""COMPUTED_VALUE"""),12.6)</f>
        <v>12.6</v>
      </c>
      <c r="AX746" s="14">
        <f>IFERROR(__xludf.DUMMYFUNCTION("""COMPUTED_VALUE"""),52900.0)</f>
        <v>52900</v>
      </c>
      <c r="AY746" s="14">
        <f>IFERROR(__xludf.DUMMYFUNCTION("""COMPUTED_VALUE"""),1.0)</f>
        <v>1</v>
      </c>
      <c r="AZ746" s="14">
        <f>IFERROR(__xludf.DUMMYFUNCTION("""COMPUTED_VALUE"""),0.176)</f>
        <v>0.176</v>
      </c>
      <c r="BA746" s="14">
        <f t="shared" si="1"/>
        <v>13.776</v>
      </c>
    </row>
    <row r="747" ht="14.25" customHeight="1">
      <c r="A747" s="10" t="str">
        <f>IFERROR(__xludf.DUMMYFUNCTION("""COMPUTED_VALUE"""),"211022FE02")</f>
        <v>211022FE02</v>
      </c>
      <c r="B747" s="12" t="str">
        <f>IFERROR(__xludf.DUMMYFUNCTION("""COMPUTED_VALUE"""),"QLI-San Francisco")</f>
        <v>QLI-San Francisco</v>
      </c>
      <c r="C747" s="12"/>
      <c r="D747" s="12"/>
      <c r="E747" s="44">
        <f>IFERROR(__xludf.DUMMYFUNCTION("""COMPUTED_VALUE"""),44855.0)</f>
        <v>44855</v>
      </c>
      <c r="F747" s="12" t="str">
        <f>IFERROR(__xludf.DUMMYFUNCTION("""COMPUTED_VALUE"""),"TIPO I")</f>
        <v>TIPO I</v>
      </c>
      <c r="G747" s="12" t="str">
        <f>IFERROR(__xludf.DUMMYFUNCTION("""COMPUTED_VALUE"""),"Estructura del canal natural lecho lodoso - rocoso, durante el monitoreo se observa color y se percibe olor.
Altitud: 2614 msnm. ")</f>
        <v>Estructura del canal natural lecho lodoso - rocoso, durante el monitoreo se observa color y se percibe olor.
Altitud: 2614 msnm. </v>
      </c>
      <c r="H747" s="45">
        <f>IFERROR(__xludf.DUMMYFUNCTION("""COMPUTED_VALUE"""),0.5)</f>
        <v>0.5</v>
      </c>
      <c r="I747" s="45">
        <f>IFERROR(__xludf.DUMMYFUNCTION("""COMPUTED_VALUE"""),0.5833333333321207)</f>
        <v>0.5833333333</v>
      </c>
      <c r="J747" s="12">
        <f>IFERROR(__xludf.DUMMYFUNCTION("""COMPUTED_VALUE"""),1.5)</f>
        <v>1.5</v>
      </c>
      <c r="K747" s="12">
        <f>IFERROR(__xludf.DUMMYFUNCTION("""COMPUTED_VALUE"""),0.2)</f>
        <v>0.2</v>
      </c>
      <c r="L747" s="14">
        <f>IFERROR(__xludf.DUMMYFUNCTION("""COMPUTED_VALUE"""),84.788)</f>
        <v>84.788</v>
      </c>
      <c r="M747" s="14">
        <f>IFERROR(__xludf.DUMMYFUNCTION("""COMPUTED_VALUE"""),86.028)</f>
        <v>86.028</v>
      </c>
      <c r="N747" s="14">
        <f>IFERROR(__xludf.DUMMYFUNCTION("""COMPUTED_VALUE"""),88.773)</f>
        <v>88.773</v>
      </c>
      <c r="O747" s="14">
        <f>IFERROR(__xludf.DUMMYFUNCTION("""COMPUTED_VALUE"""),90.682)</f>
        <v>90.682</v>
      </c>
      <c r="P747" s="14">
        <f>IFERROR(__xludf.DUMMYFUNCTION("""COMPUTED_VALUE"""),91.016)</f>
        <v>91.016</v>
      </c>
      <c r="Q747" s="14">
        <f>IFERROR(__xludf.DUMMYFUNCTION("""COMPUTED_VALUE"""),88.257)</f>
        <v>88.257</v>
      </c>
      <c r="R747" s="48">
        <f>IFERROR(__xludf.DUMMYFUNCTION("""COMPUTED_VALUE"""),8.03)</f>
        <v>8.03</v>
      </c>
      <c r="S747" s="48">
        <f>IFERROR(__xludf.DUMMYFUNCTION("""COMPUTED_VALUE"""),8.04)</f>
        <v>8.04</v>
      </c>
      <c r="T747" s="48">
        <f>IFERROR(__xludf.DUMMYFUNCTION("""COMPUTED_VALUE"""),7.99)</f>
        <v>7.99</v>
      </c>
      <c r="U747" s="48">
        <f>IFERROR(__xludf.DUMMYFUNCTION("""COMPUTED_VALUE"""),8.02)</f>
        <v>8.02</v>
      </c>
      <c r="V747" s="48">
        <f>IFERROR(__xludf.DUMMYFUNCTION("""COMPUTED_VALUE"""),8.0)</f>
        <v>8</v>
      </c>
      <c r="W747" s="14">
        <f>IFERROR(__xludf.DUMMYFUNCTION("""COMPUTED_VALUE"""),8.016)</f>
        <v>8.016</v>
      </c>
      <c r="X747" s="14">
        <f>IFERROR(__xludf.DUMMYFUNCTION("""COMPUTED_VALUE"""),16.18)</f>
        <v>16.18</v>
      </c>
      <c r="Y747" s="14">
        <f>IFERROR(__xludf.DUMMYFUNCTION("""COMPUTED_VALUE"""),16.32)</f>
        <v>16.32</v>
      </c>
      <c r="Z747" s="14">
        <f>IFERROR(__xludf.DUMMYFUNCTION("""COMPUTED_VALUE"""),16.49)</f>
        <v>16.49</v>
      </c>
      <c r="AA747" s="14">
        <f>IFERROR(__xludf.DUMMYFUNCTION("""COMPUTED_VALUE"""),16.59)</f>
        <v>16.59</v>
      </c>
      <c r="AB747" s="14">
        <f>IFERROR(__xludf.DUMMYFUNCTION("""COMPUTED_VALUE"""),16.46)</f>
        <v>16.46</v>
      </c>
      <c r="AC747" s="14">
        <f>IFERROR(__xludf.DUMMYFUNCTION("""COMPUTED_VALUE"""),16.407999999999998)</f>
        <v>16.408</v>
      </c>
      <c r="AD747" s="48">
        <f>IFERROR(__xludf.DUMMYFUNCTION("""COMPUTED_VALUE"""),416.0)</f>
        <v>416</v>
      </c>
      <c r="AE747" s="48">
        <f>IFERROR(__xludf.DUMMYFUNCTION("""COMPUTED_VALUE"""),417.0)</f>
        <v>417</v>
      </c>
      <c r="AF747" s="48">
        <f>IFERROR(__xludf.DUMMYFUNCTION("""COMPUTED_VALUE"""),428.0)</f>
        <v>428</v>
      </c>
      <c r="AG747" s="48">
        <f>IFERROR(__xludf.DUMMYFUNCTION("""COMPUTED_VALUE"""),428.0)</f>
        <v>428</v>
      </c>
      <c r="AH747" s="48">
        <f>IFERROR(__xludf.DUMMYFUNCTION("""COMPUTED_VALUE"""),428.0)</f>
        <v>428</v>
      </c>
      <c r="AI747" s="14">
        <f>IFERROR(__xludf.DUMMYFUNCTION("""COMPUTED_VALUE"""),423.4)</f>
        <v>423.4</v>
      </c>
      <c r="AJ747" s="14">
        <f>IFERROR(__xludf.DUMMYFUNCTION("""COMPUTED_VALUE"""),4.03)</f>
        <v>4.03</v>
      </c>
      <c r="AK747" s="14">
        <f>IFERROR(__xludf.DUMMYFUNCTION("""COMPUTED_VALUE"""),4.28)</f>
        <v>4.28</v>
      </c>
      <c r="AL747" s="14">
        <f>IFERROR(__xludf.DUMMYFUNCTION("""COMPUTED_VALUE"""),4.13)</f>
        <v>4.13</v>
      </c>
      <c r="AM747" s="14">
        <f>IFERROR(__xludf.DUMMYFUNCTION("""COMPUTED_VALUE"""),4.37)</f>
        <v>4.37</v>
      </c>
      <c r="AN747" s="14">
        <f>IFERROR(__xludf.DUMMYFUNCTION("""COMPUTED_VALUE"""),4.25)</f>
        <v>4.25</v>
      </c>
      <c r="AO747" s="14">
        <f>IFERROR(__xludf.DUMMYFUNCTION("""COMPUTED_VALUE"""),4.212000000000001)</f>
        <v>4.212</v>
      </c>
      <c r="AP747" s="14">
        <f>IFERROR(__xludf.DUMMYFUNCTION("""COMPUTED_VALUE"""),32.0)</f>
        <v>32</v>
      </c>
      <c r="AQ747" s="14">
        <f>IFERROR(__xludf.DUMMYFUNCTION("""COMPUTED_VALUE"""),45.0)</f>
        <v>45</v>
      </c>
      <c r="AR747" s="14">
        <f>IFERROR(__xludf.DUMMYFUNCTION("""COMPUTED_VALUE"""),66.0)</f>
        <v>66</v>
      </c>
      <c r="AS747" s="14">
        <f>IFERROR(__xludf.DUMMYFUNCTION("""COMPUTED_VALUE"""),1.2)</f>
        <v>1.2</v>
      </c>
      <c r="AT747" s="14">
        <f>IFERROR(__xludf.DUMMYFUNCTION("""COMPUTED_VALUE"""),1.06)</f>
        <v>1.06</v>
      </c>
      <c r="AU747" s="14">
        <f>IFERROR(__xludf.DUMMYFUNCTION("""COMPUTED_VALUE"""),5980000.0)</f>
        <v>5980000</v>
      </c>
      <c r="AV747" s="14">
        <f>IFERROR(__xludf.DUMMYFUNCTION("""COMPUTED_VALUE"""),1.04)</f>
        <v>1.04</v>
      </c>
      <c r="AW747" s="14">
        <f>IFERROR(__xludf.DUMMYFUNCTION("""COMPUTED_VALUE"""),13.7)</f>
        <v>13.7</v>
      </c>
      <c r="AX747" s="14">
        <f>IFERROR(__xludf.DUMMYFUNCTION("""COMPUTED_VALUE"""),816000.0)</f>
        <v>816000</v>
      </c>
      <c r="AY747" s="14">
        <f>IFERROR(__xludf.DUMMYFUNCTION("""COMPUTED_VALUE"""),1.6)</f>
        <v>1.6</v>
      </c>
      <c r="AZ747" s="14">
        <f>IFERROR(__xludf.DUMMYFUNCTION("""COMPUTED_VALUE"""),0.682)</f>
        <v>0.682</v>
      </c>
      <c r="BA747" s="14">
        <f t="shared" si="1"/>
        <v>15.982</v>
      </c>
    </row>
    <row r="748" ht="14.25" customHeight="1">
      <c r="A748" s="10" t="str">
        <f>IFERROR(__xludf.DUMMYFUNCTION("""COMPUTED_VALUE"""),"261022DU01")</f>
        <v>261022DU01</v>
      </c>
      <c r="B748" s="12" t="str">
        <f>IFERROR(__xludf.DUMMYFUNCTION("""COMPUTED_VALUE"""),"CRN-El Virrey")</f>
        <v>CRN-El Virrey</v>
      </c>
      <c r="C748" s="12"/>
      <c r="D748" s="12"/>
      <c r="E748" s="44">
        <f>IFERROR(__xludf.DUMMYFUNCTION("""COMPUTED_VALUE"""),44860.0)</f>
        <v>44860</v>
      </c>
      <c r="F748" s="12" t="str">
        <f>IFERROR(__xludf.DUMMYFUNCTION("""COMPUTED_VALUE"""),"TIPO I")</f>
        <v>TIPO I</v>
      </c>
      <c r="G748" s="12" t="str">
        <f>IFERROR(__xludf.DUMMYFUNCTION("""COMPUTED_VALUE"""),"Canal en mampostería. Se observa lama en el lecho, presenta coloración, se perciben olores, se presentan lloviznas al momento del primer aforo por lo tanto se toman 4 alícuotas debido a las lluvias previas del monitoreo. Se observa una disminucion en la l"&amp;"ámina de agua a medida que se desarrolla el monitoreo. Altitud: 2528 msnm")</f>
        <v>Canal en mampostería. Se observa lama en el lecho, presenta coloración, se perciben olores, se presentan lloviznas al momento del primer aforo por lo tanto se toman 4 alícuotas debido a las lluvias previas del monitoreo. Se observa una disminucion en la lámina de agua a medida que se desarrolla el monitoreo. Altitud: 2528 msnm</v>
      </c>
      <c r="H748" s="45">
        <f>IFERROR(__xludf.DUMMYFUNCTION("""COMPUTED_VALUE"""),0.25)</f>
        <v>0.25</v>
      </c>
      <c r="I748" s="45">
        <f>IFERROR(__xludf.DUMMYFUNCTION("""COMPUTED_VALUE"""),0.3333333333321207)</f>
        <v>0.3333333333</v>
      </c>
      <c r="J748" s="12">
        <f>IFERROR(__xludf.DUMMYFUNCTION("""COMPUTED_VALUE"""),2.5)</f>
        <v>2.5</v>
      </c>
      <c r="K748" s="12">
        <f>IFERROR(__xludf.DUMMYFUNCTION("""COMPUTED_VALUE"""),0.28)</f>
        <v>0.28</v>
      </c>
      <c r="L748" s="14"/>
      <c r="M748" s="14">
        <f>IFERROR(__xludf.DUMMYFUNCTION("""COMPUTED_VALUE"""),541.164)</f>
        <v>541.164</v>
      </c>
      <c r="N748" s="14">
        <f>IFERROR(__xludf.DUMMYFUNCTION("""COMPUTED_VALUE"""),539.289)</f>
        <v>539.289</v>
      </c>
      <c r="O748" s="14">
        <f>IFERROR(__xludf.DUMMYFUNCTION("""COMPUTED_VALUE"""),485.383)</f>
        <v>485.383</v>
      </c>
      <c r="P748" s="14">
        <f>IFERROR(__xludf.DUMMYFUNCTION("""COMPUTED_VALUE"""),474.926)</f>
        <v>474.926</v>
      </c>
      <c r="Q748" s="14">
        <f>IFERROR(__xludf.DUMMYFUNCTION("""COMPUTED_VALUE"""),510.191)</f>
        <v>510.191</v>
      </c>
      <c r="R748" s="48"/>
      <c r="S748" s="48">
        <f>IFERROR(__xludf.DUMMYFUNCTION("""COMPUTED_VALUE"""),7.42)</f>
        <v>7.42</v>
      </c>
      <c r="T748" s="48">
        <f>IFERROR(__xludf.DUMMYFUNCTION("""COMPUTED_VALUE"""),7.23)</f>
        <v>7.23</v>
      </c>
      <c r="U748" s="48">
        <f>IFERROR(__xludf.DUMMYFUNCTION("""COMPUTED_VALUE"""),7.19)</f>
        <v>7.19</v>
      </c>
      <c r="V748" s="48">
        <f>IFERROR(__xludf.DUMMYFUNCTION("""COMPUTED_VALUE"""),7.24)</f>
        <v>7.24</v>
      </c>
      <c r="W748" s="14">
        <f>IFERROR(__xludf.DUMMYFUNCTION("""COMPUTED_VALUE"""),7.27)</f>
        <v>7.27</v>
      </c>
      <c r="X748" s="14"/>
      <c r="Y748" s="14">
        <f>IFERROR(__xludf.DUMMYFUNCTION("""COMPUTED_VALUE"""),15.4)</f>
        <v>15.4</v>
      </c>
      <c r="Z748" s="14">
        <f>IFERROR(__xludf.DUMMYFUNCTION("""COMPUTED_VALUE"""),15.5)</f>
        <v>15.5</v>
      </c>
      <c r="AA748" s="14">
        <f>IFERROR(__xludf.DUMMYFUNCTION("""COMPUTED_VALUE"""),15.4)</f>
        <v>15.4</v>
      </c>
      <c r="AB748" s="14">
        <f>IFERROR(__xludf.DUMMYFUNCTION("""COMPUTED_VALUE"""),15.1)</f>
        <v>15.1</v>
      </c>
      <c r="AC748" s="14">
        <f>IFERROR(__xludf.DUMMYFUNCTION("""COMPUTED_VALUE"""),15.35)</f>
        <v>15.35</v>
      </c>
      <c r="AD748" s="48"/>
      <c r="AE748" s="48">
        <f>IFERROR(__xludf.DUMMYFUNCTION("""COMPUTED_VALUE"""),86.0)</f>
        <v>86</v>
      </c>
      <c r="AF748" s="48">
        <f>IFERROR(__xludf.DUMMYFUNCTION("""COMPUTED_VALUE"""),96.0)</f>
        <v>96</v>
      </c>
      <c r="AG748" s="48">
        <f>IFERROR(__xludf.DUMMYFUNCTION("""COMPUTED_VALUE"""),117.0)</f>
        <v>117</v>
      </c>
      <c r="AH748" s="48">
        <f>IFERROR(__xludf.DUMMYFUNCTION("""COMPUTED_VALUE"""),89.0)</f>
        <v>89</v>
      </c>
      <c r="AI748" s="14">
        <f>IFERROR(__xludf.DUMMYFUNCTION("""COMPUTED_VALUE"""),97.0)</f>
        <v>97</v>
      </c>
      <c r="AJ748" s="14"/>
      <c r="AK748" s="14">
        <f>IFERROR(__xludf.DUMMYFUNCTION("""COMPUTED_VALUE"""),3.63)</f>
        <v>3.63</v>
      </c>
      <c r="AL748" s="14">
        <f>IFERROR(__xludf.DUMMYFUNCTION("""COMPUTED_VALUE"""),3.59)</f>
        <v>3.59</v>
      </c>
      <c r="AM748" s="14">
        <f>IFERROR(__xludf.DUMMYFUNCTION("""COMPUTED_VALUE"""),3.67)</f>
        <v>3.67</v>
      </c>
      <c r="AN748" s="14">
        <f>IFERROR(__xludf.DUMMYFUNCTION("""COMPUTED_VALUE"""),3.74)</f>
        <v>3.74</v>
      </c>
      <c r="AO748" s="14">
        <f>IFERROR(__xludf.DUMMYFUNCTION("""COMPUTED_VALUE"""),3.6575)</f>
        <v>3.6575</v>
      </c>
      <c r="AP748" s="14">
        <f>IFERROR(__xludf.DUMMYFUNCTION("""COMPUTED_VALUE"""),11.0)</f>
        <v>11</v>
      </c>
      <c r="AQ748" s="14">
        <f>IFERROR(__xludf.DUMMYFUNCTION("""COMPUTED_VALUE"""),16.0)</f>
        <v>16</v>
      </c>
      <c r="AR748" s="14">
        <f>IFERROR(__xludf.DUMMYFUNCTION("""COMPUTED_VALUE"""),37.0)</f>
        <v>37</v>
      </c>
      <c r="AS748" s="14">
        <f>IFERROR(__xludf.DUMMYFUNCTION("""COMPUTED_VALUE"""),10.2)</f>
        <v>10.2</v>
      </c>
      <c r="AT748" s="14">
        <f>IFERROR(__xludf.DUMMYFUNCTION("""COMPUTED_VALUE"""),0.55)</f>
        <v>0.55</v>
      </c>
      <c r="AU748" s="14">
        <f>IFERROR(__xludf.DUMMYFUNCTION("""COMPUTED_VALUE"""),1.811E8)</f>
        <v>181100000</v>
      </c>
      <c r="AV748" s="14">
        <f>IFERROR(__xludf.DUMMYFUNCTION("""COMPUTED_VALUE"""),0.81)</f>
        <v>0.81</v>
      </c>
      <c r="AW748" s="14">
        <f>IFERROR(__xludf.DUMMYFUNCTION("""COMPUTED_VALUE"""),4.2)</f>
        <v>4.2</v>
      </c>
      <c r="AX748" s="14">
        <f>IFERROR(__xludf.DUMMYFUNCTION("""COMPUTED_VALUE"""),16210.0)</f>
        <v>16210</v>
      </c>
      <c r="AY748" s="14">
        <f>IFERROR(__xludf.DUMMYFUNCTION("""COMPUTED_VALUE"""),0.7)</f>
        <v>0.7</v>
      </c>
      <c r="AZ748" s="14">
        <f>IFERROR(__xludf.DUMMYFUNCTION("""COMPUTED_VALUE"""),0.184)</f>
        <v>0.184</v>
      </c>
      <c r="BA748" s="14">
        <f t="shared" si="1"/>
        <v>5.084</v>
      </c>
    </row>
    <row r="749" ht="14.25" customHeight="1">
      <c r="A749" s="10" t="str">
        <f>IFERROR(__xludf.DUMMYFUNCTION("""COMPUTED_VALUE"""),"261022DU02")</f>
        <v>261022DU02</v>
      </c>
      <c r="B749" s="12" t="str">
        <f>IFERROR(__xludf.DUMMYFUNCTION("""COMPUTED_VALUE"""),"CRN-Quebrada Chicó")</f>
        <v>CRN-Quebrada Chicó</v>
      </c>
      <c r="C749" s="12"/>
      <c r="D749" s="12"/>
      <c r="E749" s="44">
        <f>IFERROR(__xludf.DUMMYFUNCTION("""COMPUTED_VALUE"""),44860.0)</f>
        <v>44860</v>
      </c>
      <c r="F749" s="12" t="str">
        <f>IFERROR(__xludf.DUMMYFUNCTION("""COMPUTED_VALUE"""),"TIPO I")</f>
        <v>TIPO I</v>
      </c>
      <c r="G749" s="12" t="str">
        <f>IFERROR(__xludf.DUMMYFUNCTION("""COMPUTED_VALUE"""),"Estructura del canal: tubería en concreto. Durante el monitoreo se observa color y se percibe olor. Altitud: 2632 msnm")</f>
        <v>Estructura del canal: tubería en concreto. Durante el monitoreo se observa color y se percibe olor. Altitud: 2632 msnm</v>
      </c>
      <c r="H749" s="45">
        <f>IFERROR(__xludf.DUMMYFUNCTION("""COMPUTED_VALUE"""),0.4166666666678793)</f>
        <v>0.4166666667</v>
      </c>
      <c r="I749" s="45">
        <f>IFERROR(__xludf.DUMMYFUNCTION("""COMPUTED_VALUE"""),0.5)</f>
        <v>0.5</v>
      </c>
      <c r="J749" s="12"/>
      <c r="K749" s="12"/>
      <c r="L749" s="14">
        <f>IFERROR(__xludf.DUMMYFUNCTION("""COMPUTED_VALUE"""),4.704)</f>
        <v>4.704</v>
      </c>
      <c r="M749" s="14">
        <f>IFERROR(__xludf.DUMMYFUNCTION("""COMPUTED_VALUE"""),5.039)</f>
        <v>5.039</v>
      </c>
      <c r="N749" s="14">
        <f>IFERROR(__xludf.DUMMYFUNCTION("""COMPUTED_VALUE"""),4.71)</f>
        <v>4.71</v>
      </c>
      <c r="O749" s="14">
        <f>IFERROR(__xludf.DUMMYFUNCTION("""COMPUTED_VALUE"""),5.31)</f>
        <v>5.31</v>
      </c>
      <c r="P749" s="14">
        <f>IFERROR(__xludf.DUMMYFUNCTION("""COMPUTED_VALUE"""),4.937)</f>
        <v>4.937</v>
      </c>
      <c r="Q749" s="14">
        <f>IFERROR(__xludf.DUMMYFUNCTION("""COMPUTED_VALUE"""),4.94)</f>
        <v>4.94</v>
      </c>
      <c r="R749" s="48">
        <f>IFERROR(__xludf.DUMMYFUNCTION("""COMPUTED_VALUE"""),7.51)</f>
        <v>7.51</v>
      </c>
      <c r="S749" s="48">
        <f>IFERROR(__xludf.DUMMYFUNCTION("""COMPUTED_VALUE"""),7.48)</f>
        <v>7.48</v>
      </c>
      <c r="T749" s="48">
        <f>IFERROR(__xludf.DUMMYFUNCTION("""COMPUTED_VALUE"""),7.49)</f>
        <v>7.49</v>
      </c>
      <c r="U749" s="48">
        <f>IFERROR(__xludf.DUMMYFUNCTION("""COMPUTED_VALUE"""),7.61)</f>
        <v>7.61</v>
      </c>
      <c r="V749" s="48">
        <f>IFERROR(__xludf.DUMMYFUNCTION("""COMPUTED_VALUE"""),7.42)</f>
        <v>7.42</v>
      </c>
      <c r="W749" s="14">
        <f>IFERROR(__xludf.DUMMYFUNCTION("""COMPUTED_VALUE"""),7.502)</f>
        <v>7.502</v>
      </c>
      <c r="X749" s="14">
        <f>IFERROR(__xludf.DUMMYFUNCTION("""COMPUTED_VALUE"""),16.2)</f>
        <v>16.2</v>
      </c>
      <c r="Y749" s="14">
        <f>IFERROR(__xludf.DUMMYFUNCTION("""COMPUTED_VALUE"""),16.1)</f>
        <v>16.1</v>
      </c>
      <c r="Z749" s="14">
        <f>IFERROR(__xludf.DUMMYFUNCTION("""COMPUTED_VALUE"""),15.7)</f>
        <v>15.7</v>
      </c>
      <c r="AA749" s="14">
        <f>IFERROR(__xludf.DUMMYFUNCTION("""COMPUTED_VALUE"""),15.5)</f>
        <v>15.5</v>
      </c>
      <c r="AB749" s="14">
        <f>IFERROR(__xludf.DUMMYFUNCTION("""COMPUTED_VALUE"""),15.8)</f>
        <v>15.8</v>
      </c>
      <c r="AC749" s="14">
        <f>IFERROR(__xludf.DUMMYFUNCTION("""COMPUTED_VALUE"""),15.86)</f>
        <v>15.86</v>
      </c>
      <c r="AD749" s="48">
        <f>IFERROR(__xludf.DUMMYFUNCTION("""COMPUTED_VALUE"""),173.0)</f>
        <v>173</v>
      </c>
      <c r="AE749" s="48">
        <f>IFERROR(__xludf.DUMMYFUNCTION("""COMPUTED_VALUE"""),178.0)</f>
        <v>178</v>
      </c>
      <c r="AF749" s="48">
        <f>IFERROR(__xludf.DUMMYFUNCTION("""COMPUTED_VALUE"""),177.0)</f>
        <v>177</v>
      </c>
      <c r="AG749" s="48">
        <f>IFERROR(__xludf.DUMMYFUNCTION("""COMPUTED_VALUE"""),174.0)</f>
        <v>174</v>
      </c>
      <c r="AH749" s="48">
        <f>IFERROR(__xludf.DUMMYFUNCTION("""COMPUTED_VALUE"""),175.0)</f>
        <v>175</v>
      </c>
      <c r="AI749" s="14">
        <f>IFERROR(__xludf.DUMMYFUNCTION("""COMPUTED_VALUE"""),175.4)</f>
        <v>175.4</v>
      </c>
      <c r="AJ749" s="14">
        <f>IFERROR(__xludf.DUMMYFUNCTION("""COMPUTED_VALUE"""),4.1)</f>
        <v>4.1</v>
      </c>
      <c r="AK749" s="14">
        <f>IFERROR(__xludf.DUMMYFUNCTION("""COMPUTED_VALUE"""),4.18)</f>
        <v>4.18</v>
      </c>
      <c r="AL749" s="14">
        <f>IFERROR(__xludf.DUMMYFUNCTION("""COMPUTED_VALUE"""),4.25)</f>
        <v>4.25</v>
      </c>
      <c r="AM749" s="14">
        <f>IFERROR(__xludf.DUMMYFUNCTION("""COMPUTED_VALUE"""),3.23)</f>
        <v>3.23</v>
      </c>
      <c r="AN749" s="14">
        <f>IFERROR(__xludf.DUMMYFUNCTION("""COMPUTED_VALUE"""),4.03)</f>
        <v>4.03</v>
      </c>
      <c r="AO749" s="14">
        <f>IFERROR(__xludf.DUMMYFUNCTION("""COMPUTED_VALUE"""),3.9579999999999997)</f>
        <v>3.958</v>
      </c>
      <c r="AP749" s="14">
        <f>IFERROR(__xludf.DUMMYFUNCTION("""COMPUTED_VALUE"""),25.0)</f>
        <v>25</v>
      </c>
      <c r="AQ749" s="14">
        <f>IFERROR(__xludf.DUMMYFUNCTION("""COMPUTED_VALUE"""),35.0)</f>
        <v>35</v>
      </c>
      <c r="AR749" s="14">
        <f>IFERROR(__xludf.DUMMYFUNCTION("""COMPUTED_VALUE"""),32.0)</f>
        <v>32</v>
      </c>
      <c r="AS749" s="14">
        <f>IFERROR(__xludf.DUMMYFUNCTION("""COMPUTED_VALUE"""),39.0)</f>
        <v>39</v>
      </c>
      <c r="AT749" s="14">
        <f>IFERROR(__xludf.DUMMYFUNCTION("""COMPUTED_VALUE"""),3.92)</f>
        <v>3.92</v>
      </c>
      <c r="AU749" s="14">
        <f>IFERROR(__xludf.DUMMYFUNCTION("""COMPUTED_VALUE"""),583000.0)</f>
        <v>583000</v>
      </c>
      <c r="AV749" s="14">
        <f>IFERROR(__xludf.DUMMYFUNCTION("""COMPUTED_VALUE"""),0.87)</f>
        <v>0.87</v>
      </c>
      <c r="AW749" s="14">
        <f>IFERROR(__xludf.DUMMYFUNCTION("""COMPUTED_VALUE"""),9.5)</f>
        <v>9.5</v>
      </c>
      <c r="AX749" s="14">
        <f>IFERROR(__xludf.DUMMYFUNCTION("""COMPUTED_VALUE"""),63100.0)</f>
        <v>63100</v>
      </c>
      <c r="AY749" s="14">
        <f>IFERROR(__xludf.DUMMYFUNCTION("""COMPUTED_VALUE"""),0.5)</f>
        <v>0.5</v>
      </c>
      <c r="AZ749" s="14">
        <f>IFERROR(__xludf.DUMMYFUNCTION("""COMPUTED_VALUE"""),0.261)</f>
        <v>0.261</v>
      </c>
      <c r="BA749" s="14">
        <f t="shared" si="1"/>
        <v>10.261</v>
      </c>
    </row>
    <row r="750" ht="14.25" customHeight="1">
      <c r="A750" s="10" t="str">
        <f>IFERROR(__xludf.DUMMYFUNCTION("""COMPUTED_VALUE"""),"261022FE01")</f>
        <v>261022FE01</v>
      </c>
      <c r="B750" s="12" t="str">
        <f>IFERROR(__xludf.DUMMYFUNCTION("""COMPUTED_VALUE"""),"CRN-La Castellana")</f>
        <v>CRN-La Castellana</v>
      </c>
      <c r="C750" s="12"/>
      <c r="D750" s="12"/>
      <c r="E750" s="44">
        <f>IFERROR(__xludf.DUMMYFUNCTION("""COMPUTED_VALUE"""),44860.0)</f>
        <v>44860</v>
      </c>
      <c r="F750" s="12" t="str">
        <f>IFERROR(__xludf.DUMMYFUNCTION("""COMPUTED_VALUE"""),"TIPO I")</f>
        <v>TIPO I</v>
      </c>
      <c r="G750" s="12" t="str">
        <f>IFERROR(__xludf.DUMMYFUNCTION("""COMPUTED_VALUE"""),"Lecho en concreto. Durante el monitoreo se percibió olor, se observó color y material flotante.")</f>
        <v>Lecho en concreto. Durante el monitoreo se percibió olor, se observó color y material flotante.</v>
      </c>
      <c r="H750" s="45">
        <f>IFERROR(__xludf.DUMMYFUNCTION("""COMPUTED_VALUE"""),0.5)</f>
        <v>0.5</v>
      </c>
      <c r="I750" s="45">
        <f>IFERROR(__xludf.DUMMYFUNCTION("""COMPUTED_VALUE"""),0.5833333333321207)</f>
        <v>0.5833333333</v>
      </c>
      <c r="J750" s="12">
        <f>IFERROR(__xludf.DUMMYFUNCTION("""COMPUTED_VALUE"""),6.0)</f>
        <v>6</v>
      </c>
      <c r="K750" s="12">
        <f>IFERROR(__xludf.DUMMYFUNCTION("""COMPUTED_VALUE"""),0.27)</f>
        <v>0.27</v>
      </c>
      <c r="L750" s="14">
        <f>IFERROR(__xludf.DUMMYFUNCTION("""COMPUTED_VALUE"""),698.751)</f>
        <v>698.751</v>
      </c>
      <c r="M750" s="14">
        <f>IFERROR(__xludf.DUMMYFUNCTION("""COMPUTED_VALUE"""),689.545)</f>
        <v>689.545</v>
      </c>
      <c r="N750" s="14">
        <f>IFERROR(__xludf.DUMMYFUNCTION("""COMPUTED_VALUE"""),682.813)</f>
        <v>682.813</v>
      </c>
      <c r="O750" s="14">
        <f>IFERROR(__xludf.DUMMYFUNCTION("""COMPUTED_VALUE"""),685.041)</f>
        <v>685.041</v>
      </c>
      <c r="P750" s="14">
        <f>IFERROR(__xludf.DUMMYFUNCTION("""COMPUTED_VALUE"""),672.222)</f>
        <v>672.222</v>
      </c>
      <c r="Q750" s="14">
        <f>IFERROR(__xludf.DUMMYFUNCTION("""COMPUTED_VALUE"""),685.674)</f>
        <v>685.674</v>
      </c>
      <c r="R750" s="48">
        <f>IFERROR(__xludf.DUMMYFUNCTION("""COMPUTED_VALUE"""),7.55)</f>
        <v>7.55</v>
      </c>
      <c r="S750" s="48">
        <f>IFERROR(__xludf.DUMMYFUNCTION("""COMPUTED_VALUE"""),7.44)</f>
        <v>7.44</v>
      </c>
      <c r="T750" s="48">
        <f>IFERROR(__xludf.DUMMYFUNCTION("""COMPUTED_VALUE"""),7.35)</f>
        <v>7.35</v>
      </c>
      <c r="U750" s="48">
        <f>IFERROR(__xludf.DUMMYFUNCTION("""COMPUTED_VALUE"""),7.38)</f>
        <v>7.38</v>
      </c>
      <c r="V750" s="48">
        <f>IFERROR(__xludf.DUMMYFUNCTION("""COMPUTED_VALUE"""),7.4)</f>
        <v>7.4</v>
      </c>
      <c r="W750" s="14">
        <f>IFERROR(__xludf.DUMMYFUNCTION("""COMPUTED_VALUE"""),7.4239999999999995)</f>
        <v>7.424</v>
      </c>
      <c r="X750" s="14">
        <f>IFERROR(__xludf.DUMMYFUNCTION("""COMPUTED_VALUE"""),18.6)</f>
        <v>18.6</v>
      </c>
      <c r="Y750" s="14">
        <f>IFERROR(__xludf.DUMMYFUNCTION("""COMPUTED_VALUE"""),17.9)</f>
        <v>17.9</v>
      </c>
      <c r="Z750" s="14">
        <f>IFERROR(__xludf.DUMMYFUNCTION("""COMPUTED_VALUE"""),17.7)</f>
        <v>17.7</v>
      </c>
      <c r="AA750" s="14">
        <f>IFERROR(__xludf.DUMMYFUNCTION("""COMPUTED_VALUE"""),17.5)</f>
        <v>17.5</v>
      </c>
      <c r="AB750" s="14">
        <f>IFERROR(__xludf.DUMMYFUNCTION("""COMPUTED_VALUE"""),17.8)</f>
        <v>17.8</v>
      </c>
      <c r="AC750" s="14">
        <f>IFERROR(__xludf.DUMMYFUNCTION("""COMPUTED_VALUE"""),17.9)</f>
        <v>17.9</v>
      </c>
      <c r="AD750" s="48">
        <f>IFERROR(__xludf.DUMMYFUNCTION("""COMPUTED_VALUE"""),334.0)</f>
        <v>334</v>
      </c>
      <c r="AE750" s="48">
        <f>IFERROR(__xludf.DUMMYFUNCTION("""COMPUTED_VALUE"""),350.0)</f>
        <v>350</v>
      </c>
      <c r="AF750" s="48">
        <f>IFERROR(__xludf.DUMMYFUNCTION("""COMPUTED_VALUE"""),361.0)</f>
        <v>361</v>
      </c>
      <c r="AG750" s="48">
        <f>IFERROR(__xludf.DUMMYFUNCTION("""COMPUTED_VALUE"""),378.0)</f>
        <v>378</v>
      </c>
      <c r="AH750" s="48">
        <f>IFERROR(__xludf.DUMMYFUNCTION("""COMPUTED_VALUE"""),370.0)</f>
        <v>370</v>
      </c>
      <c r="AI750" s="14">
        <f>IFERROR(__xludf.DUMMYFUNCTION("""COMPUTED_VALUE"""),358.6)</f>
        <v>358.6</v>
      </c>
      <c r="AJ750" s="14">
        <f>IFERROR(__xludf.DUMMYFUNCTION("""COMPUTED_VALUE"""),5.32)</f>
        <v>5.32</v>
      </c>
      <c r="AK750" s="14">
        <f>IFERROR(__xludf.DUMMYFUNCTION("""COMPUTED_VALUE"""),5.22)</f>
        <v>5.22</v>
      </c>
      <c r="AL750" s="14">
        <f>IFERROR(__xludf.DUMMYFUNCTION("""COMPUTED_VALUE"""),4.87)</f>
        <v>4.87</v>
      </c>
      <c r="AM750" s="14">
        <f>IFERROR(__xludf.DUMMYFUNCTION("""COMPUTED_VALUE"""),4.21)</f>
        <v>4.21</v>
      </c>
      <c r="AN750" s="14">
        <f>IFERROR(__xludf.DUMMYFUNCTION("""COMPUTED_VALUE"""),5.02)</f>
        <v>5.02</v>
      </c>
      <c r="AO750" s="14">
        <f>IFERROR(__xludf.DUMMYFUNCTION("""COMPUTED_VALUE"""),4.928)</f>
        <v>4.928</v>
      </c>
      <c r="AP750" s="14">
        <f>IFERROR(__xludf.DUMMYFUNCTION("""COMPUTED_VALUE"""),100.0)</f>
        <v>100</v>
      </c>
      <c r="AQ750" s="14">
        <f>IFERROR(__xludf.DUMMYFUNCTION("""COMPUTED_VALUE"""),144.0)</f>
        <v>144</v>
      </c>
      <c r="AR750" s="14">
        <f>IFERROR(__xludf.DUMMYFUNCTION("""COMPUTED_VALUE"""),106.0)</f>
        <v>106</v>
      </c>
      <c r="AS750" s="14">
        <f>IFERROR(__xludf.DUMMYFUNCTION("""COMPUTED_VALUE"""),18.0)</f>
        <v>18</v>
      </c>
      <c r="AT750" s="14">
        <f>IFERROR(__xludf.DUMMYFUNCTION("""COMPUTED_VALUE"""),5.88)</f>
        <v>5.88</v>
      </c>
      <c r="AU750" s="14">
        <f>IFERROR(__xludf.DUMMYFUNCTION("""COMPUTED_VALUE"""),1.354E7)</f>
        <v>13540000</v>
      </c>
      <c r="AV750" s="14">
        <f>IFERROR(__xludf.DUMMYFUNCTION("""COMPUTED_VALUE"""),1.43)</f>
        <v>1.43</v>
      </c>
      <c r="AW750" s="14">
        <f>IFERROR(__xludf.DUMMYFUNCTION("""COMPUTED_VALUE"""),16.0)</f>
        <v>16</v>
      </c>
      <c r="AX750" s="14">
        <f>IFERROR(__xludf.DUMMYFUNCTION("""COMPUTED_VALUE"""),124700.0)</f>
        <v>124700</v>
      </c>
      <c r="AY750" s="14">
        <f>IFERROR(__xludf.DUMMYFUNCTION("""COMPUTED_VALUE"""),0.2)</f>
        <v>0.2</v>
      </c>
      <c r="AZ750" s="14">
        <f>IFERROR(__xludf.DUMMYFUNCTION("""COMPUTED_VALUE"""),0.007)</f>
        <v>0.007</v>
      </c>
      <c r="BA750" s="14">
        <f t="shared" si="1"/>
        <v>16.207</v>
      </c>
    </row>
    <row r="751" ht="14.25" customHeight="1">
      <c r="A751" s="10" t="str">
        <f>IFERROR(__xludf.DUMMYFUNCTION("""COMPUTED_VALUE"""),"271022MI01")</f>
        <v>271022MI01</v>
      </c>
      <c r="B751" s="12" t="str">
        <f>IFERROR(__xludf.DUMMYFUNCTION("""COMPUTED_VALUE"""),"QLI-Villa del Diamante")</f>
        <v>QLI-Villa del Diamante</v>
      </c>
      <c r="C751" s="12"/>
      <c r="D751" s="12"/>
      <c r="E751" s="44">
        <f>IFERROR(__xludf.DUMMYFUNCTION("""COMPUTED_VALUE"""),44861.0)</f>
        <v>44861</v>
      </c>
      <c r="F751" s="12" t="str">
        <f>IFERROR(__xludf.DUMMYFUNCTION("""COMPUTED_VALUE"""),"TIPO I")</f>
        <v>TIPO I</v>
      </c>
      <c r="G751" s="12" t="str">
        <f>IFERROR(__xludf.DUMMYFUNCTION("""COMPUTED_VALUE"""),"Presenta coloración, se perciben olores ")</f>
        <v>Presenta coloración, se perciben olores </v>
      </c>
      <c r="H751" s="45">
        <f>IFERROR(__xludf.DUMMYFUNCTION("""COMPUTED_VALUE"""),0.25)</f>
        <v>0.25</v>
      </c>
      <c r="I751" s="45">
        <f>IFERROR(__xludf.DUMMYFUNCTION("""COMPUTED_VALUE"""),0.3333333333321207)</f>
        <v>0.3333333333</v>
      </c>
      <c r="J751" s="12">
        <f>IFERROR(__xludf.DUMMYFUNCTION("""COMPUTED_VALUE"""),1.9)</f>
        <v>1.9</v>
      </c>
      <c r="K751" s="12">
        <f>IFERROR(__xludf.DUMMYFUNCTION("""COMPUTED_VALUE"""),0.1)</f>
        <v>0.1</v>
      </c>
      <c r="L751" s="14">
        <f>IFERROR(__xludf.DUMMYFUNCTION("""COMPUTED_VALUE"""),69.429)</f>
        <v>69.429</v>
      </c>
      <c r="M751" s="14">
        <f>IFERROR(__xludf.DUMMYFUNCTION("""COMPUTED_VALUE"""),65.784)</f>
        <v>65.784</v>
      </c>
      <c r="N751" s="14">
        <f>IFERROR(__xludf.DUMMYFUNCTION("""COMPUTED_VALUE"""),69.947)</f>
        <v>69.947</v>
      </c>
      <c r="O751" s="14">
        <f>IFERROR(__xludf.DUMMYFUNCTION("""COMPUTED_VALUE"""),76.865)</f>
        <v>76.865</v>
      </c>
      <c r="P751" s="14">
        <f>IFERROR(__xludf.DUMMYFUNCTION("""COMPUTED_VALUE"""),80.305)</f>
        <v>80.305</v>
      </c>
      <c r="Q751" s="14">
        <f>IFERROR(__xludf.DUMMYFUNCTION("""COMPUTED_VALUE"""),72.466)</f>
        <v>72.466</v>
      </c>
      <c r="R751" s="48">
        <f>IFERROR(__xludf.DUMMYFUNCTION("""COMPUTED_VALUE"""),7.53)</f>
        <v>7.53</v>
      </c>
      <c r="S751" s="48">
        <f>IFERROR(__xludf.DUMMYFUNCTION("""COMPUTED_VALUE"""),7.79)</f>
        <v>7.79</v>
      </c>
      <c r="T751" s="48">
        <f>IFERROR(__xludf.DUMMYFUNCTION("""COMPUTED_VALUE"""),7.75)</f>
        <v>7.75</v>
      </c>
      <c r="U751" s="48">
        <f>IFERROR(__xludf.DUMMYFUNCTION("""COMPUTED_VALUE"""),7.72)</f>
        <v>7.72</v>
      </c>
      <c r="V751" s="48">
        <f>IFERROR(__xludf.DUMMYFUNCTION("""COMPUTED_VALUE"""),7.6)</f>
        <v>7.6</v>
      </c>
      <c r="W751" s="14">
        <f>IFERROR(__xludf.DUMMYFUNCTION("""COMPUTED_VALUE"""),7.678)</f>
        <v>7.678</v>
      </c>
      <c r="X751" s="14">
        <f>IFERROR(__xludf.DUMMYFUNCTION("""COMPUTED_VALUE"""),13.7)</f>
        <v>13.7</v>
      </c>
      <c r="Y751" s="14">
        <f>IFERROR(__xludf.DUMMYFUNCTION("""COMPUTED_VALUE"""),13.9)</f>
        <v>13.9</v>
      </c>
      <c r="Z751" s="14">
        <f>IFERROR(__xludf.DUMMYFUNCTION("""COMPUTED_VALUE"""),13.8)</f>
        <v>13.8</v>
      </c>
      <c r="AA751" s="14">
        <f>IFERROR(__xludf.DUMMYFUNCTION("""COMPUTED_VALUE"""),13.6)</f>
        <v>13.6</v>
      </c>
      <c r="AB751" s="14">
        <f>IFERROR(__xludf.DUMMYFUNCTION("""COMPUTED_VALUE"""),14.2)</f>
        <v>14.2</v>
      </c>
      <c r="AC751" s="14">
        <f>IFERROR(__xludf.DUMMYFUNCTION("""COMPUTED_VALUE"""),13.84)</f>
        <v>13.84</v>
      </c>
      <c r="AD751" s="48">
        <f>IFERROR(__xludf.DUMMYFUNCTION("""COMPUTED_VALUE"""),305.0)</f>
        <v>305</v>
      </c>
      <c r="AE751" s="48">
        <f>IFERROR(__xludf.DUMMYFUNCTION("""COMPUTED_VALUE"""),290.0)</f>
        <v>290</v>
      </c>
      <c r="AF751" s="48">
        <f>IFERROR(__xludf.DUMMYFUNCTION("""COMPUTED_VALUE"""),287.0)</f>
        <v>287</v>
      </c>
      <c r="AG751" s="48">
        <f>IFERROR(__xludf.DUMMYFUNCTION("""COMPUTED_VALUE"""),293.0)</f>
        <v>293</v>
      </c>
      <c r="AH751" s="48">
        <f>IFERROR(__xludf.DUMMYFUNCTION("""COMPUTED_VALUE"""),304.0)</f>
        <v>304</v>
      </c>
      <c r="AI751" s="14">
        <f>IFERROR(__xludf.DUMMYFUNCTION("""COMPUTED_VALUE"""),295.8)</f>
        <v>295.8</v>
      </c>
      <c r="AJ751" s="14">
        <f>IFERROR(__xludf.DUMMYFUNCTION("""COMPUTED_VALUE"""),5.88)</f>
        <v>5.88</v>
      </c>
      <c r="AK751" s="14">
        <f>IFERROR(__xludf.DUMMYFUNCTION("""COMPUTED_VALUE"""),6.73)</f>
        <v>6.73</v>
      </c>
      <c r="AL751" s="14">
        <f>IFERROR(__xludf.DUMMYFUNCTION("""COMPUTED_VALUE"""),6.95)</f>
        <v>6.95</v>
      </c>
      <c r="AM751" s="14">
        <f>IFERROR(__xludf.DUMMYFUNCTION("""COMPUTED_VALUE"""),6.22)</f>
        <v>6.22</v>
      </c>
      <c r="AN751" s="14">
        <f>IFERROR(__xludf.DUMMYFUNCTION("""COMPUTED_VALUE"""),5.72)</f>
        <v>5.72</v>
      </c>
      <c r="AO751" s="14">
        <f>IFERROR(__xludf.DUMMYFUNCTION("""COMPUTED_VALUE"""),6.299999999999999)</f>
        <v>6.3</v>
      </c>
      <c r="AP751" s="14">
        <f>IFERROR(__xludf.DUMMYFUNCTION("""COMPUTED_VALUE"""),22.0)</f>
        <v>22</v>
      </c>
      <c r="AQ751" s="14">
        <f>IFERROR(__xludf.DUMMYFUNCTION("""COMPUTED_VALUE"""),32.0)</f>
        <v>32</v>
      </c>
      <c r="AR751" s="14">
        <f>IFERROR(__xludf.DUMMYFUNCTION("""COMPUTED_VALUE"""),153.0)</f>
        <v>153</v>
      </c>
      <c r="AS751" s="14">
        <f>IFERROR(__xludf.DUMMYFUNCTION("""COMPUTED_VALUE"""),1.2)</f>
        <v>1.2</v>
      </c>
      <c r="AT751" s="14">
        <f>IFERROR(__xludf.DUMMYFUNCTION("""COMPUTED_VALUE"""),0.07)</f>
        <v>0.07</v>
      </c>
      <c r="AU751" s="14">
        <f>IFERROR(__xludf.DUMMYFUNCTION("""COMPUTED_VALUE"""),1.77E8)</f>
        <v>177000000</v>
      </c>
      <c r="AV751" s="14">
        <f>IFERROR(__xludf.DUMMYFUNCTION("""COMPUTED_VALUE"""),0.88)</f>
        <v>0.88</v>
      </c>
      <c r="AW751" s="14">
        <f>IFERROR(__xludf.DUMMYFUNCTION("""COMPUTED_VALUE"""),5.3)</f>
        <v>5.3</v>
      </c>
      <c r="AX751" s="14">
        <f>IFERROR(__xludf.DUMMYFUNCTION("""COMPUTED_VALUE"""),1.621E8)</f>
        <v>162100000</v>
      </c>
      <c r="AY751" s="14">
        <f>IFERROR(__xludf.DUMMYFUNCTION("""COMPUTED_VALUE"""),3.0)</f>
        <v>3</v>
      </c>
      <c r="AZ751" s="14">
        <f>IFERROR(__xludf.DUMMYFUNCTION("""COMPUTED_VALUE"""),0.112)</f>
        <v>0.112</v>
      </c>
      <c r="BA751" s="14">
        <f t="shared" si="1"/>
        <v>8.412</v>
      </c>
    </row>
    <row r="752" ht="14.25" customHeight="1">
      <c r="A752" s="10" t="str">
        <f>IFERROR(__xludf.DUMMYFUNCTION("""COMPUTED_VALUE"""),"271022MI02")</f>
        <v>271022MI02</v>
      </c>
      <c r="B752" s="12" t="str">
        <f>IFERROR(__xludf.DUMMYFUNCTION("""COMPUTED_VALUE"""),"QLI-El Satélite")</f>
        <v>QLI-El Satélite</v>
      </c>
      <c r="C752" s="12"/>
      <c r="D752" s="12"/>
      <c r="E752" s="44">
        <f>IFERROR(__xludf.DUMMYFUNCTION("""COMPUTED_VALUE"""),44861.0)</f>
        <v>44861</v>
      </c>
      <c r="F752" s="12" t="str">
        <f>IFERROR(__xludf.DUMMYFUNCTION("""COMPUTED_VALUE"""),"TIPO I")</f>
        <v>TIPO I</v>
      </c>
      <c r="G752" s="12" t="str">
        <f>IFERROR(__xludf.DUMMYFUNCTION("""COMPUTED_VALUE"""),"Presenta coloracion y se perciben olores")</f>
        <v>Presenta coloracion y se perciben olores</v>
      </c>
      <c r="H752" s="45">
        <f>IFERROR(__xludf.DUMMYFUNCTION("""COMPUTED_VALUE"""),0.4166666666678793)</f>
        <v>0.4166666667</v>
      </c>
      <c r="I752" s="45">
        <f>IFERROR(__xludf.DUMMYFUNCTION("""COMPUTED_VALUE"""),0.5)</f>
        <v>0.5</v>
      </c>
      <c r="J752" s="12">
        <f>IFERROR(__xludf.DUMMYFUNCTION("""COMPUTED_VALUE"""),2.5)</f>
        <v>2.5</v>
      </c>
      <c r="K752" s="12">
        <f>IFERROR(__xludf.DUMMYFUNCTION("""COMPUTED_VALUE"""),0.23)</f>
        <v>0.23</v>
      </c>
      <c r="L752" s="14">
        <f>IFERROR(__xludf.DUMMYFUNCTION("""COMPUTED_VALUE"""),162.866)</f>
        <v>162.866</v>
      </c>
      <c r="M752" s="14">
        <f>IFERROR(__xludf.DUMMYFUNCTION("""COMPUTED_VALUE"""),163.63)</f>
        <v>163.63</v>
      </c>
      <c r="N752" s="14">
        <f>IFERROR(__xludf.DUMMYFUNCTION("""COMPUTED_VALUE"""),164.347)</f>
        <v>164.347</v>
      </c>
      <c r="O752" s="14">
        <f>IFERROR(__xludf.DUMMYFUNCTION("""COMPUTED_VALUE"""),162.313)</f>
        <v>162.313</v>
      </c>
      <c r="P752" s="14">
        <f>IFERROR(__xludf.DUMMYFUNCTION("""COMPUTED_VALUE"""),163.077)</f>
        <v>163.077</v>
      </c>
      <c r="Q752" s="14">
        <f>IFERROR(__xludf.DUMMYFUNCTION("""COMPUTED_VALUE"""),163.247)</f>
        <v>163.247</v>
      </c>
      <c r="R752" s="48">
        <f>IFERROR(__xludf.DUMMYFUNCTION("""COMPUTED_VALUE"""),7.81)</f>
        <v>7.81</v>
      </c>
      <c r="S752" s="48">
        <f>IFERROR(__xludf.DUMMYFUNCTION("""COMPUTED_VALUE"""),7.86)</f>
        <v>7.86</v>
      </c>
      <c r="T752" s="48">
        <f>IFERROR(__xludf.DUMMYFUNCTION("""COMPUTED_VALUE"""),7.89)</f>
        <v>7.89</v>
      </c>
      <c r="U752" s="48">
        <f>IFERROR(__xludf.DUMMYFUNCTION("""COMPUTED_VALUE"""),7.88)</f>
        <v>7.88</v>
      </c>
      <c r="V752" s="48">
        <f>IFERROR(__xludf.DUMMYFUNCTION("""COMPUTED_VALUE"""),7.91)</f>
        <v>7.91</v>
      </c>
      <c r="W752" s="14">
        <f>IFERROR(__xludf.DUMMYFUNCTION("""COMPUTED_VALUE"""),7.869999999999999)</f>
        <v>7.87</v>
      </c>
      <c r="X752" s="14">
        <f>IFERROR(__xludf.DUMMYFUNCTION("""COMPUTED_VALUE"""),16.3)</f>
        <v>16.3</v>
      </c>
      <c r="Y752" s="14">
        <f>IFERROR(__xludf.DUMMYFUNCTION("""COMPUTED_VALUE"""),16.8)</f>
        <v>16.8</v>
      </c>
      <c r="Z752" s="14">
        <f>IFERROR(__xludf.DUMMYFUNCTION("""COMPUTED_VALUE"""),16.6)</f>
        <v>16.6</v>
      </c>
      <c r="AA752" s="14">
        <f>IFERROR(__xludf.DUMMYFUNCTION("""COMPUTED_VALUE"""),16.4)</f>
        <v>16.4</v>
      </c>
      <c r="AB752" s="14">
        <f>IFERROR(__xludf.DUMMYFUNCTION("""COMPUTED_VALUE"""),16.0)</f>
        <v>16</v>
      </c>
      <c r="AC752" s="14">
        <f>IFERROR(__xludf.DUMMYFUNCTION("""COMPUTED_VALUE"""),16.419999999999998)</f>
        <v>16.42</v>
      </c>
      <c r="AD752" s="48">
        <f>IFERROR(__xludf.DUMMYFUNCTION("""COMPUTED_VALUE"""),422.0)</f>
        <v>422</v>
      </c>
      <c r="AE752" s="48">
        <f>IFERROR(__xludf.DUMMYFUNCTION("""COMPUTED_VALUE"""),425.0)</f>
        <v>425</v>
      </c>
      <c r="AF752" s="48">
        <f>IFERROR(__xludf.DUMMYFUNCTION("""COMPUTED_VALUE"""),486.0)</f>
        <v>486</v>
      </c>
      <c r="AG752" s="48">
        <f>IFERROR(__xludf.DUMMYFUNCTION("""COMPUTED_VALUE"""),523.0)</f>
        <v>523</v>
      </c>
      <c r="AH752" s="48">
        <f>IFERROR(__xludf.DUMMYFUNCTION("""COMPUTED_VALUE"""),545.0)</f>
        <v>545</v>
      </c>
      <c r="AI752" s="14">
        <f>IFERROR(__xludf.DUMMYFUNCTION("""COMPUTED_VALUE"""),480.2)</f>
        <v>480.2</v>
      </c>
      <c r="AJ752" s="14">
        <f>IFERROR(__xludf.DUMMYFUNCTION("""COMPUTED_VALUE"""),4.66)</f>
        <v>4.66</v>
      </c>
      <c r="AK752" s="14">
        <f>IFERROR(__xludf.DUMMYFUNCTION("""COMPUTED_VALUE"""),5.09)</f>
        <v>5.09</v>
      </c>
      <c r="AL752" s="14">
        <f>IFERROR(__xludf.DUMMYFUNCTION("""COMPUTED_VALUE"""),4.9)</f>
        <v>4.9</v>
      </c>
      <c r="AM752" s="14">
        <f>IFERROR(__xludf.DUMMYFUNCTION("""COMPUTED_VALUE"""),4.6)</f>
        <v>4.6</v>
      </c>
      <c r="AN752" s="14">
        <f>IFERROR(__xludf.DUMMYFUNCTION("""COMPUTED_VALUE"""),4.87)</f>
        <v>4.87</v>
      </c>
      <c r="AO752" s="14">
        <f>IFERROR(__xludf.DUMMYFUNCTION("""COMPUTED_VALUE"""),4.824)</f>
        <v>4.824</v>
      </c>
      <c r="AP752" s="14">
        <f>IFERROR(__xludf.DUMMYFUNCTION("""COMPUTED_VALUE"""),36.0)</f>
        <v>36</v>
      </c>
      <c r="AQ752" s="14">
        <f>IFERROR(__xludf.DUMMYFUNCTION("""COMPUTED_VALUE"""),52.0)</f>
        <v>52</v>
      </c>
      <c r="AR752" s="14">
        <f>IFERROR(__xludf.DUMMYFUNCTION("""COMPUTED_VALUE"""),378.0)</f>
        <v>378</v>
      </c>
      <c r="AS752" s="14">
        <f>IFERROR(__xludf.DUMMYFUNCTION("""COMPUTED_VALUE"""),1.2)</f>
        <v>1.2</v>
      </c>
      <c r="AT752" s="14">
        <f>IFERROR(__xludf.DUMMYFUNCTION("""COMPUTED_VALUE"""),0.99)</f>
        <v>0.99</v>
      </c>
      <c r="AU752" s="14">
        <f>IFERROR(__xludf.DUMMYFUNCTION("""COMPUTED_VALUE"""),148300.0)</f>
        <v>148300</v>
      </c>
      <c r="AV752" s="14">
        <f>IFERROR(__xludf.DUMMYFUNCTION("""COMPUTED_VALUE"""),2.31)</f>
        <v>2.31</v>
      </c>
      <c r="AW752" s="14">
        <f>IFERROR(__xludf.DUMMYFUNCTION("""COMPUTED_VALUE"""),16.5)</f>
        <v>16.5</v>
      </c>
      <c r="AX752" s="14">
        <f>IFERROR(__xludf.DUMMYFUNCTION("""COMPUTED_VALUE"""),13340.0)</f>
        <v>13340</v>
      </c>
      <c r="AY752" s="14">
        <f>IFERROR(__xludf.DUMMYFUNCTION("""COMPUTED_VALUE"""),1.2)</f>
        <v>1.2</v>
      </c>
      <c r="AZ752" s="14">
        <f>IFERROR(__xludf.DUMMYFUNCTION("""COMPUTED_VALUE"""),0.169)</f>
        <v>0.169</v>
      </c>
      <c r="BA752" s="14">
        <f t="shared" si="1"/>
        <v>17.869</v>
      </c>
    </row>
    <row r="753" ht="14.25" customHeight="1">
      <c r="A753" s="10" t="str">
        <f>IFERROR(__xludf.DUMMYFUNCTION("""COMPUTED_VALUE"""),"271022DI02")</f>
        <v>271022DI02</v>
      </c>
      <c r="B753" s="12" t="str">
        <f>IFERROR(__xludf.DUMMYFUNCTION("""COMPUTED_VALUE"""),"QCH-La Orquídea")</f>
        <v>QCH-La Orquídea</v>
      </c>
      <c r="C753" s="12"/>
      <c r="D753" s="12"/>
      <c r="E753" s="44">
        <f>IFERROR(__xludf.DUMMYFUNCTION("""COMPUTED_VALUE"""),44861.0)</f>
        <v>44861</v>
      </c>
      <c r="F753" s="12" t="str">
        <f>IFERROR(__xludf.DUMMYFUNCTION("""COMPUTED_VALUE"""),"TIPO I")</f>
        <v>TIPO I</v>
      </c>
      <c r="G753" s="12" t="str">
        <f>IFERROR(__xludf.DUMMYFUNCTION("""COMPUTED_VALUE"""),"presenta coloración y se perciben olores")</f>
        <v>presenta coloración y se perciben olores</v>
      </c>
      <c r="H753" s="45">
        <f>IFERROR(__xludf.DUMMYFUNCTION("""COMPUTED_VALUE"""),0.4166666666678793)</f>
        <v>0.4166666667</v>
      </c>
      <c r="I753" s="45">
        <f>IFERROR(__xludf.DUMMYFUNCTION("""COMPUTED_VALUE"""),0.5)</f>
        <v>0.5</v>
      </c>
      <c r="J753" s="12"/>
      <c r="K753" s="12"/>
      <c r="L753" s="14">
        <f>IFERROR(__xludf.DUMMYFUNCTION("""COMPUTED_VALUE"""),1.2438)</f>
        <v>1.2438</v>
      </c>
      <c r="M753" s="14">
        <f>IFERROR(__xludf.DUMMYFUNCTION("""COMPUTED_VALUE"""),1.3027)</f>
        <v>1.3027</v>
      </c>
      <c r="N753" s="14">
        <f>IFERROR(__xludf.DUMMYFUNCTION("""COMPUTED_VALUE"""),1.2169)</f>
        <v>1.2169</v>
      </c>
      <c r="O753" s="14">
        <f>IFERROR(__xludf.DUMMYFUNCTION("""COMPUTED_VALUE"""),1.1461)</f>
        <v>1.1461</v>
      </c>
      <c r="P753" s="14">
        <f>IFERROR(__xludf.DUMMYFUNCTION("""COMPUTED_VALUE"""),1.1551)</f>
        <v>1.1551</v>
      </c>
      <c r="Q753" s="14">
        <f>IFERROR(__xludf.DUMMYFUNCTION("""COMPUTED_VALUE"""),1.213)</f>
        <v>1.213</v>
      </c>
      <c r="R753" s="48">
        <f>IFERROR(__xludf.DUMMYFUNCTION("""COMPUTED_VALUE"""),8.09)</f>
        <v>8.09</v>
      </c>
      <c r="S753" s="48">
        <f>IFERROR(__xludf.DUMMYFUNCTION("""COMPUTED_VALUE"""),8.08)</f>
        <v>8.08</v>
      </c>
      <c r="T753" s="48">
        <f>IFERROR(__xludf.DUMMYFUNCTION("""COMPUTED_VALUE"""),8.05)</f>
        <v>8.05</v>
      </c>
      <c r="U753" s="48">
        <f>IFERROR(__xludf.DUMMYFUNCTION("""COMPUTED_VALUE"""),8.1)</f>
        <v>8.1</v>
      </c>
      <c r="V753" s="48">
        <f>IFERROR(__xludf.DUMMYFUNCTION("""COMPUTED_VALUE"""),8.07)</f>
        <v>8.07</v>
      </c>
      <c r="W753" s="14">
        <f>IFERROR(__xludf.DUMMYFUNCTION("""COMPUTED_VALUE"""),8.078)</f>
        <v>8.078</v>
      </c>
      <c r="X753" s="14">
        <f>IFERROR(__xludf.DUMMYFUNCTION("""COMPUTED_VALUE"""),17.1)</f>
        <v>17.1</v>
      </c>
      <c r="Y753" s="14">
        <f>IFERROR(__xludf.DUMMYFUNCTION("""COMPUTED_VALUE"""),18.3)</f>
        <v>18.3</v>
      </c>
      <c r="Z753" s="14">
        <f>IFERROR(__xludf.DUMMYFUNCTION("""COMPUTED_VALUE"""),17.3)</f>
        <v>17.3</v>
      </c>
      <c r="AA753" s="14">
        <f>IFERROR(__xludf.DUMMYFUNCTION("""COMPUTED_VALUE"""),16.2)</f>
        <v>16.2</v>
      </c>
      <c r="AB753" s="14">
        <f>IFERROR(__xludf.DUMMYFUNCTION("""COMPUTED_VALUE"""),15.7)</f>
        <v>15.7</v>
      </c>
      <c r="AC753" s="14">
        <f>IFERROR(__xludf.DUMMYFUNCTION("""COMPUTED_VALUE"""),16.92)</f>
        <v>16.92</v>
      </c>
      <c r="AD753" s="48">
        <f>IFERROR(__xludf.DUMMYFUNCTION("""COMPUTED_VALUE"""),657.0)</f>
        <v>657</v>
      </c>
      <c r="AE753" s="48">
        <f>IFERROR(__xludf.DUMMYFUNCTION("""COMPUTED_VALUE"""),621.0)</f>
        <v>621</v>
      </c>
      <c r="AF753" s="48">
        <f>IFERROR(__xludf.DUMMYFUNCTION("""COMPUTED_VALUE"""),646.0)</f>
        <v>646</v>
      </c>
      <c r="AG753" s="48">
        <f>IFERROR(__xludf.DUMMYFUNCTION("""COMPUTED_VALUE"""),618.0)</f>
        <v>618</v>
      </c>
      <c r="AH753" s="48">
        <f>IFERROR(__xludf.DUMMYFUNCTION("""COMPUTED_VALUE"""),608.0)</f>
        <v>608</v>
      </c>
      <c r="AI753" s="14">
        <f>IFERROR(__xludf.DUMMYFUNCTION("""COMPUTED_VALUE"""),630.0)</f>
        <v>630</v>
      </c>
      <c r="AJ753" s="14">
        <f>IFERROR(__xludf.DUMMYFUNCTION("""COMPUTED_VALUE"""),4.49)</f>
        <v>4.49</v>
      </c>
      <c r="AK753" s="14">
        <f>IFERROR(__xludf.DUMMYFUNCTION("""COMPUTED_VALUE"""),4.22)</f>
        <v>4.22</v>
      </c>
      <c r="AL753" s="14">
        <f>IFERROR(__xludf.DUMMYFUNCTION("""COMPUTED_VALUE"""),4.6)</f>
        <v>4.6</v>
      </c>
      <c r="AM753" s="14">
        <f>IFERROR(__xludf.DUMMYFUNCTION("""COMPUTED_VALUE"""),4.43)</f>
        <v>4.43</v>
      </c>
      <c r="AN753" s="14">
        <f>IFERROR(__xludf.DUMMYFUNCTION("""COMPUTED_VALUE"""),4.42)</f>
        <v>4.42</v>
      </c>
      <c r="AO753" s="14">
        <f>IFERROR(__xludf.DUMMYFUNCTION("""COMPUTED_VALUE"""),4.432)</f>
        <v>4.432</v>
      </c>
      <c r="AP753" s="14">
        <f>IFERROR(__xludf.DUMMYFUNCTION("""COMPUTED_VALUE"""),31.0)</f>
        <v>31</v>
      </c>
      <c r="AQ753" s="14">
        <f>IFERROR(__xludf.DUMMYFUNCTION("""COMPUTED_VALUE"""),40.0)</f>
        <v>40</v>
      </c>
      <c r="AR753" s="14">
        <f>IFERROR(__xludf.DUMMYFUNCTION("""COMPUTED_VALUE"""),46.0)</f>
        <v>46</v>
      </c>
      <c r="AS753" s="14">
        <f>IFERROR(__xludf.DUMMYFUNCTION("""COMPUTED_VALUE"""),1.2)</f>
        <v>1.2</v>
      </c>
      <c r="AT753" s="14">
        <f>IFERROR(__xludf.DUMMYFUNCTION("""COMPUTED_VALUE"""),0.37)</f>
        <v>0.37</v>
      </c>
      <c r="AU753" s="14">
        <f>IFERROR(__xludf.DUMMYFUNCTION("""COMPUTED_VALUE"""),98700.0)</f>
        <v>98700</v>
      </c>
      <c r="AV753" s="14">
        <f>IFERROR(__xludf.DUMMYFUNCTION("""COMPUTED_VALUE"""),0.13)</f>
        <v>0.13</v>
      </c>
      <c r="AW753" s="14">
        <f>IFERROR(__xludf.DUMMYFUNCTION("""COMPUTED_VALUE"""),2.2)</f>
        <v>2.2</v>
      </c>
      <c r="AX753" s="14">
        <f>IFERROR(__xludf.DUMMYFUNCTION("""COMPUTED_VALUE"""),7490.0)</f>
        <v>7490</v>
      </c>
      <c r="AY753" s="14">
        <f>IFERROR(__xludf.DUMMYFUNCTION("""COMPUTED_VALUE"""),2.9)</f>
        <v>2.9</v>
      </c>
      <c r="AZ753" s="14">
        <f>IFERROR(__xludf.DUMMYFUNCTION("""COMPUTED_VALUE"""),0.094)</f>
        <v>0.094</v>
      </c>
      <c r="BA753" s="14">
        <f t="shared" si="1"/>
        <v>5.194</v>
      </c>
    </row>
    <row r="754" ht="14.25" customHeight="1">
      <c r="A754" s="10" t="str">
        <f>IFERROR(__xludf.DUMMYFUNCTION("""COMPUTED_VALUE"""),"271022DI03")</f>
        <v>271022DI03</v>
      </c>
      <c r="B754" s="12" t="str">
        <f>IFERROR(__xludf.DUMMYFUNCTION("""COMPUTED_VALUE"""),"QCH-Cantarrana")</f>
        <v>QCH-Cantarrana</v>
      </c>
      <c r="C754" s="12"/>
      <c r="D754" s="12"/>
      <c r="E754" s="44">
        <f>IFERROR(__xludf.DUMMYFUNCTION("""COMPUTED_VALUE"""),44861.0)</f>
        <v>44861</v>
      </c>
      <c r="F754" s="12" t="str">
        <f>IFERROR(__xludf.DUMMYFUNCTION("""COMPUTED_VALUE"""),"TIPO I")</f>
        <v>TIPO I</v>
      </c>
      <c r="G754" s="12" t="str">
        <f>IFERROR(__xludf.DUMMYFUNCTION("""COMPUTED_VALUE"""),"Presenta coloración, se perciben olores y se observan residuos solidos en la fuente hidrica")</f>
        <v>Presenta coloración, se perciben olores y se observan residuos solidos en la fuente hidrica</v>
      </c>
      <c r="H754" s="45">
        <f>IFERROR(__xludf.DUMMYFUNCTION("""COMPUTED_VALUE"""),0.5833333333321207)</f>
        <v>0.5833333333</v>
      </c>
      <c r="I754" s="45">
        <f>IFERROR(__xludf.DUMMYFUNCTION("""COMPUTED_VALUE"""),0.6666666666678793)</f>
        <v>0.6666666667</v>
      </c>
      <c r="J754" s="12">
        <f>IFERROR(__xludf.DUMMYFUNCTION("""COMPUTED_VALUE"""),0.8)</f>
        <v>0.8</v>
      </c>
      <c r="K754" s="12">
        <f>IFERROR(__xludf.DUMMYFUNCTION("""COMPUTED_VALUE"""),0.41)</f>
        <v>0.41</v>
      </c>
      <c r="L754" s="14">
        <f>IFERROR(__xludf.DUMMYFUNCTION("""COMPUTED_VALUE"""),77.98)</f>
        <v>77.98</v>
      </c>
      <c r="M754" s="14">
        <f>IFERROR(__xludf.DUMMYFUNCTION("""COMPUTED_VALUE"""),74.565)</f>
        <v>74.565</v>
      </c>
      <c r="N754" s="14">
        <f>IFERROR(__xludf.DUMMYFUNCTION("""COMPUTED_VALUE"""),69.914)</f>
        <v>69.914</v>
      </c>
      <c r="O754" s="14">
        <f>IFERROR(__xludf.DUMMYFUNCTION("""COMPUTED_VALUE"""),70.753)</f>
        <v>70.753</v>
      </c>
      <c r="P754" s="14">
        <f>IFERROR(__xludf.DUMMYFUNCTION("""COMPUTED_VALUE"""),70.999)</f>
        <v>70.999</v>
      </c>
      <c r="Q754" s="14">
        <f>IFERROR(__xludf.DUMMYFUNCTION("""COMPUTED_VALUE"""),72.842)</f>
        <v>72.842</v>
      </c>
      <c r="R754" s="48">
        <f>IFERROR(__xludf.DUMMYFUNCTION("""COMPUTED_VALUE"""),7.97)</f>
        <v>7.97</v>
      </c>
      <c r="S754" s="48">
        <f>IFERROR(__xludf.DUMMYFUNCTION("""COMPUTED_VALUE"""),7.9)</f>
        <v>7.9</v>
      </c>
      <c r="T754" s="48">
        <f>IFERROR(__xludf.DUMMYFUNCTION("""COMPUTED_VALUE"""),7.94)</f>
        <v>7.94</v>
      </c>
      <c r="U754" s="48">
        <f>IFERROR(__xludf.DUMMYFUNCTION("""COMPUTED_VALUE"""),7.89)</f>
        <v>7.89</v>
      </c>
      <c r="V754" s="48">
        <f>IFERROR(__xludf.DUMMYFUNCTION("""COMPUTED_VALUE"""),7.89)</f>
        <v>7.89</v>
      </c>
      <c r="W754" s="14">
        <f>IFERROR(__xludf.DUMMYFUNCTION("""COMPUTED_VALUE"""),7.918000000000001)</f>
        <v>7.918</v>
      </c>
      <c r="X754" s="14">
        <f>IFERROR(__xludf.DUMMYFUNCTION("""COMPUTED_VALUE"""),16.7)</f>
        <v>16.7</v>
      </c>
      <c r="Y754" s="14">
        <f>IFERROR(__xludf.DUMMYFUNCTION("""COMPUTED_VALUE"""),16.2)</f>
        <v>16.2</v>
      </c>
      <c r="Z754" s="14">
        <f>IFERROR(__xludf.DUMMYFUNCTION("""COMPUTED_VALUE"""),16.3)</f>
        <v>16.3</v>
      </c>
      <c r="AA754" s="14">
        <f>IFERROR(__xludf.DUMMYFUNCTION("""COMPUTED_VALUE"""),15.9)</f>
        <v>15.9</v>
      </c>
      <c r="AB754" s="14">
        <f>IFERROR(__xludf.DUMMYFUNCTION("""COMPUTED_VALUE"""),15.7)</f>
        <v>15.7</v>
      </c>
      <c r="AC754" s="14">
        <f>IFERROR(__xludf.DUMMYFUNCTION("""COMPUTED_VALUE"""),16.160000000000004)</f>
        <v>16.16</v>
      </c>
      <c r="AD754" s="48">
        <f>IFERROR(__xludf.DUMMYFUNCTION("""COMPUTED_VALUE"""),357.0)</f>
        <v>357</v>
      </c>
      <c r="AE754" s="48">
        <f>IFERROR(__xludf.DUMMYFUNCTION("""COMPUTED_VALUE"""),415.0)</f>
        <v>415</v>
      </c>
      <c r="AF754" s="48">
        <f>IFERROR(__xludf.DUMMYFUNCTION("""COMPUTED_VALUE"""),480.0)</f>
        <v>480</v>
      </c>
      <c r="AG754" s="48">
        <f>IFERROR(__xludf.DUMMYFUNCTION("""COMPUTED_VALUE"""),527.0)</f>
        <v>527</v>
      </c>
      <c r="AH754" s="48">
        <f>IFERROR(__xludf.DUMMYFUNCTION("""COMPUTED_VALUE"""),536.0)</f>
        <v>536</v>
      </c>
      <c r="AI754" s="14">
        <f>IFERROR(__xludf.DUMMYFUNCTION("""COMPUTED_VALUE"""),463.0)</f>
        <v>463</v>
      </c>
      <c r="AJ754" s="14">
        <f>IFERROR(__xludf.DUMMYFUNCTION("""COMPUTED_VALUE"""),4.18)</f>
        <v>4.18</v>
      </c>
      <c r="AK754" s="14">
        <f>IFERROR(__xludf.DUMMYFUNCTION("""COMPUTED_VALUE"""),4.13)</f>
        <v>4.13</v>
      </c>
      <c r="AL754" s="14">
        <f>IFERROR(__xludf.DUMMYFUNCTION("""COMPUTED_VALUE"""),4.17)</f>
        <v>4.17</v>
      </c>
      <c r="AM754" s="14">
        <f>IFERROR(__xludf.DUMMYFUNCTION("""COMPUTED_VALUE"""),4.33)</f>
        <v>4.33</v>
      </c>
      <c r="AN754" s="14">
        <f>IFERROR(__xludf.DUMMYFUNCTION("""COMPUTED_VALUE"""),4.49)</f>
        <v>4.49</v>
      </c>
      <c r="AO754" s="14">
        <f>IFERROR(__xludf.DUMMYFUNCTION("""COMPUTED_VALUE"""),4.26)</f>
        <v>4.26</v>
      </c>
      <c r="AP754" s="14">
        <f>IFERROR(__xludf.DUMMYFUNCTION("""COMPUTED_VALUE"""),141.0)</f>
        <v>141</v>
      </c>
      <c r="AQ754" s="14">
        <f>IFERROR(__xludf.DUMMYFUNCTION("""COMPUTED_VALUE"""),229.0)</f>
        <v>229</v>
      </c>
      <c r="AR754" s="14">
        <f>IFERROR(__xludf.DUMMYFUNCTION("""COMPUTED_VALUE"""),166.0)</f>
        <v>166</v>
      </c>
      <c r="AS754" s="14">
        <f>IFERROR(__xludf.DUMMYFUNCTION("""COMPUTED_VALUE"""),1.2)</f>
        <v>1.2</v>
      </c>
      <c r="AT754" s="14">
        <f>IFERROR(__xludf.DUMMYFUNCTION("""COMPUTED_VALUE"""),6.16)</f>
        <v>6.16</v>
      </c>
      <c r="AU754" s="14">
        <f>IFERROR(__xludf.DUMMYFUNCTION("""COMPUTED_VALUE"""),5730000.0)</f>
        <v>5730000</v>
      </c>
      <c r="AV754" s="14">
        <f>IFERROR(__xludf.DUMMYFUNCTION("""COMPUTED_VALUE"""),1.75)</f>
        <v>1.75</v>
      </c>
      <c r="AW754" s="14">
        <f>IFERROR(__xludf.DUMMYFUNCTION("""COMPUTED_VALUE"""),18.2)</f>
        <v>18.2</v>
      </c>
      <c r="AX754" s="14">
        <f>IFERROR(__xludf.DUMMYFUNCTION("""COMPUTED_VALUE"""),488000.0)</f>
        <v>488000</v>
      </c>
      <c r="AY754" s="14">
        <f>IFERROR(__xludf.DUMMYFUNCTION("""COMPUTED_VALUE"""),0.6)</f>
        <v>0.6</v>
      </c>
      <c r="AZ754" s="14">
        <f>IFERROR(__xludf.DUMMYFUNCTION("""COMPUTED_VALUE"""),0.007)</f>
        <v>0.007</v>
      </c>
      <c r="BA754" s="14">
        <f t="shared" si="1"/>
        <v>18.807</v>
      </c>
    </row>
    <row r="755" ht="14.25" customHeight="1">
      <c r="A755" s="10" t="str">
        <f>IFERROR(__xludf.DUMMYFUNCTION("""COMPUTED_VALUE"""),"311022WI01")</f>
        <v>311022WI01</v>
      </c>
      <c r="B755" s="12" t="str">
        <f>IFERROR(__xludf.DUMMYFUNCTION("""COMPUTED_VALUE"""),"CMO-Cantón Norte")</f>
        <v>CMO-Cantón Norte</v>
      </c>
      <c r="C755" s="12"/>
      <c r="D755" s="12"/>
      <c r="E755" s="44">
        <f>IFERROR(__xludf.DUMMYFUNCTION("""COMPUTED_VALUE"""),44865.0)</f>
        <v>44865</v>
      </c>
      <c r="F755" s="12" t="str">
        <f>IFERROR(__xludf.DUMMYFUNCTION("""COMPUTED_VALUE"""),"TIPO I")</f>
        <v>TIPO I</v>
      </c>
      <c r="G755" s="12" t="str">
        <f>IFERROR(__xludf.DUMMYFUNCTION("""COMPUTED_VALUE"""),"presenta coloración, se perciben olores")</f>
        <v>presenta coloración, se perciben olores</v>
      </c>
      <c r="H755" s="45">
        <f>IFERROR(__xludf.DUMMYFUNCTION("""COMPUTED_VALUE"""),0.3333333333321207)</f>
        <v>0.3333333333</v>
      </c>
      <c r="I755" s="45">
        <f>IFERROR(__xludf.DUMMYFUNCTION("""COMPUTED_VALUE"""),0.4166666666678793)</f>
        <v>0.4166666667</v>
      </c>
      <c r="J755" s="12">
        <f>IFERROR(__xludf.DUMMYFUNCTION("""COMPUTED_VALUE"""),2.3)</f>
        <v>2.3</v>
      </c>
      <c r="K755" s="12">
        <f>IFERROR(__xludf.DUMMYFUNCTION("""COMPUTED_VALUE"""),0.15)</f>
        <v>0.15</v>
      </c>
      <c r="L755" s="14">
        <f>IFERROR(__xludf.DUMMYFUNCTION("""COMPUTED_VALUE"""),317.3)</f>
        <v>317.3</v>
      </c>
      <c r="M755" s="14">
        <f>IFERROR(__xludf.DUMMYFUNCTION("""COMPUTED_VALUE"""),338.822)</f>
        <v>338.822</v>
      </c>
      <c r="N755" s="14">
        <f>IFERROR(__xludf.DUMMYFUNCTION("""COMPUTED_VALUE"""),312.235)</f>
        <v>312.235</v>
      </c>
      <c r="O755" s="14">
        <f>IFERROR(__xludf.DUMMYFUNCTION("""COMPUTED_VALUE"""),315.908)</f>
        <v>315.908</v>
      </c>
      <c r="P755" s="14">
        <f>IFERROR(__xludf.DUMMYFUNCTION("""COMPUTED_VALUE"""),303.575)</f>
        <v>303.575</v>
      </c>
      <c r="Q755" s="14">
        <f>IFERROR(__xludf.DUMMYFUNCTION("""COMPUTED_VALUE"""),317.568)</f>
        <v>317.568</v>
      </c>
      <c r="R755" s="48">
        <f>IFERROR(__xludf.DUMMYFUNCTION("""COMPUTED_VALUE"""),7.82)</f>
        <v>7.82</v>
      </c>
      <c r="S755" s="48">
        <f>IFERROR(__xludf.DUMMYFUNCTION("""COMPUTED_VALUE"""),7.57)</f>
        <v>7.57</v>
      </c>
      <c r="T755" s="48">
        <f>IFERROR(__xludf.DUMMYFUNCTION("""COMPUTED_VALUE"""),7.58)</f>
        <v>7.58</v>
      </c>
      <c r="U755" s="48">
        <f>IFERROR(__xludf.DUMMYFUNCTION("""COMPUTED_VALUE"""),7.51)</f>
        <v>7.51</v>
      </c>
      <c r="V755" s="48">
        <f>IFERROR(__xludf.DUMMYFUNCTION("""COMPUTED_VALUE"""),7.75)</f>
        <v>7.75</v>
      </c>
      <c r="W755" s="14">
        <f>IFERROR(__xludf.DUMMYFUNCTION("""COMPUTED_VALUE"""),7.645999999999999)</f>
        <v>7.646</v>
      </c>
      <c r="X755" s="14">
        <f>IFERROR(__xludf.DUMMYFUNCTION("""COMPUTED_VALUE"""),11.8)</f>
        <v>11.8</v>
      </c>
      <c r="Y755" s="14">
        <f>IFERROR(__xludf.DUMMYFUNCTION("""COMPUTED_VALUE"""),11.8)</f>
        <v>11.8</v>
      </c>
      <c r="Z755" s="14">
        <f>IFERROR(__xludf.DUMMYFUNCTION("""COMPUTED_VALUE"""),12.3)</f>
        <v>12.3</v>
      </c>
      <c r="AA755" s="14">
        <f>IFERROR(__xludf.DUMMYFUNCTION("""COMPUTED_VALUE"""),12.5)</f>
        <v>12.5</v>
      </c>
      <c r="AB755" s="14">
        <f>IFERROR(__xludf.DUMMYFUNCTION("""COMPUTED_VALUE"""),12.7)</f>
        <v>12.7</v>
      </c>
      <c r="AC755" s="14">
        <f>IFERROR(__xludf.DUMMYFUNCTION("""COMPUTED_VALUE"""),12.220000000000002)</f>
        <v>12.22</v>
      </c>
      <c r="AD755" s="48">
        <f>IFERROR(__xludf.DUMMYFUNCTION("""COMPUTED_VALUE"""),113.0)</f>
        <v>113</v>
      </c>
      <c r="AE755" s="48">
        <f>IFERROR(__xludf.DUMMYFUNCTION("""COMPUTED_VALUE"""),132.0)</f>
        <v>132</v>
      </c>
      <c r="AF755" s="48">
        <f>IFERROR(__xludf.DUMMYFUNCTION("""COMPUTED_VALUE"""),152.0)</f>
        <v>152</v>
      </c>
      <c r="AG755" s="48">
        <f>IFERROR(__xludf.DUMMYFUNCTION("""COMPUTED_VALUE"""),171.0)</f>
        <v>171</v>
      </c>
      <c r="AH755" s="48">
        <f>IFERROR(__xludf.DUMMYFUNCTION("""COMPUTED_VALUE"""),179.0)</f>
        <v>179</v>
      </c>
      <c r="AI755" s="14">
        <f>IFERROR(__xludf.DUMMYFUNCTION("""COMPUTED_VALUE"""),149.4)</f>
        <v>149.4</v>
      </c>
      <c r="AJ755" s="14">
        <f>IFERROR(__xludf.DUMMYFUNCTION("""COMPUTED_VALUE"""),6.31)</f>
        <v>6.31</v>
      </c>
      <c r="AK755" s="14">
        <f>IFERROR(__xludf.DUMMYFUNCTION("""COMPUTED_VALUE"""),6.1)</f>
        <v>6.1</v>
      </c>
      <c r="AL755" s="14">
        <f>IFERROR(__xludf.DUMMYFUNCTION("""COMPUTED_VALUE"""),6.27)</f>
        <v>6.27</v>
      </c>
      <c r="AM755" s="14">
        <f>IFERROR(__xludf.DUMMYFUNCTION("""COMPUTED_VALUE"""),6.13)</f>
        <v>6.13</v>
      </c>
      <c r="AN755" s="14">
        <f>IFERROR(__xludf.DUMMYFUNCTION("""COMPUTED_VALUE"""),6.21)</f>
        <v>6.21</v>
      </c>
      <c r="AO755" s="14">
        <f>IFERROR(__xludf.DUMMYFUNCTION("""COMPUTED_VALUE"""),6.204)</f>
        <v>6.204</v>
      </c>
      <c r="AP755" s="14">
        <f>IFERROR(__xludf.DUMMYFUNCTION("""COMPUTED_VALUE"""),7.0)</f>
        <v>7</v>
      </c>
      <c r="AQ755" s="14">
        <f>IFERROR(__xludf.DUMMYFUNCTION("""COMPUTED_VALUE"""),11.0)</f>
        <v>11</v>
      </c>
      <c r="AR755" s="14">
        <f>IFERROR(__xludf.DUMMYFUNCTION("""COMPUTED_VALUE"""),10.0)</f>
        <v>10</v>
      </c>
      <c r="AS755" s="14">
        <f>IFERROR(__xludf.DUMMYFUNCTION("""COMPUTED_VALUE"""),1.2)</f>
        <v>1.2</v>
      </c>
      <c r="AT755" s="14">
        <f>IFERROR(__xludf.DUMMYFUNCTION("""COMPUTED_VALUE"""),0.07)</f>
        <v>0.07</v>
      </c>
      <c r="AU755" s="14">
        <f>IFERROR(__xludf.DUMMYFUNCTION("""COMPUTED_VALUE"""),979000.0)</f>
        <v>979000</v>
      </c>
      <c r="AV755" s="14">
        <f>IFERROR(__xludf.DUMMYFUNCTION("""COMPUTED_VALUE"""),0.55)</f>
        <v>0.55</v>
      </c>
      <c r="AW755" s="14">
        <f>IFERROR(__xludf.DUMMYFUNCTION("""COMPUTED_VALUE"""),7.3)</f>
        <v>7.3</v>
      </c>
      <c r="AX755" s="14">
        <f>IFERROR(__xludf.DUMMYFUNCTION("""COMPUTED_VALUE"""),77600.0)</f>
        <v>77600</v>
      </c>
      <c r="AY755" s="14">
        <f>IFERROR(__xludf.DUMMYFUNCTION("""COMPUTED_VALUE"""),1.4)</f>
        <v>1.4</v>
      </c>
      <c r="AZ755" s="14">
        <f>IFERROR(__xludf.DUMMYFUNCTION("""COMPUTED_VALUE"""),0.144)</f>
        <v>0.144</v>
      </c>
      <c r="BA755" s="14">
        <f t="shared" si="1"/>
        <v>8.844</v>
      </c>
    </row>
    <row r="756" ht="14.25" customHeight="1">
      <c r="A756" s="10" t="str">
        <f>IFERROR(__xludf.DUMMYFUNCTION("""COMPUTED_VALUE"""),"311022WI02")</f>
        <v>311022WI02</v>
      </c>
      <c r="B756" s="12" t="str">
        <f>IFERROR(__xludf.DUMMYFUNCTION("""COMPUTED_VALUE"""),"CMO-Santa Ana")</f>
        <v>CMO-Santa Ana</v>
      </c>
      <c r="C756" s="12"/>
      <c r="D756" s="12"/>
      <c r="E756" s="44">
        <f>IFERROR(__xludf.DUMMYFUNCTION("""COMPUTED_VALUE"""),44865.0)</f>
        <v>44865</v>
      </c>
      <c r="F756" s="12" t="str">
        <f>IFERROR(__xludf.DUMMYFUNCTION("""COMPUTED_VALUE"""),"TIPO I")</f>
        <v>TIPO I</v>
      </c>
      <c r="G756" s="12" t="str">
        <f>IFERROR(__xludf.DUMMYFUNCTION("""COMPUTED_VALUE"""),"Presenta coloración, se perciben olores, la ultima alícuota no se toma debido a fuertes lluvias, se observa un vertimiento 10m aguas arriba del punto de monitoreo en la margen izquierda del canal ")</f>
        <v>Presenta coloración, se perciben olores, la ultima alícuota no se toma debido a fuertes lluvias, se observa un vertimiento 10m aguas arriba del punto de monitoreo en la margen izquierda del canal </v>
      </c>
      <c r="H756" s="45">
        <f>IFERROR(__xludf.DUMMYFUNCTION("""COMPUTED_VALUE"""),0.5)</f>
        <v>0.5</v>
      </c>
      <c r="I756" s="45">
        <f>IFERROR(__xludf.DUMMYFUNCTION("""COMPUTED_VALUE"""),0.5833333333321207)</f>
        <v>0.5833333333</v>
      </c>
      <c r="J756" s="12">
        <f>IFERROR(__xludf.DUMMYFUNCTION("""COMPUTED_VALUE"""),3.3)</f>
        <v>3.3</v>
      </c>
      <c r="K756" s="12">
        <f>IFERROR(__xludf.DUMMYFUNCTION("""COMPUTED_VALUE"""),0.17)</f>
        <v>0.17</v>
      </c>
      <c r="L756" s="14">
        <f>IFERROR(__xludf.DUMMYFUNCTION("""COMPUTED_VALUE"""),537.088)</f>
        <v>537.088</v>
      </c>
      <c r="M756" s="14">
        <f>IFERROR(__xludf.DUMMYFUNCTION("""COMPUTED_VALUE"""),528.396)</f>
        <v>528.396</v>
      </c>
      <c r="N756" s="14">
        <f>IFERROR(__xludf.DUMMYFUNCTION("""COMPUTED_VALUE"""),566.687)</f>
        <v>566.687</v>
      </c>
      <c r="O756" s="14">
        <f>IFERROR(__xludf.DUMMYFUNCTION("""COMPUTED_VALUE"""),552.861)</f>
        <v>552.861</v>
      </c>
      <c r="P756" s="14"/>
      <c r="Q756" s="14">
        <f>IFERROR(__xludf.DUMMYFUNCTION("""COMPUTED_VALUE"""),546.258)</f>
        <v>546.258</v>
      </c>
      <c r="R756" s="48">
        <f>IFERROR(__xludf.DUMMYFUNCTION("""COMPUTED_VALUE"""),7.44)</f>
        <v>7.44</v>
      </c>
      <c r="S756" s="48">
        <f>IFERROR(__xludf.DUMMYFUNCTION("""COMPUTED_VALUE"""),7.39)</f>
        <v>7.39</v>
      </c>
      <c r="T756" s="48">
        <f>IFERROR(__xludf.DUMMYFUNCTION("""COMPUTED_VALUE"""),7.34)</f>
        <v>7.34</v>
      </c>
      <c r="U756" s="48">
        <f>IFERROR(__xludf.DUMMYFUNCTION("""COMPUTED_VALUE"""),7.24)</f>
        <v>7.24</v>
      </c>
      <c r="V756" s="48"/>
      <c r="W756" s="14">
        <f>IFERROR(__xludf.DUMMYFUNCTION("""COMPUTED_VALUE"""),7.352500000000001)</f>
        <v>7.3525</v>
      </c>
      <c r="X756" s="14">
        <f>IFERROR(__xludf.DUMMYFUNCTION("""COMPUTED_VALUE"""),17.6)</f>
        <v>17.6</v>
      </c>
      <c r="Y756" s="14">
        <f>IFERROR(__xludf.DUMMYFUNCTION("""COMPUTED_VALUE"""),16.4)</f>
        <v>16.4</v>
      </c>
      <c r="Z756" s="14">
        <f>IFERROR(__xludf.DUMMYFUNCTION("""COMPUTED_VALUE"""),15.6)</f>
        <v>15.6</v>
      </c>
      <c r="AA756" s="14">
        <f>IFERROR(__xludf.DUMMYFUNCTION("""COMPUTED_VALUE"""),15.3)</f>
        <v>15.3</v>
      </c>
      <c r="AB756" s="14"/>
      <c r="AC756" s="14">
        <f>IFERROR(__xludf.DUMMYFUNCTION("""COMPUTED_VALUE"""),16.225)</f>
        <v>16.225</v>
      </c>
      <c r="AD756" s="48">
        <f>IFERROR(__xludf.DUMMYFUNCTION("""COMPUTED_VALUE"""),221.0)</f>
        <v>221</v>
      </c>
      <c r="AE756" s="48">
        <f>IFERROR(__xludf.DUMMYFUNCTION("""COMPUTED_VALUE"""),220.0)</f>
        <v>220</v>
      </c>
      <c r="AF756" s="48">
        <f>IFERROR(__xludf.DUMMYFUNCTION("""COMPUTED_VALUE"""),229.0)</f>
        <v>229</v>
      </c>
      <c r="AG756" s="48">
        <f>IFERROR(__xludf.DUMMYFUNCTION("""COMPUTED_VALUE"""),206.0)</f>
        <v>206</v>
      </c>
      <c r="AH756" s="48"/>
      <c r="AI756" s="14">
        <f>IFERROR(__xludf.DUMMYFUNCTION("""COMPUTED_VALUE"""),219.0)</f>
        <v>219</v>
      </c>
      <c r="AJ756" s="14">
        <f>IFERROR(__xludf.DUMMYFUNCTION("""COMPUTED_VALUE"""),3.07)</f>
        <v>3.07</v>
      </c>
      <c r="AK756" s="14">
        <f>IFERROR(__xludf.DUMMYFUNCTION("""COMPUTED_VALUE"""),3.12)</f>
        <v>3.12</v>
      </c>
      <c r="AL756" s="14">
        <f>IFERROR(__xludf.DUMMYFUNCTION("""COMPUTED_VALUE"""),3.14)</f>
        <v>3.14</v>
      </c>
      <c r="AM756" s="14">
        <f>IFERROR(__xludf.DUMMYFUNCTION("""COMPUTED_VALUE"""),3.3)</f>
        <v>3.3</v>
      </c>
      <c r="AN756" s="14"/>
      <c r="AO756" s="14">
        <f>IFERROR(__xludf.DUMMYFUNCTION("""COMPUTED_VALUE"""),3.1574999999999998)</f>
        <v>3.1575</v>
      </c>
      <c r="AP756" s="14">
        <f>IFERROR(__xludf.DUMMYFUNCTION("""COMPUTED_VALUE"""),15.0)</f>
        <v>15</v>
      </c>
      <c r="AQ756" s="14">
        <f>IFERROR(__xludf.DUMMYFUNCTION("""COMPUTED_VALUE"""),22.0)</f>
        <v>22</v>
      </c>
      <c r="AR756" s="14">
        <f>IFERROR(__xludf.DUMMYFUNCTION("""COMPUTED_VALUE"""),26.0)</f>
        <v>26</v>
      </c>
      <c r="AS756" s="14">
        <f>IFERROR(__xludf.DUMMYFUNCTION("""COMPUTED_VALUE"""),1.2)</f>
        <v>1.2</v>
      </c>
      <c r="AT756" s="14">
        <f>IFERROR(__xludf.DUMMYFUNCTION("""COMPUTED_VALUE"""),1.62)</f>
        <v>1.62</v>
      </c>
      <c r="AU756" s="14">
        <f>IFERROR(__xludf.DUMMYFUNCTION("""COMPUTED_VALUE"""),1259000.0)</f>
        <v>1259000</v>
      </c>
      <c r="AV756" s="14">
        <f>IFERROR(__xludf.DUMMYFUNCTION("""COMPUTED_VALUE"""),0.93)</f>
        <v>0.93</v>
      </c>
      <c r="AW756" s="14">
        <f>IFERROR(__xludf.DUMMYFUNCTION("""COMPUTED_VALUE"""),12.6)</f>
        <v>12.6</v>
      </c>
      <c r="AX756" s="14">
        <f>IFERROR(__xludf.DUMMYFUNCTION("""COMPUTED_VALUE"""),88200.0)</f>
        <v>88200</v>
      </c>
      <c r="AY756" s="14">
        <f>IFERROR(__xludf.DUMMYFUNCTION("""COMPUTED_VALUE"""),0.1)</f>
        <v>0.1</v>
      </c>
      <c r="AZ756" s="14">
        <f>IFERROR(__xludf.DUMMYFUNCTION("""COMPUTED_VALUE"""),0.007)</f>
        <v>0.007</v>
      </c>
      <c r="BA756" s="14">
        <f t="shared" si="1"/>
        <v>12.707</v>
      </c>
    </row>
    <row r="757" ht="14.25" customHeight="1">
      <c r="A757" s="10" t="str">
        <f>IFERROR(__xludf.DUMMYFUNCTION("""COMPUTED_VALUE"""),"011122FE02")</f>
        <v>011122FE02</v>
      </c>
      <c r="B757" s="12" t="str">
        <f>IFERROR(__xludf.DUMMYFUNCTION("""COMPUTED_VALUE"""),"COR-Humedal Córdoba")</f>
        <v>COR-Humedal Córdoba</v>
      </c>
      <c r="C757" s="12"/>
      <c r="D757" s="12"/>
      <c r="E757" s="44">
        <f>IFERROR(__xludf.DUMMYFUNCTION("""COMPUTED_VALUE"""),44562.0)</f>
        <v>44562</v>
      </c>
      <c r="F757" s="12" t="str">
        <f>IFERROR(__xludf.DUMMYFUNCTION("""COMPUTED_VALUE"""),"TIPO I")</f>
        <v>TIPO I</v>
      </c>
      <c r="G757" s="12" t="str">
        <f>IFERROR(__xludf.DUMMYFUNCTION("""COMPUTED_VALUE"""),"Estructura del canal natural lecho lodoso - rocoso, el cuerpo de agua presenta color y olor aparente. 
Altitud: 2560 msnm.")</f>
        <v>Estructura del canal natural lecho lodoso - rocoso, el cuerpo de agua presenta color y olor aparente. 
Altitud: 2560 msnm.</v>
      </c>
      <c r="H757" s="45">
        <f>IFERROR(__xludf.DUMMYFUNCTION("""COMPUTED_VALUE"""),0.5)</f>
        <v>0.5</v>
      </c>
      <c r="I757" s="45">
        <f>IFERROR(__xludf.DUMMYFUNCTION("""COMPUTED_VALUE"""),0.5833333333321207)</f>
        <v>0.5833333333</v>
      </c>
      <c r="J757" s="12">
        <f>IFERROR(__xludf.DUMMYFUNCTION("""COMPUTED_VALUE"""),9.0)</f>
        <v>9</v>
      </c>
      <c r="K757" s="12">
        <f>IFERROR(__xludf.DUMMYFUNCTION("""COMPUTED_VALUE"""),0.61)</f>
        <v>0.61</v>
      </c>
      <c r="L757" s="14">
        <f>IFERROR(__xludf.DUMMYFUNCTION("""COMPUTED_VALUE"""),901.324)</f>
        <v>901.324</v>
      </c>
      <c r="M757" s="14">
        <f>IFERROR(__xludf.DUMMYFUNCTION("""COMPUTED_VALUE"""),934.801)</f>
        <v>934.801</v>
      </c>
      <c r="N757" s="14">
        <f>IFERROR(__xludf.DUMMYFUNCTION("""COMPUTED_VALUE"""),979.397)</f>
        <v>979.397</v>
      </c>
      <c r="O757" s="14">
        <f>IFERROR(__xludf.DUMMYFUNCTION("""COMPUTED_VALUE"""),1016.41)</f>
        <v>1016.41</v>
      </c>
      <c r="P757" s="14">
        <f>IFERROR(__xludf.DUMMYFUNCTION("""COMPUTED_VALUE"""),969.114)</f>
        <v>969.114</v>
      </c>
      <c r="Q757" s="14">
        <f>IFERROR(__xludf.DUMMYFUNCTION("""COMPUTED_VALUE"""),960.209)</f>
        <v>960.209</v>
      </c>
      <c r="R757" s="48">
        <f>IFERROR(__xludf.DUMMYFUNCTION("""COMPUTED_VALUE"""),7.47)</f>
        <v>7.47</v>
      </c>
      <c r="S757" s="48">
        <f>IFERROR(__xludf.DUMMYFUNCTION("""COMPUTED_VALUE"""),7.2)</f>
        <v>7.2</v>
      </c>
      <c r="T757" s="48">
        <f>IFERROR(__xludf.DUMMYFUNCTION("""COMPUTED_VALUE"""),7.06)</f>
        <v>7.06</v>
      </c>
      <c r="U757" s="48">
        <f>IFERROR(__xludf.DUMMYFUNCTION("""COMPUTED_VALUE"""),7.0)</f>
        <v>7</v>
      </c>
      <c r="V757" s="48">
        <f>IFERROR(__xludf.DUMMYFUNCTION("""COMPUTED_VALUE"""),7.1)</f>
        <v>7.1</v>
      </c>
      <c r="W757" s="14">
        <f>IFERROR(__xludf.DUMMYFUNCTION("""COMPUTED_VALUE"""),7.1659999999999995)</f>
        <v>7.166</v>
      </c>
      <c r="X757" s="14">
        <f>IFERROR(__xludf.DUMMYFUNCTION("""COMPUTED_VALUE"""),18.2)</f>
        <v>18.2</v>
      </c>
      <c r="Y757" s="14">
        <f>IFERROR(__xludf.DUMMYFUNCTION("""COMPUTED_VALUE"""),17.9)</f>
        <v>17.9</v>
      </c>
      <c r="Z757" s="14">
        <f>IFERROR(__xludf.DUMMYFUNCTION("""COMPUTED_VALUE"""),18.2)</f>
        <v>18.2</v>
      </c>
      <c r="AA757" s="14">
        <f>IFERROR(__xludf.DUMMYFUNCTION("""COMPUTED_VALUE"""),18.4)</f>
        <v>18.4</v>
      </c>
      <c r="AB757" s="14">
        <f>IFERROR(__xludf.DUMMYFUNCTION("""COMPUTED_VALUE"""),18.3)</f>
        <v>18.3</v>
      </c>
      <c r="AC757" s="14">
        <f>IFERROR(__xludf.DUMMYFUNCTION("""COMPUTED_VALUE"""),18.199999999999996)</f>
        <v>18.2</v>
      </c>
      <c r="AD757" s="48">
        <f>IFERROR(__xludf.DUMMYFUNCTION("""COMPUTED_VALUE"""),289.0)</f>
        <v>289</v>
      </c>
      <c r="AE757" s="48">
        <f>IFERROR(__xludf.DUMMYFUNCTION("""COMPUTED_VALUE"""),283.0)</f>
        <v>283</v>
      </c>
      <c r="AF757" s="48">
        <f>IFERROR(__xludf.DUMMYFUNCTION("""COMPUTED_VALUE"""),298.0)</f>
        <v>298</v>
      </c>
      <c r="AG757" s="48">
        <f>IFERROR(__xludf.DUMMYFUNCTION("""COMPUTED_VALUE"""),284.0)</f>
        <v>284</v>
      </c>
      <c r="AH757" s="48">
        <f>IFERROR(__xludf.DUMMYFUNCTION("""COMPUTED_VALUE"""),290.0)</f>
        <v>290</v>
      </c>
      <c r="AI757" s="14">
        <f>IFERROR(__xludf.DUMMYFUNCTION("""COMPUTED_VALUE"""),288.8)</f>
        <v>288.8</v>
      </c>
      <c r="AJ757" s="14">
        <f>IFERROR(__xludf.DUMMYFUNCTION("""COMPUTED_VALUE"""),3.73)</f>
        <v>3.73</v>
      </c>
      <c r="AK757" s="14">
        <f>IFERROR(__xludf.DUMMYFUNCTION("""COMPUTED_VALUE"""),3.3)</f>
        <v>3.3</v>
      </c>
      <c r="AL757" s="14">
        <f>IFERROR(__xludf.DUMMYFUNCTION("""COMPUTED_VALUE"""),3.96)</f>
        <v>3.96</v>
      </c>
      <c r="AM757" s="14">
        <f>IFERROR(__xludf.DUMMYFUNCTION("""COMPUTED_VALUE"""),4.05)</f>
        <v>4.05</v>
      </c>
      <c r="AN757" s="14">
        <f>IFERROR(__xludf.DUMMYFUNCTION("""COMPUTED_VALUE"""),4.25)</f>
        <v>4.25</v>
      </c>
      <c r="AO757" s="14">
        <f>IFERROR(__xludf.DUMMYFUNCTION("""COMPUTED_VALUE"""),3.8579999999999997)</f>
        <v>3.858</v>
      </c>
      <c r="AP757" s="14">
        <f>IFERROR(__xludf.DUMMYFUNCTION("""COMPUTED_VALUE"""),10.0)</f>
        <v>10</v>
      </c>
      <c r="AQ757" s="14">
        <f>IFERROR(__xludf.DUMMYFUNCTION("""COMPUTED_VALUE"""),15.0)</f>
        <v>15</v>
      </c>
      <c r="AR757" s="14">
        <f>IFERROR(__xludf.DUMMYFUNCTION("""COMPUTED_VALUE"""),19.0)</f>
        <v>19</v>
      </c>
      <c r="AS757" s="14">
        <f>IFERROR(__xludf.DUMMYFUNCTION("""COMPUTED_VALUE"""),1.2)</f>
        <v>1.2</v>
      </c>
      <c r="AT757" s="14">
        <f>IFERROR(__xludf.DUMMYFUNCTION("""COMPUTED_VALUE"""),0.07)</f>
        <v>0.07</v>
      </c>
      <c r="AU757" s="14">
        <f>IFERROR(__xludf.DUMMYFUNCTION("""COMPUTED_VALUE"""),82300.0)</f>
        <v>82300</v>
      </c>
      <c r="AV757" s="14">
        <f>IFERROR(__xludf.DUMMYFUNCTION("""COMPUTED_VALUE"""),0.93)</f>
        <v>0.93</v>
      </c>
      <c r="AW757" s="14">
        <f>IFERROR(__xludf.DUMMYFUNCTION("""COMPUTED_VALUE"""),17.4)</f>
        <v>17.4</v>
      </c>
      <c r="AX757" s="14">
        <f>IFERROR(__xludf.DUMMYFUNCTION("""COMPUTED_VALUE"""),38.8)</f>
        <v>38.8</v>
      </c>
      <c r="AY757" s="14">
        <f>IFERROR(__xludf.DUMMYFUNCTION("""COMPUTED_VALUE"""),0.3)</f>
        <v>0.3</v>
      </c>
      <c r="AZ757" s="14">
        <f>IFERROR(__xludf.DUMMYFUNCTION("""COMPUTED_VALUE"""),0.007)</f>
        <v>0.007</v>
      </c>
      <c r="BA757" s="14">
        <f t="shared" si="1"/>
        <v>17.707</v>
      </c>
    </row>
    <row r="758" ht="14.25" customHeight="1">
      <c r="A758" s="10" t="str">
        <f>IFERROR(__xludf.DUMMYFUNCTION("""COMPUTED_VALUE"""),"021122MI01")</f>
        <v>021122MI01</v>
      </c>
      <c r="B758" s="12" t="str">
        <f>IFERROR(__xludf.DUMMYFUNCTION("""COMPUTED_VALUE"""),"QZA-Quindío")</f>
        <v>QZA-Quindío</v>
      </c>
      <c r="C758" s="12"/>
      <c r="D758" s="12"/>
      <c r="E758" s="44">
        <f>IFERROR(__xludf.DUMMYFUNCTION("""COMPUTED_VALUE"""),44867.0)</f>
        <v>44867</v>
      </c>
      <c r="F758" s="12" t="str">
        <f>IFERROR(__xludf.DUMMYFUNCTION("""COMPUTED_VALUE"""),"TIPO I")</f>
        <v>TIPO I</v>
      </c>
      <c r="G758" s="12" t="str">
        <f>IFERROR(__xludf.DUMMYFUNCTION("""COMPUTED_VALUE"""),"Estructura del canal natural, durante el monitoreo se observa color y se percibe olor. 
Altitud: 2940 msnm. ")</f>
        <v>Estructura del canal natural, durante el monitoreo se observa color y se percibe olor. 
Altitud: 2940 msnm. </v>
      </c>
      <c r="H758" s="45">
        <f>IFERROR(__xludf.DUMMYFUNCTION("""COMPUTED_VALUE"""),0.3333333333321207)</f>
        <v>0.3333333333</v>
      </c>
      <c r="I758" s="45">
        <f>IFERROR(__xludf.DUMMYFUNCTION("""COMPUTED_VALUE"""),0.4166666666678793)</f>
        <v>0.4166666667</v>
      </c>
      <c r="J758" s="12">
        <f>IFERROR(__xludf.DUMMYFUNCTION("""COMPUTED_VALUE"""),1.5)</f>
        <v>1.5</v>
      </c>
      <c r="K758" s="12">
        <f>IFERROR(__xludf.DUMMYFUNCTION("""COMPUTED_VALUE"""),0.12)</f>
        <v>0.12</v>
      </c>
      <c r="L758" s="14">
        <f>IFERROR(__xludf.DUMMYFUNCTION("""COMPUTED_VALUE"""),31.193)</f>
        <v>31.193</v>
      </c>
      <c r="M758" s="14">
        <f>IFERROR(__xludf.DUMMYFUNCTION("""COMPUTED_VALUE"""),34.117)</f>
        <v>34.117</v>
      </c>
      <c r="N758" s="14">
        <f>IFERROR(__xludf.DUMMYFUNCTION("""COMPUTED_VALUE"""),34.089)</f>
        <v>34.089</v>
      </c>
      <c r="O758" s="14">
        <f>IFERROR(__xludf.DUMMYFUNCTION("""COMPUTED_VALUE"""),32.274)</f>
        <v>32.274</v>
      </c>
      <c r="P758" s="14">
        <f>IFERROR(__xludf.DUMMYFUNCTION("""COMPUTED_VALUE"""),34.207)</f>
        <v>34.207</v>
      </c>
      <c r="Q758" s="14">
        <f>IFERROR(__xludf.DUMMYFUNCTION("""COMPUTED_VALUE"""),33.176)</f>
        <v>33.176</v>
      </c>
      <c r="R758" s="48">
        <f>IFERROR(__xludf.DUMMYFUNCTION("""COMPUTED_VALUE"""),8.01)</f>
        <v>8.01</v>
      </c>
      <c r="S758" s="48">
        <f>IFERROR(__xludf.DUMMYFUNCTION("""COMPUTED_VALUE"""),7.52)</f>
        <v>7.52</v>
      </c>
      <c r="T758" s="48">
        <f>IFERROR(__xludf.DUMMYFUNCTION("""COMPUTED_VALUE"""),6.89)</f>
        <v>6.89</v>
      </c>
      <c r="U758" s="48">
        <f>IFERROR(__xludf.DUMMYFUNCTION("""COMPUTED_VALUE"""),7.01)</f>
        <v>7.01</v>
      </c>
      <c r="V758" s="48">
        <f>IFERROR(__xludf.DUMMYFUNCTION("""COMPUTED_VALUE"""),7.39)</f>
        <v>7.39</v>
      </c>
      <c r="W758" s="14">
        <f>IFERROR(__xludf.DUMMYFUNCTION("""COMPUTED_VALUE"""),7.364)</f>
        <v>7.364</v>
      </c>
      <c r="X758" s="14">
        <f>IFERROR(__xludf.DUMMYFUNCTION("""COMPUTED_VALUE"""),10.3)</f>
        <v>10.3</v>
      </c>
      <c r="Y758" s="14">
        <f>IFERROR(__xludf.DUMMYFUNCTION("""COMPUTED_VALUE"""),10.5)</f>
        <v>10.5</v>
      </c>
      <c r="Z758" s="14">
        <f>IFERROR(__xludf.DUMMYFUNCTION("""COMPUTED_VALUE"""),10.8)</f>
        <v>10.8</v>
      </c>
      <c r="AA758" s="14">
        <f>IFERROR(__xludf.DUMMYFUNCTION("""COMPUTED_VALUE"""),10.7)</f>
        <v>10.7</v>
      </c>
      <c r="AB758" s="14">
        <f>IFERROR(__xludf.DUMMYFUNCTION("""COMPUTED_VALUE"""),10.9)</f>
        <v>10.9</v>
      </c>
      <c r="AC758" s="14">
        <f>IFERROR(__xludf.DUMMYFUNCTION("""COMPUTED_VALUE"""),10.639999999999999)</f>
        <v>10.64</v>
      </c>
      <c r="AD758" s="48">
        <f>IFERROR(__xludf.DUMMYFUNCTION("""COMPUTED_VALUE"""),21.2)</f>
        <v>21.2</v>
      </c>
      <c r="AE758" s="48">
        <f>IFERROR(__xludf.DUMMYFUNCTION("""COMPUTED_VALUE"""),18.5)</f>
        <v>18.5</v>
      </c>
      <c r="AF758" s="48">
        <f>IFERROR(__xludf.DUMMYFUNCTION("""COMPUTED_VALUE"""),19.5)</f>
        <v>19.5</v>
      </c>
      <c r="AG758" s="48">
        <f>IFERROR(__xludf.DUMMYFUNCTION("""COMPUTED_VALUE"""),18.0)</f>
        <v>18</v>
      </c>
      <c r="AH758" s="48">
        <f>IFERROR(__xludf.DUMMYFUNCTION("""COMPUTED_VALUE"""),19.1)</f>
        <v>19.1</v>
      </c>
      <c r="AI758" s="14">
        <f>IFERROR(__xludf.DUMMYFUNCTION("""COMPUTED_VALUE"""),19.26)</f>
        <v>19.26</v>
      </c>
      <c r="AJ758" s="14">
        <f>IFERROR(__xludf.DUMMYFUNCTION("""COMPUTED_VALUE"""),7.47)</f>
        <v>7.47</v>
      </c>
      <c r="AK758" s="14">
        <f>IFERROR(__xludf.DUMMYFUNCTION("""COMPUTED_VALUE"""),6.15)</f>
        <v>6.15</v>
      </c>
      <c r="AL758" s="14">
        <f>IFERROR(__xludf.DUMMYFUNCTION("""COMPUTED_VALUE"""),6.24)</f>
        <v>6.24</v>
      </c>
      <c r="AM758" s="14">
        <f>IFERROR(__xludf.DUMMYFUNCTION("""COMPUTED_VALUE"""),7.25)</f>
        <v>7.25</v>
      </c>
      <c r="AN758" s="14">
        <f>IFERROR(__xludf.DUMMYFUNCTION("""COMPUTED_VALUE"""),6.49)</f>
        <v>6.49</v>
      </c>
      <c r="AO758" s="14">
        <f>IFERROR(__xludf.DUMMYFUNCTION("""COMPUTED_VALUE"""),6.720000000000001)</f>
        <v>6.72</v>
      </c>
      <c r="AP758" s="14">
        <f>IFERROR(__xludf.DUMMYFUNCTION("""COMPUTED_VALUE"""),6.0)</f>
        <v>6</v>
      </c>
      <c r="AQ758" s="14">
        <f>IFERROR(__xludf.DUMMYFUNCTION("""COMPUTED_VALUE"""),10.0)</f>
        <v>10</v>
      </c>
      <c r="AR758" s="14">
        <f>IFERROR(__xludf.DUMMYFUNCTION("""COMPUTED_VALUE"""),5.0)</f>
        <v>5</v>
      </c>
      <c r="AS758" s="14">
        <f>IFERROR(__xludf.DUMMYFUNCTION("""COMPUTED_VALUE"""),1.2)</f>
        <v>1.2</v>
      </c>
      <c r="AT758" s="14">
        <f>IFERROR(__xludf.DUMMYFUNCTION("""COMPUTED_VALUE"""),0.07)</f>
        <v>0.07</v>
      </c>
      <c r="AU758" s="14">
        <f>IFERROR(__xludf.DUMMYFUNCTION("""COMPUTED_VALUE"""),738.0)</f>
        <v>738</v>
      </c>
      <c r="AV758" s="14">
        <f>IFERROR(__xludf.DUMMYFUNCTION("""COMPUTED_VALUE"""),0.24)</f>
        <v>0.24</v>
      </c>
      <c r="AW758" s="14">
        <f>IFERROR(__xludf.DUMMYFUNCTION("""COMPUTED_VALUE"""),1.4)</f>
        <v>1.4</v>
      </c>
      <c r="AX758" s="14">
        <f>IFERROR(__xludf.DUMMYFUNCTION("""COMPUTED_VALUE"""),629.0)</f>
        <v>629</v>
      </c>
      <c r="AY758" s="14">
        <f>IFERROR(__xludf.DUMMYFUNCTION("""COMPUTED_VALUE"""),0.5)</f>
        <v>0.5</v>
      </c>
      <c r="AZ758" s="14">
        <f>IFERROR(__xludf.DUMMYFUNCTION("""COMPUTED_VALUE"""),0.007)</f>
        <v>0.007</v>
      </c>
      <c r="BA758" s="14">
        <f t="shared" si="1"/>
        <v>1.907</v>
      </c>
    </row>
    <row r="759" ht="14.25" customHeight="1">
      <c r="A759" s="10" t="str">
        <f>IFERROR(__xludf.DUMMYFUNCTION("""COMPUTED_VALUE"""),"021122MI02")</f>
        <v>021122MI02</v>
      </c>
      <c r="B759" s="12" t="str">
        <f>IFERROR(__xludf.DUMMYFUNCTION("""COMPUTED_VALUE"""),"QZA-Entre Nubes")</f>
        <v>QZA-Entre Nubes</v>
      </c>
      <c r="C759" s="12"/>
      <c r="D759" s="12"/>
      <c r="E759" s="44">
        <f>IFERROR(__xludf.DUMMYFUNCTION("""COMPUTED_VALUE"""),44867.0)</f>
        <v>44867</v>
      </c>
      <c r="F759" s="12" t="str">
        <f>IFERROR(__xludf.DUMMYFUNCTION("""COMPUTED_VALUE"""),"TIPO I")</f>
        <v>TIPO I</v>
      </c>
      <c r="G759" s="12" t="str">
        <f>IFERROR(__xludf.DUMMYFUNCTION("""COMPUTED_VALUE"""),"Estructura del canal natural, durante el monitoreo se observa color y se percibe olor, presencia de material flotante.
Altitud: 2633 msnm. ")</f>
        <v>Estructura del canal natural, durante el monitoreo se observa color y se percibe olor, presencia de material flotante.
Altitud: 2633 msnm. </v>
      </c>
      <c r="H759" s="45">
        <f>IFERROR(__xludf.DUMMYFUNCTION("""COMPUTED_VALUE"""),0.5)</f>
        <v>0.5</v>
      </c>
      <c r="I759" s="45">
        <f>IFERROR(__xludf.DUMMYFUNCTION("""COMPUTED_VALUE"""),0.5833333333321207)</f>
        <v>0.5833333333</v>
      </c>
      <c r="J759" s="12">
        <f>IFERROR(__xludf.DUMMYFUNCTION("""COMPUTED_VALUE"""),4.5)</f>
        <v>4.5</v>
      </c>
      <c r="K759" s="12">
        <f>IFERROR(__xludf.DUMMYFUNCTION("""COMPUTED_VALUE"""),0.14)</f>
        <v>0.14</v>
      </c>
      <c r="L759" s="14">
        <f>IFERROR(__xludf.DUMMYFUNCTION("""COMPUTED_VALUE"""),270.885)</f>
        <v>270.885</v>
      </c>
      <c r="M759" s="14">
        <f>IFERROR(__xludf.DUMMYFUNCTION("""COMPUTED_VALUE"""),259.73)</f>
        <v>259.73</v>
      </c>
      <c r="N759" s="14">
        <f>IFERROR(__xludf.DUMMYFUNCTION("""COMPUTED_VALUE"""),262.405)</f>
        <v>262.405</v>
      </c>
      <c r="O759" s="14">
        <f>IFERROR(__xludf.DUMMYFUNCTION("""COMPUTED_VALUE"""),266.975)</f>
        <v>266.975</v>
      </c>
      <c r="P759" s="14">
        <f>IFERROR(__xludf.DUMMYFUNCTION("""COMPUTED_VALUE"""),270.587)</f>
        <v>270.587</v>
      </c>
      <c r="Q759" s="14">
        <f>IFERROR(__xludf.DUMMYFUNCTION("""COMPUTED_VALUE"""),266.116)</f>
        <v>266.116</v>
      </c>
      <c r="R759" s="48">
        <f>IFERROR(__xludf.DUMMYFUNCTION("""COMPUTED_VALUE"""),7.83)</f>
        <v>7.83</v>
      </c>
      <c r="S759" s="48">
        <f>IFERROR(__xludf.DUMMYFUNCTION("""COMPUTED_VALUE"""),7.55)</f>
        <v>7.55</v>
      </c>
      <c r="T759" s="48">
        <f>IFERROR(__xludf.DUMMYFUNCTION("""COMPUTED_VALUE"""),7.62)</f>
        <v>7.62</v>
      </c>
      <c r="U759" s="48">
        <f>IFERROR(__xludf.DUMMYFUNCTION("""COMPUTED_VALUE"""),7.46)</f>
        <v>7.46</v>
      </c>
      <c r="V759" s="48">
        <f>IFERROR(__xludf.DUMMYFUNCTION("""COMPUTED_VALUE"""),7.5)</f>
        <v>7.5</v>
      </c>
      <c r="W759" s="14">
        <f>IFERROR(__xludf.DUMMYFUNCTION("""COMPUTED_VALUE"""),7.5920000000000005)</f>
        <v>7.592</v>
      </c>
      <c r="X759" s="14">
        <f>IFERROR(__xludf.DUMMYFUNCTION("""COMPUTED_VALUE"""),13.9)</f>
        <v>13.9</v>
      </c>
      <c r="Y759" s="14">
        <f>IFERROR(__xludf.DUMMYFUNCTION("""COMPUTED_VALUE"""),14.1)</f>
        <v>14.1</v>
      </c>
      <c r="Z759" s="14">
        <f>IFERROR(__xludf.DUMMYFUNCTION("""COMPUTED_VALUE"""),13.8)</f>
        <v>13.8</v>
      </c>
      <c r="AA759" s="14">
        <f>IFERROR(__xludf.DUMMYFUNCTION("""COMPUTED_VALUE"""),14.0)</f>
        <v>14</v>
      </c>
      <c r="AB759" s="14">
        <f>IFERROR(__xludf.DUMMYFUNCTION("""COMPUTED_VALUE"""),13.7)</f>
        <v>13.7</v>
      </c>
      <c r="AC759" s="14">
        <f>IFERROR(__xludf.DUMMYFUNCTION("""COMPUTED_VALUE"""),13.9)</f>
        <v>13.9</v>
      </c>
      <c r="AD759" s="48">
        <f>IFERROR(__xludf.DUMMYFUNCTION("""COMPUTED_VALUE"""),371.0)</f>
        <v>371</v>
      </c>
      <c r="AE759" s="48">
        <f>IFERROR(__xludf.DUMMYFUNCTION("""COMPUTED_VALUE"""),379.0)</f>
        <v>379</v>
      </c>
      <c r="AF759" s="48">
        <f>IFERROR(__xludf.DUMMYFUNCTION("""COMPUTED_VALUE"""),321.0)</f>
        <v>321</v>
      </c>
      <c r="AG759" s="48">
        <f>IFERROR(__xludf.DUMMYFUNCTION("""COMPUTED_VALUE"""),352.0)</f>
        <v>352</v>
      </c>
      <c r="AH759" s="48">
        <f>IFERROR(__xludf.DUMMYFUNCTION("""COMPUTED_VALUE"""),320.0)</f>
        <v>320</v>
      </c>
      <c r="AI759" s="14">
        <f>IFERROR(__xludf.DUMMYFUNCTION("""COMPUTED_VALUE"""),348.6)</f>
        <v>348.6</v>
      </c>
      <c r="AJ759" s="14">
        <f>IFERROR(__xludf.DUMMYFUNCTION("""COMPUTED_VALUE"""),5.03)</f>
        <v>5.03</v>
      </c>
      <c r="AK759" s="14">
        <f>IFERROR(__xludf.DUMMYFUNCTION("""COMPUTED_VALUE"""),4.96)</f>
        <v>4.96</v>
      </c>
      <c r="AL759" s="14">
        <f>IFERROR(__xludf.DUMMYFUNCTION("""COMPUTED_VALUE"""),4.87)</f>
        <v>4.87</v>
      </c>
      <c r="AM759" s="14">
        <f>IFERROR(__xludf.DUMMYFUNCTION("""COMPUTED_VALUE"""),4.57)</f>
        <v>4.57</v>
      </c>
      <c r="AN759" s="14">
        <f>IFERROR(__xludf.DUMMYFUNCTION("""COMPUTED_VALUE"""),4.48)</f>
        <v>4.48</v>
      </c>
      <c r="AO759" s="14">
        <f>IFERROR(__xludf.DUMMYFUNCTION("""COMPUTED_VALUE"""),4.782)</f>
        <v>4.782</v>
      </c>
      <c r="AP759" s="14">
        <f>IFERROR(__xludf.DUMMYFUNCTION("""COMPUTED_VALUE"""),95.0)</f>
        <v>95</v>
      </c>
      <c r="AQ759" s="14">
        <f>IFERROR(__xludf.DUMMYFUNCTION("""COMPUTED_VALUE"""),141.0)</f>
        <v>141</v>
      </c>
      <c r="AR759" s="14">
        <f>IFERROR(__xludf.DUMMYFUNCTION("""COMPUTED_VALUE"""),267.0)</f>
        <v>267</v>
      </c>
      <c r="AS759" s="14">
        <f>IFERROR(__xludf.DUMMYFUNCTION("""COMPUTED_VALUE"""),1.2)</f>
        <v>1.2</v>
      </c>
      <c r="AT759" s="14">
        <f>IFERROR(__xludf.DUMMYFUNCTION("""COMPUTED_VALUE"""),4.19)</f>
        <v>4.19</v>
      </c>
      <c r="AU759" s="14">
        <f>IFERROR(__xludf.DUMMYFUNCTION("""COMPUTED_VALUE"""),9340000.0)</f>
        <v>9340000</v>
      </c>
      <c r="AV759" s="14">
        <f>IFERROR(__xludf.DUMMYFUNCTION("""COMPUTED_VALUE"""),2.17)</f>
        <v>2.17</v>
      </c>
      <c r="AW759" s="14">
        <f>IFERROR(__xludf.DUMMYFUNCTION("""COMPUTED_VALUE"""),30.0)</f>
        <v>30</v>
      </c>
      <c r="AX759" s="14">
        <f>IFERROR(__xludf.DUMMYFUNCTION("""COMPUTED_VALUE"""),958000.0)</f>
        <v>958000</v>
      </c>
      <c r="AY759" s="14">
        <f>IFERROR(__xludf.DUMMYFUNCTION("""COMPUTED_VALUE"""),0.4)</f>
        <v>0.4</v>
      </c>
      <c r="AZ759" s="14">
        <f>IFERROR(__xludf.DUMMYFUNCTION("""COMPUTED_VALUE"""),0.007)</f>
        <v>0.007</v>
      </c>
      <c r="BA759" s="14">
        <f t="shared" si="1"/>
        <v>30.407</v>
      </c>
    </row>
    <row r="760" ht="14.25" customHeight="1">
      <c r="A760" s="10" t="str">
        <f>IFERROR(__xludf.DUMMYFUNCTION("""COMPUTED_VALUE"""),"021122DI02")</f>
        <v>021122DI02</v>
      </c>
      <c r="B760" s="12" t="str">
        <f>IFERROR(__xludf.DUMMYFUNCTION("""COMPUTED_VALUE"""),"QZA-Meissen")</f>
        <v>QZA-Meissen</v>
      </c>
      <c r="C760" s="12"/>
      <c r="D760" s="12"/>
      <c r="E760" s="44">
        <f>IFERROR(__xludf.DUMMYFUNCTION("""COMPUTED_VALUE"""),44867.0)</f>
        <v>44867</v>
      </c>
      <c r="F760" s="12" t="str">
        <f>IFERROR(__xludf.DUMMYFUNCTION("""COMPUTED_VALUE"""),"TIPO I")</f>
        <v>TIPO I</v>
      </c>
      <c r="G760" s="12" t="str">
        <f>IFERROR(__xludf.DUMMYFUNCTION("""COMPUTED_VALUE"""),"Estructura del canal en concreto se observa color y se percibe olor, durante la toma de la cuarta alícuota se presentaron fuertes precipitaciones por tal motivo no se toma la quinta alícuota.
Altitud: 2590 msnm. ")</f>
        <v>Estructura del canal en concreto se observa color y se percibe olor, durante la toma de la cuarta alícuota se presentaron fuertes precipitaciones por tal motivo no se toma la quinta alícuota.
Altitud: 2590 msnm. </v>
      </c>
      <c r="H760" s="45">
        <f>IFERROR(__xludf.DUMMYFUNCTION("""COMPUTED_VALUE"""),0.4166666666678793)</f>
        <v>0.4166666667</v>
      </c>
      <c r="I760" s="45">
        <f>IFERROR(__xludf.DUMMYFUNCTION("""COMPUTED_VALUE"""),0.5)</f>
        <v>0.5</v>
      </c>
      <c r="J760" s="12">
        <f>IFERROR(__xludf.DUMMYFUNCTION("""COMPUTED_VALUE"""),9.4)</f>
        <v>9.4</v>
      </c>
      <c r="K760" s="12">
        <f>IFERROR(__xludf.DUMMYFUNCTION("""COMPUTED_VALUE"""),0.13)</f>
        <v>0.13</v>
      </c>
      <c r="L760" s="14">
        <f>IFERROR(__xludf.DUMMYFUNCTION("""COMPUTED_VALUE"""),449.414)</f>
        <v>449.414</v>
      </c>
      <c r="M760" s="14">
        <f>IFERROR(__xludf.DUMMYFUNCTION("""COMPUTED_VALUE"""),425.321)</f>
        <v>425.321</v>
      </c>
      <c r="N760" s="14">
        <f>IFERROR(__xludf.DUMMYFUNCTION("""COMPUTED_VALUE"""),420.317)</f>
        <v>420.317</v>
      </c>
      <c r="O760" s="14">
        <f>IFERROR(__xludf.DUMMYFUNCTION("""COMPUTED_VALUE"""),422.446)</f>
        <v>422.446</v>
      </c>
      <c r="P760" s="14"/>
      <c r="Q760" s="14">
        <f>IFERROR(__xludf.DUMMYFUNCTION("""COMPUTED_VALUE"""),429.374)</f>
        <v>429.374</v>
      </c>
      <c r="R760" s="48">
        <f>IFERROR(__xludf.DUMMYFUNCTION("""COMPUTED_VALUE"""),7.86)</f>
        <v>7.86</v>
      </c>
      <c r="S760" s="48">
        <f>IFERROR(__xludf.DUMMYFUNCTION("""COMPUTED_VALUE"""),7.88)</f>
        <v>7.88</v>
      </c>
      <c r="T760" s="48">
        <f>IFERROR(__xludf.DUMMYFUNCTION("""COMPUTED_VALUE"""),7.92)</f>
        <v>7.92</v>
      </c>
      <c r="U760" s="48">
        <f>IFERROR(__xludf.DUMMYFUNCTION("""COMPUTED_VALUE"""),7.9)</f>
        <v>7.9</v>
      </c>
      <c r="V760" s="48"/>
      <c r="W760" s="14">
        <f>IFERROR(__xludf.DUMMYFUNCTION("""COMPUTED_VALUE"""),7.890000000000001)</f>
        <v>7.89</v>
      </c>
      <c r="X760" s="14">
        <f>IFERROR(__xludf.DUMMYFUNCTION("""COMPUTED_VALUE"""),17.2)</f>
        <v>17.2</v>
      </c>
      <c r="Y760" s="14">
        <f>IFERROR(__xludf.DUMMYFUNCTION("""COMPUTED_VALUE"""),15.7)</f>
        <v>15.7</v>
      </c>
      <c r="Z760" s="14">
        <f>IFERROR(__xludf.DUMMYFUNCTION("""COMPUTED_VALUE"""),15.7)</f>
        <v>15.7</v>
      </c>
      <c r="AA760" s="14">
        <f>IFERROR(__xludf.DUMMYFUNCTION("""COMPUTED_VALUE"""),14.9)</f>
        <v>14.9</v>
      </c>
      <c r="AB760" s="14"/>
      <c r="AC760" s="14">
        <f>IFERROR(__xludf.DUMMYFUNCTION("""COMPUTED_VALUE"""),15.874999999999998)</f>
        <v>15.875</v>
      </c>
      <c r="AD760" s="48">
        <f>IFERROR(__xludf.DUMMYFUNCTION("""COMPUTED_VALUE"""),463.0)</f>
        <v>463</v>
      </c>
      <c r="AE760" s="48">
        <f>IFERROR(__xludf.DUMMYFUNCTION("""COMPUTED_VALUE"""),527.0)</f>
        <v>527</v>
      </c>
      <c r="AF760" s="48">
        <f>IFERROR(__xludf.DUMMYFUNCTION("""COMPUTED_VALUE"""),549.0)</f>
        <v>549</v>
      </c>
      <c r="AG760" s="48">
        <f>IFERROR(__xludf.DUMMYFUNCTION("""COMPUTED_VALUE"""),538.0)</f>
        <v>538</v>
      </c>
      <c r="AH760" s="48"/>
      <c r="AI760" s="14">
        <f>IFERROR(__xludf.DUMMYFUNCTION("""COMPUTED_VALUE"""),519.25)</f>
        <v>519.25</v>
      </c>
      <c r="AJ760" s="14">
        <f>IFERROR(__xludf.DUMMYFUNCTION("""COMPUTED_VALUE"""),1.55)</f>
        <v>1.55</v>
      </c>
      <c r="AK760" s="14">
        <f>IFERROR(__xludf.DUMMYFUNCTION("""COMPUTED_VALUE"""),1.33)</f>
        <v>1.33</v>
      </c>
      <c r="AL760" s="14">
        <f>IFERROR(__xludf.DUMMYFUNCTION("""COMPUTED_VALUE"""),1.3)</f>
        <v>1.3</v>
      </c>
      <c r="AM760" s="14">
        <f>IFERROR(__xludf.DUMMYFUNCTION("""COMPUTED_VALUE"""),1.27)</f>
        <v>1.27</v>
      </c>
      <c r="AN760" s="14"/>
      <c r="AO760" s="14">
        <f>IFERROR(__xludf.DUMMYFUNCTION("""COMPUTED_VALUE"""),1.3624999999999998)</f>
        <v>1.3625</v>
      </c>
      <c r="AP760" s="14">
        <f>IFERROR(__xludf.DUMMYFUNCTION("""COMPUTED_VALUE"""),62.0)</f>
        <v>62</v>
      </c>
      <c r="AQ760" s="14">
        <f>IFERROR(__xludf.DUMMYFUNCTION("""COMPUTED_VALUE"""),98.0)</f>
        <v>98</v>
      </c>
      <c r="AR760" s="14">
        <f>IFERROR(__xludf.DUMMYFUNCTION("""COMPUTED_VALUE"""),67.0)</f>
        <v>67</v>
      </c>
      <c r="AS760" s="14">
        <f>IFERROR(__xludf.DUMMYFUNCTION("""COMPUTED_VALUE"""),8.0)</f>
        <v>8</v>
      </c>
      <c r="AT760" s="14">
        <f>IFERROR(__xludf.DUMMYFUNCTION("""COMPUTED_VALUE"""),3.5)</f>
        <v>3.5</v>
      </c>
      <c r="AU760" s="14">
        <f>IFERROR(__xludf.DUMMYFUNCTION("""COMPUTED_VALUE"""),8200000.0)</f>
        <v>8200000</v>
      </c>
      <c r="AV760" s="14">
        <f>IFERROR(__xludf.DUMMYFUNCTION("""COMPUTED_VALUE"""),3.6)</f>
        <v>3.6</v>
      </c>
      <c r="AW760" s="14">
        <f>IFERROR(__xludf.DUMMYFUNCTION("""COMPUTED_VALUE"""),45.6)</f>
        <v>45.6</v>
      </c>
      <c r="AX760" s="14">
        <f>IFERROR(__xludf.DUMMYFUNCTION("""COMPUTED_VALUE"""),909000.0)</f>
        <v>909000</v>
      </c>
      <c r="AY760" s="14">
        <f>IFERROR(__xludf.DUMMYFUNCTION("""COMPUTED_VALUE"""),0.7)</f>
        <v>0.7</v>
      </c>
      <c r="AZ760" s="14">
        <f>IFERROR(__xludf.DUMMYFUNCTION("""COMPUTED_VALUE"""),0.007)</f>
        <v>0.007</v>
      </c>
      <c r="BA760" s="14">
        <f t="shared" si="1"/>
        <v>46.307</v>
      </c>
    </row>
    <row r="761" ht="14.25" customHeight="1">
      <c r="A761" s="10" t="str">
        <f>IFERROR(__xludf.DUMMYFUNCTION("""COMPUTED_VALUE"""),"311022DI01")</f>
        <v>311022DI01</v>
      </c>
      <c r="B761" s="12" t="str">
        <f>IFERROR(__xludf.DUMMYFUNCTION("""COMPUTED_VALUE"""),"COR-Britalia")</f>
        <v>COR-Britalia</v>
      </c>
      <c r="C761" s="12"/>
      <c r="D761" s="12"/>
      <c r="E761" s="44">
        <f>IFERROR(__xludf.DUMMYFUNCTION("""COMPUTED_VALUE"""),44865.0)</f>
        <v>44865</v>
      </c>
      <c r="F761" s="12" t="str">
        <f>IFERROR(__xludf.DUMMYFUNCTION("""COMPUTED_VALUE"""),"TIPO I")</f>
        <v>TIPO I</v>
      </c>
      <c r="G761" s="12" t="str">
        <f>IFERROR(__xludf.DUMMYFUNCTION("""COMPUTED_VALUE"""),"Presenta coloración, no se perciben olores ")</f>
        <v>Presenta coloración, no se perciben olores </v>
      </c>
      <c r="H761" s="45">
        <f>IFERROR(__xludf.DUMMYFUNCTION("""COMPUTED_VALUE"""),0.4166666666678793)</f>
        <v>0.4166666667</v>
      </c>
      <c r="I761" s="45">
        <f>IFERROR(__xludf.DUMMYFUNCTION("""COMPUTED_VALUE"""),0.5)</f>
        <v>0.5</v>
      </c>
      <c r="J761" s="12">
        <f>IFERROR(__xludf.DUMMYFUNCTION("""COMPUTED_VALUE"""),4.0)</f>
        <v>4</v>
      </c>
      <c r="K761" s="12">
        <f>IFERROR(__xludf.DUMMYFUNCTION("""COMPUTED_VALUE"""),0.08)</f>
        <v>0.08</v>
      </c>
      <c r="L761" s="14">
        <f>IFERROR(__xludf.DUMMYFUNCTION("""COMPUTED_VALUE"""),28.956)</f>
        <v>28.956</v>
      </c>
      <c r="M761" s="14">
        <f>IFERROR(__xludf.DUMMYFUNCTION("""COMPUTED_VALUE"""),30.365)</f>
        <v>30.365</v>
      </c>
      <c r="N761" s="14">
        <f>IFERROR(__xludf.DUMMYFUNCTION("""COMPUTED_VALUE"""),31.948)</f>
        <v>31.948</v>
      </c>
      <c r="O761" s="14">
        <f>IFERROR(__xludf.DUMMYFUNCTION("""COMPUTED_VALUE"""),31.358)</f>
        <v>31.358</v>
      </c>
      <c r="P761" s="14">
        <f>IFERROR(__xludf.DUMMYFUNCTION("""COMPUTED_VALUE"""),30.649)</f>
        <v>30.649</v>
      </c>
      <c r="Q761" s="14">
        <f>IFERROR(__xludf.DUMMYFUNCTION("""COMPUTED_VALUE"""),30.655)</f>
        <v>30.655</v>
      </c>
      <c r="R761" s="48">
        <f>IFERROR(__xludf.DUMMYFUNCTION("""COMPUTED_VALUE"""),6.93)</f>
        <v>6.93</v>
      </c>
      <c r="S761" s="48">
        <f>IFERROR(__xludf.DUMMYFUNCTION("""COMPUTED_VALUE"""),6.87)</f>
        <v>6.87</v>
      </c>
      <c r="T761" s="48">
        <f>IFERROR(__xludf.DUMMYFUNCTION("""COMPUTED_VALUE"""),6.75)</f>
        <v>6.75</v>
      </c>
      <c r="U761" s="48">
        <f>IFERROR(__xludf.DUMMYFUNCTION("""COMPUTED_VALUE"""),6.78)</f>
        <v>6.78</v>
      </c>
      <c r="V761" s="48">
        <f>IFERROR(__xludf.DUMMYFUNCTION("""COMPUTED_VALUE"""),6.74)</f>
        <v>6.74</v>
      </c>
      <c r="W761" s="14">
        <f>IFERROR(__xludf.DUMMYFUNCTION("""COMPUTED_VALUE"""),6.814)</f>
        <v>6.814</v>
      </c>
      <c r="X761" s="14">
        <f>IFERROR(__xludf.DUMMYFUNCTION("""COMPUTED_VALUE"""),18.5)</f>
        <v>18.5</v>
      </c>
      <c r="Y761" s="14">
        <f>IFERROR(__xludf.DUMMYFUNCTION("""COMPUTED_VALUE"""),18.3)</f>
        <v>18.3</v>
      </c>
      <c r="Z761" s="14">
        <f>IFERROR(__xludf.DUMMYFUNCTION("""COMPUTED_VALUE"""),18.7)</f>
        <v>18.7</v>
      </c>
      <c r="AA761" s="14">
        <f>IFERROR(__xludf.DUMMYFUNCTION("""COMPUTED_VALUE"""),18.7)</f>
        <v>18.7</v>
      </c>
      <c r="AB761" s="14">
        <f>IFERROR(__xludf.DUMMYFUNCTION("""COMPUTED_VALUE"""),19.0)</f>
        <v>19</v>
      </c>
      <c r="AC761" s="14">
        <f>IFERROR(__xludf.DUMMYFUNCTION("""COMPUTED_VALUE"""),18.64)</f>
        <v>18.64</v>
      </c>
      <c r="AD761" s="48">
        <f>IFERROR(__xludf.DUMMYFUNCTION("""COMPUTED_VALUE"""),351.0)</f>
        <v>351</v>
      </c>
      <c r="AE761" s="48">
        <f>IFERROR(__xludf.DUMMYFUNCTION("""COMPUTED_VALUE"""),344.0)</f>
        <v>344</v>
      </c>
      <c r="AF761" s="48">
        <f>IFERROR(__xludf.DUMMYFUNCTION("""COMPUTED_VALUE"""),353.0)</f>
        <v>353</v>
      </c>
      <c r="AG761" s="48">
        <f>IFERROR(__xludf.DUMMYFUNCTION("""COMPUTED_VALUE"""),356.0)</f>
        <v>356</v>
      </c>
      <c r="AH761" s="48">
        <f>IFERROR(__xludf.DUMMYFUNCTION("""COMPUTED_VALUE"""),368.0)</f>
        <v>368</v>
      </c>
      <c r="AI761" s="14">
        <f>IFERROR(__xludf.DUMMYFUNCTION("""COMPUTED_VALUE"""),354.4)</f>
        <v>354.4</v>
      </c>
      <c r="AJ761" s="14">
        <f>IFERROR(__xludf.DUMMYFUNCTION("""COMPUTED_VALUE"""),5.07)</f>
        <v>5.07</v>
      </c>
      <c r="AK761" s="14">
        <f>IFERROR(__xludf.DUMMYFUNCTION("""COMPUTED_VALUE"""),4.26)</f>
        <v>4.26</v>
      </c>
      <c r="AL761" s="14">
        <f>IFERROR(__xludf.DUMMYFUNCTION("""COMPUTED_VALUE"""),5.92)</f>
        <v>5.92</v>
      </c>
      <c r="AM761" s="14">
        <f>IFERROR(__xludf.DUMMYFUNCTION("""COMPUTED_VALUE"""),4.02)</f>
        <v>4.02</v>
      </c>
      <c r="AN761" s="14">
        <f>IFERROR(__xludf.DUMMYFUNCTION("""COMPUTED_VALUE"""),5.19)</f>
        <v>5.19</v>
      </c>
      <c r="AO761" s="14">
        <f>IFERROR(__xludf.DUMMYFUNCTION("""COMPUTED_VALUE"""),4.892)</f>
        <v>4.892</v>
      </c>
      <c r="AP761" s="14">
        <f>IFERROR(__xludf.DUMMYFUNCTION("""COMPUTED_VALUE"""),9.0)</f>
        <v>9</v>
      </c>
      <c r="AQ761" s="14">
        <f>IFERROR(__xludf.DUMMYFUNCTION("""COMPUTED_VALUE"""),14.0)</f>
        <v>14</v>
      </c>
      <c r="AR761" s="14">
        <f>IFERROR(__xludf.DUMMYFUNCTION("""COMPUTED_VALUE"""),13.0)</f>
        <v>13</v>
      </c>
      <c r="AS761" s="14">
        <f>IFERROR(__xludf.DUMMYFUNCTION("""COMPUTED_VALUE"""),1.2)</f>
        <v>1.2</v>
      </c>
      <c r="AT761" s="14">
        <f>IFERROR(__xludf.DUMMYFUNCTION("""COMPUTED_VALUE"""),0.51)</f>
        <v>0.51</v>
      </c>
      <c r="AU761" s="14">
        <f>IFERROR(__xludf.DUMMYFUNCTION("""COMPUTED_VALUE"""),139100.0)</f>
        <v>139100</v>
      </c>
      <c r="AV761" s="14">
        <f>IFERROR(__xludf.DUMMYFUNCTION("""COMPUTED_VALUE"""),0.05)</f>
        <v>0.05</v>
      </c>
      <c r="AW761" s="14">
        <f>IFERROR(__xludf.DUMMYFUNCTION("""COMPUTED_VALUE"""),5.3)</f>
        <v>5.3</v>
      </c>
      <c r="AX761" s="14">
        <f>IFERROR(__xludf.DUMMYFUNCTION("""COMPUTED_VALUE"""),10810.0)</f>
        <v>10810</v>
      </c>
      <c r="AY761" s="14">
        <f>IFERROR(__xludf.DUMMYFUNCTION("""COMPUTED_VALUE"""),1.0)</f>
        <v>1</v>
      </c>
      <c r="AZ761" s="14">
        <f>IFERROR(__xludf.DUMMYFUNCTION("""COMPUTED_VALUE"""),0.083)</f>
        <v>0.083</v>
      </c>
      <c r="BA761" s="14">
        <f t="shared" si="1"/>
        <v>6.383</v>
      </c>
    </row>
    <row r="762" ht="14.25" customHeight="1">
      <c r="A762" s="10" t="str">
        <f>IFERROR(__xludf.DUMMYFUNCTION("""COMPUTED_VALUE"""),"011122DU01")</f>
        <v>011122DU01</v>
      </c>
      <c r="B762" s="12" t="str">
        <f>IFERROR(__xludf.DUMMYFUNCTION("""COMPUTED_VALUE"""),"COR-Victoria Norte")</f>
        <v>COR-Victoria Norte</v>
      </c>
      <c r="C762" s="12"/>
      <c r="D762" s="12"/>
      <c r="E762" s="44">
        <f>IFERROR(__xludf.DUMMYFUNCTION("""COMPUTED_VALUE"""),44866.0)</f>
        <v>44866</v>
      </c>
      <c r="F762" s="12" t="str">
        <f>IFERROR(__xludf.DUMMYFUNCTION("""COMPUTED_VALUE"""),"TIPO I")</f>
        <v>TIPO I</v>
      </c>
      <c r="G762" s="12" t="str">
        <f>IFERROR(__xludf.DUMMYFUNCTION("""COMPUTED_VALUE"""),"Presenta coloración, se perciben olores")</f>
        <v>Presenta coloración, se perciben olores</v>
      </c>
      <c r="H762" s="45">
        <f>IFERROR(__xludf.DUMMYFUNCTION("""COMPUTED_VALUE"""),0.3333333333321207)</f>
        <v>0.3333333333</v>
      </c>
      <c r="I762" s="45">
        <f>IFERROR(__xludf.DUMMYFUNCTION("""COMPUTED_VALUE"""),0.4166666666678793)</f>
        <v>0.4166666667</v>
      </c>
      <c r="J762" s="12">
        <f>IFERROR(__xludf.DUMMYFUNCTION("""COMPUTED_VALUE"""),3.6)</f>
        <v>3.6</v>
      </c>
      <c r="K762" s="12">
        <f>IFERROR(__xludf.DUMMYFUNCTION("""COMPUTED_VALUE"""),0.16)</f>
        <v>0.16</v>
      </c>
      <c r="L762" s="14">
        <f>IFERROR(__xludf.DUMMYFUNCTION("""COMPUTED_VALUE"""),145.663)</f>
        <v>145.663</v>
      </c>
      <c r="M762" s="14">
        <f>IFERROR(__xludf.DUMMYFUNCTION("""COMPUTED_VALUE"""),151.815)</f>
        <v>151.815</v>
      </c>
      <c r="N762" s="14">
        <f>IFERROR(__xludf.DUMMYFUNCTION("""COMPUTED_VALUE"""),150.553)</f>
        <v>150.553</v>
      </c>
      <c r="O762" s="14">
        <f>IFERROR(__xludf.DUMMYFUNCTION("""COMPUTED_VALUE"""),149.732)</f>
        <v>149.732</v>
      </c>
      <c r="P762" s="14">
        <f>IFERROR(__xludf.DUMMYFUNCTION("""COMPUTED_VALUE"""),146.56)</f>
        <v>146.56</v>
      </c>
      <c r="Q762" s="14">
        <f>IFERROR(__xludf.DUMMYFUNCTION("""COMPUTED_VALUE"""),148.865)</f>
        <v>148.865</v>
      </c>
      <c r="R762" s="48">
        <f>IFERROR(__xludf.DUMMYFUNCTION("""COMPUTED_VALUE"""),6.98)</f>
        <v>6.98</v>
      </c>
      <c r="S762" s="48">
        <f>IFERROR(__xludf.DUMMYFUNCTION("""COMPUTED_VALUE"""),7.11)</f>
        <v>7.11</v>
      </c>
      <c r="T762" s="48">
        <f>IFERROR(__xludf.DUMMYFUNCTION("""COMPUTED_VALUE"""),7.29)</f>
        <v>7.29</v>
      </c>
      <c r="U762" s="48">
        <f>IFERROR(__xludf.DUMMYFUNCTION("""COMPUTED_VALUE"""),7.2)</f>
        <v>7.2</v>
      </c>
      <c r="V762" s="48">
        <f>IFERROR(__xludf.DUMMYFUNCTION("""COMPUTED_VALUE"""),7.16)</f>
        <v>7.16</v>
      </c>
      <c r="W762" s="14">
        <f>IFERROR(__xludf.DUMMYFUNCTION("""COMPUTED_VALUE"""),7.147999999999999)</f>
        <v>7.148</v>
      </c>
      <c r="X762" s="14">
        <f>IFERROR(__xludf.DUMMYFUNCTION("""COMPUTED_VALUE"""),18.2)</f>
        <v>18.2</v>
      </c>
      <c r="Y762" s="14">
        <f>IFERROR(__xludf.DUMMYFUNCTION("""COMPUTED_VALUE"""),18.7)</f>
        <v>18.7</v>
      </c>
      <c r="Z762" s="14">
        <f>IFERROR(__xludf.DUMMYFUNCTION("""COMPUTED_VALUE"""),19.0)</f>
        <v>19</v>
      </c>
      <c r="AA762" s="14">
        <f>IFERROR(__xludf.DUMMYFUNCTION("""COMPUTED_VALUE"""),19.1)</f>
        <v>19.1</v>
      </c>
      <c r="AB762" s="14">
        <f>IFERROR(__xludf.DUMMYFUNCTION("""COMPUTED_VALUE"""),19.4)</f>
        <v>19.4</v>
      </c>
      <c r="AC762" s="14">
        <f>IFERROR(__xludf.DUMMYFUNCTION("""COMPUTED_VALUE"""),18.880000000000003)</f>
        <v>18.88</v>
      </c>
      <c r="AD762" s="48">
        <f>IFERROR(__xludf.DUMMYFUNCTION("""COMPUTED_VALUE"""),324.0)</f>
        <v>324</v>
      </c>
      <c r="AE762" s="48">
        <f>IFERROR(__xludf.DUMMYFUNCTION("""COMPUTED_VALUE"""),345.0)</f>
        <v>345</v>
      </c>
      <c r="AF762" s="48">
        <f>IFERROR(__xludf.DUMMYFUNCTION("""COMPUTED_VALUE"""),349.0)</f>
        <v>349</v>
      </c>
      <c r="AG762" s="48">
        <f>IFERROR(__xludf.DUMMYFUNCTION("""COMPUTED_VALUE"""),337.0)</f>
        <v>337</v>
      </c>
      <c r="AH762" s="48">
        <f>IFERROR(__xludf.DUMMYFUNCTION("""COMPUTED_VALUE"""),332.0)</f>
        <v>332</v>
      </c>
      <c r="AI762" s="14">
        <f>IFERROR(__xludf.DUMMYFUNCTION("""COMPUTED_VALUE"""),337.4)</f>
        <v>337.4</v>
      </c>
      <c r="AJ762" s="14">
        <f>IFERROR(__xludf.DUMMYFUNCTION("""COMPUTED_VALUE"""),3.95)</f>
        <v>3.95</v>
      </c>
      <c r="AK762" s="14">
        <f>IFERROR(__xludf.DUMMYFUNCTION("""COMPUTED_VALUE"""),3.91)</f>
        <v>3.91</v>
      </c>
      <c r="AL762" s="14">
        <f>IFERROR(__xludf.DUMMYFUNCTION("""COMPUTED_VALUE"""),3.92)</f>
        <v>3.92</v>
      </c>
      <c r="AM762" s="14">
        <f>IFERROR(__xludf.DUMMYFUNCTION("""COMPUTED_VALUE"""),3.97)</f>
        <v>3.97</v>
      </c>
      <c r="AN762" s="14">
        <f>IFERROR(__xludf.DUMMYFUNCTION("""COMPUTED_VALUE"""),3.84)</f>
        <v>3.84</v>
      </c>
      <c r="AO762" s="14">
        <f>IFERROR(__xludf.DUMMYFUNCTION("""COMPUTED_VALUE"""),3.9180000000000006)</f>
        <v>3.918</v>
      </c>
      <c r="AP762" s="14">
        <f>IFERROR(__xludf.DUMMYFUNCTION("""COMPUTED_VALUE"""),15.0)</f>
        <v>15</v>
      </c>
      <c r="AQ762" s="14">
        <f>IFERROR(__xludf.DUMMYFUNCTION("""COMPUTED_VALUE"""),22.0)</f>
        <v>22</v>
      </c>
      <c r="AR762" s="14">
        <f>IFERROR(__xludf.DUMMYFUNCTION("""COMPUTED_VALUE"""),14.0)</f>
        <v>14</v>
      </c>
      <c r="AS762" s="14">
        <f>IFERROR(__xludf.DUMMYFUNCTION("""COMPUTED_VALUE"""),1.2)</f>
        <v>1.2</v>
      </c>
      <c r="AT762" s="14">
        <f>IFERROR(__xludf.DUMMYFUNCTION("""COMPUTED_VALUE"""),0.07)</f>
        <v>0.07</v>
      </c>
      <c r="AU762" s="14">
        <f>IFERROR(__xludf.DUMMYFUNCTION("""COMPUTED_VALUE"""),798000.0)</f>
        <v>798000</v>
      </c>
      <c r="AV762" s="14">
        <f>IFERROR(__xludf.DUMMYFUNCTION("""COMPUTED_VALUE"""),0.27)</f>
        <v>0.27</v>
      </c>
      <c r="AW762" s="14">
        <f>IFERROR(__xludf.DUMMYFUNCTION("""COMPUTED_VALUE"""),10.1)</f>
        <v>10.1</v>
      </c>
      <c r="AX762" s="14">
        <f>IFERROR(__xludf.DUMMYFUNCTION("""COMPUTED_VALUE"""),62700.0)</f>
        <v>62700</v>
      </c>
      <c r="AY762" s="14">
        <f>IFERROR(__xludf.DUMMYFUNCTION("""COMPUTED_VALUE"""),2.0)</f>
        <v>2</v>
      </c>
      <c r="AZ762" s="14">
        <f>IFERROR(__xludf.DUMMYFUNCTION("""COMPUTED_VALUE"""),0.208)</f>
        <v>0.208</v>
      </c>
      <c r="BA762" s="14">
        <f t="shared" si="1"/>
        <v>12.308</v>
      </c>
    </row>
    <row r="763" ht="14.25" customHeight="1">
      <c r="A763" s="10" t="str">
        <f>IFERROR(__xludf.DUMMYFUNCTION("""COMPUTED_VALUE"""),"011122FE01")</f>
        <v>011122FE01</v>
      </c>
      <c r="B763" s="12" t="str">
        <f>IFERROR(__xludf.DUMMYFUNCTION("""COMPUTED_VALUE"""),"COR-Prado Veraniego")</f>
        <v>COR-Prado Veraniego</v>
      </c>
      <c r="C763" s="12"/>
      <c r="D763" s="12"/>
      <c r="E763" s="44">
        <f>IFERROR(__xludf.DUMMYFUNCTION("""COMPUTED_VALUE"""),44866.0)</f>
        <v>44866</v>
      </c>
      <c r="F763" s="12" t="str">
        <f>IFERROR(__xludf.DUMMYFUNCTION("""COMPUTED_VALUE"""),"TIPO I")</f>
        <v>TIPO I</v>
      </c>
      <c r="G763" s="12" t="str">
        <f>IFERROR(__xludf.DUMMYFUNCTION("""COMPUTED_VALUE"""),"No presenta coloración, no se perciben olores")</f>
        <v>No presenta coloración, no se perciben olores</v>
      </c>
      <c r="H763" s="45">
        <f>IFERROR(__xludf.DUMMYFUNCTION("""COMPUTED_VALUE"""),0.3333333333321207)</f>
        <v>0.3333333333</v>
      </c>
      <c r="I763" s="45">
        <f>IFERROR(__xludf.DUMMYFUNCTION("""COMPUTED_VALUE"""),0.4166666666678793)</f>
        <v>0.4166666667</v>
      </c>
      <c r="J763" s="12">
        <f>IFERROR(__xludf.DUMMYFUNCTION("""COMPUTED_VALUE"""),4.0)</f>
        <v>4</v>
      </c>
      <c r="K763" s="12">
        <f>IFERROR(__xludf.DUMMYFUNCTION("""COMPUTED_VALUE"""),0.18)</f>
        <v>0.18</v>
      </c>
      <c r="L763" s="14">
        <f>IFERROR(__xludf.DUMMYFUNCTION("""COMPUTED_VALUE"""),253.773)</f>
        <v>253.773</v>
      </c>
      <c r="M763" s="14">
        <f>IFERROR(__xludf.DUMMYFUNCTION("""COMPUTED_VALUE"""),257.288)</f>
        <v>257.288</v>
      </c>
      <c r="N763" s="14">
        <f>IFERROR(__xludf.DUMMYFUNCTION("""COMPUTED_VALUE"""),268.913)</f>
        <v>268.913</v>
      </c>
      <c r="O763" s="14">
        <f>IFERROR(__xludf.DUMMYFUNCTION("""COMPUTED_VALUE"""),271.271)</f>
        <v>271.271</v>
      </c>
      <c r="P763" s="14">
        <f>IFERROR(__xludf.DUMMYFUNCTION("""COMPUTED_VALUE"""),264.812)</f>
        <v>264.812</v>
      </c>
      <c r="Q763" s="14">
        <f>IFERROR(__xludf.DUMMYFUNCTION("""COMPUTED_VALUE"""),263.211)</f>
        <v>263.211</v>
      </c>
      <c r="R763" s="48">
        <f>IFERROR(__xludf.DUMMYFUNCTION("""COMPUTED_VALUE"""),6.99)</f>
        <v>6.99</v>
      </c>
      <c r="S763" s="48">
        <f>IFERROR(__xludf.DUMMYFUNCTION("""COMPUTED_VALUE"""),7.29)</f>
        <v>7.29</v>
      </c>
      <c r="T763" s="48">
        <f>IFERROR(__xludf.DUMMYFUNCTION("""COMPUTED_VALUE"""),7.31)</f>
        <v>7.31</v>
      </c>
      <c r="U763" s="48">
        <f>IFERROR(__xludf.DUMMYFUNCTION("""COMPUTED_VALUE"""),7.54)</f>
        <v>7.54</v>
      </c>
      <c r="V763" s="48">
        <f>IFERROR(__xludf.DUMMYFUNCTION("""COMPUTED_VALUE"""),7.71)</f>
        <v>7.71</v>
      </c>
      <c r="W763" s="14">
        <f>IFERROR(__xludf.DUMMYFUNCTION("""COMPUTED_VALUE"""),7.367999999999999)</f>
        <v>7.368</v>
      </c>
      <c r="X763" s="14">
        <f>IFERROR(__xludf.DUMMYFUNCTION("""COMPUTED_VALUE"""),16.5)</f>
        <v>16.5</v>
      </c>
      <c r="Y763" s="14">
        <f>IFERROR(__xludf.DUMMYFUNCTION("""COMPUTED_VALUE"""),17.1)</f>
        <v>17.1</v>
      </c>
      <c r="Z763" s="14">
        <f>IFERROR(__xludf.DUMMYFUNCTION("""COMPUTED_VALUE"""),17.2)</f>
        <v>17.2</v>
      </c>
      <c r="AA763" s="14">
        <f>IFERROR(__xludf.DUMMYFUNCTION("""COMPUTED_VALUE"""),17.4)</f>
        <v>17.4</v>
      </c>
      <c r="AB763" s="14">
        <f>IFERROR(__xludf.DUMMYFUNCTION("""COMPUTED_VALUE"""),17.8)</f>
        <v>17.8</v>
      </c>
      <c r="AC763" s="14">
        <f>IFERROR(__xludf.DUMMYFUNCTION("""COMPUTED_VALUE"""),17.199999999999996)</f>
        <v>17.2</v>
      </c>
      <c r="AD763" s="48">
        <f>IFERROR(__xludf.DUMMYFUNCTION("""COMPUTED_VALUE"""),350.0)</f>
        <v>350</v>
      </c>
      <c r="AE763" s="48">
        <f>IFERROR(__xludf.DUMMYFUNCTION("""COMPUTED_VALUE"""),358.0)</f>
        <v>358</v>
      </c>
      <c r="AF763" s="48">
        <f>IFERROR(__xludf.DUMMYFUNCTION("""COMPUTED_VALUE"""),366.0)</f>
        <v>366</v>
      </c>
      <c r="AG763" s="48">
        <f>IFERROR(__xludf.DUMMYFUNCTION("""COMPUTED_VALUE"""),387.0)</f>
        <v>387</v>
      </c>
      <c r="AH763" s="48">
        <f>IFERROR(__xludf.DUMMYFUNCTION("""COMPUTED_VALUE"""),399.0)</f>
        <v>399</v>
      </c>
      <c r="AI763" s="14">
        <f>IFERROR(__xludf.DUMMYFUNCTION("""COMPUTED_VALUE"""),372.0)</f>
        <v>372</v>
      </c>
      <c r="AJ763" s="14">
        <f>IFERROR(__xludf.DUMMYFUNCTION("""COMPUTED_VALUE"""),5.33)</f>
        <v>5.33</v>
      </c>
      <c r="AK763" s="14">
        <f>IFERROR(__xludf.DUMMYFUNCTION("""COMPUTED_VALUE"""),6.07)</f>
        <v>6.07</v>
      </c>
      <c r="AL763" s="14">
        <f>IFERROR(__xludf.DUMMYFUNCTION("""COMPUTED_VALUE"""),6.1)</f>
        <v>6.1</v>
      </c>
      <c r="AM763" s="14">
        <f>IFERROR(__xludf.DUMMYFUNCTION("""COMPUTED_VALUE"""),5.59)</f>
        <v>5.59</v>
      </c>
      <c r="AN763" s="14">
        <f>IFERROR(__xludf.DUMMYFUNCTION("""COMPUTED_VALUE"""),6.43)</f>
        <v>6.43</v>
      </c>
      <c r="AO763" s="14">
        <f>IFERROR(__xludf.DUMMYFUNCTION("""COMPUTED_VALUE"""),5.904)</f>
        <v>5.904</v>
      </c>
      <c r="AP763" s="14">
        <f>IFERROR(__xludf.DUMMYFUNCTION("""COMPUTED_VALUE"""),18.0)</f>
        <v>18</v>
      </c>
      <c r="AQ763" s="14">
        <f>IFERROR(__xludf.DUMMYFUNCTION("""COMPUTED_VALUE"""),24.0)</f>
        <v>24</v>
      </c>
      <c r="AR763" s="14">
        <f>IFERROR(__xludf.DUMMYFUNCTION("""COMPUTED_VALUE"""),8.0)</f>
        <v>8</v>
      </c>
      <c r="AS763" s="14">
        <f>IFERROR(__xludf.DUMMYFUNCTION("""COMPUTED_VALUE"""),1.2)</f>
        <v>1.2</v>
      </c>
      <c r="AT763" s="14">
        <f>IFERROR(__xludf.DUMMYFUNCTION("""COMPUTED_VALUE"""),0.07)</f>
        <v>0.07</v>
      </c>
      <c r="AU763" s="14">
        <f>IFERROR(__xludf.DUMMYFUNCTION("""COMPUTED_VALUE"""),1012000.0)</f>
        <v>1012000</v>
      </c>
      <c r="AV763" s="14">
        <f>IFERROR(__xludf.DUMMYFUNCTION("""COMPUTED_VALUE"""),0.31)</f>
        <v>0.31</v>
      </c>
      <c r="AW763" s="14">
        <f>IFERROR(__xludf.DUMMYFUNCTION("""COMPUTED_VALUE"""),10.9)</f>
        <v>10.9</v>
      </c>
      <c r="AX763" s="14">
        <f>IFERROR(__xludf.DUMMYFUNCTION("""COMPUTED_VALUE"""),8840.0)</f>
        <v>8840</v>
      </c>
      <c r="AY763" s="14">
        <f>IFERROR(__xludf.DUMMYFUNCTION("""COMPUTED_VALUE"""),1.9)</f>
        <v>1.9</v>
      </c>
      <c r="AZ763" s="14">
        <f>IFERROR(__xludf.DUMMYFUNCTION("""COMPUTED_VALUE"""),0.203)</f>
        <v>0.203</v>
      </c>
      <c r="BA763" s="14">
        <f t="shared" si="1"/>
        <v>13.003</v>
      </c>
    </row>
    <row r="764" ht="14.25" customHeight="1">
      <c r="A764" s="10" t="str">
        <f>IFERROR(__xludf.DUMMYFUNCTION("""COMPUTED_VALUE"""),"021122DI01")</f>
        <v>021122DI01</v>
      </c>
      <c r="B764" s="12" t="str">
        <f>IFERROR(__xludf.DUMMYFUNCTION("""COMPUTED_VALUE"""),"QZA-Molinos")</f>
        <v>QZA-Molinos</v>
      </c>
      <c r="C764" s="12"/>
      <c r="D764" s="12"/>
      <c r="E764" s="44">
        <f>IFERROR(__xludf.DUMMYFUNCTION("""COMPUTED_VALUE"""),44867.0)</f>
        <v>44867</v>
      </c>
      <c r="F764" s="12" t="str">
        <f>IFERROR(__xludf.DUMMYFUNCTION("""COMPUTED_VALUE"""),"TIPO I")</f>
        <v>TIPO I</v>
      </c>
      <c r="G764" s="12" t="str">
        <f>IFERROR(__xludf.DUMMYFUNCTION("""COMPUTED_VALUE"""),"Presenta coloración, se perciben olores, se observan residuos solidos en la fuente hidrica")</f>
        <v>Presenta coloración, se perciben olores, se observan residuos solidos en la fuente hidrica</v>
      </c>
      <c r="H764" s="45">
        <f>IFERROR(__xludf.DUMMYFUNCTION("""COMPUTED_VALUE"""),0.25)</f>
        <v>0.25</v>
      </c>
      <c r="I764" s="45">
        <f>IFERROR(__xludf.DUMMYFUNCTION("""COMPUTED_VALUE"""),0.3333333333321207)</f>
        <v>0.3333333333</v>
      </c>
      <c r="J764" s="12">
        <f>IFERROR(__xludf.DUMMYFUNCTION("""COMPUTED_VALUE"""),3.8)</f>
        <v>3.8</v>
      </c>
      <c r="K764" s="12">
        <f>IFERROR(__xludf.DUMMYFUNCTION("""COMPUTED_VALUE"""),0.52)</f>
        <v>0.52</v>
      </c>
      <c r="L764" s="14">
        <f>IFERROR(__xludf.DUMMYFUNCTION("""COMPUTED_VALUE"""),384.441)</f>
        <v>384.441</v>
      </c>
      <c r="M764" s="14">
        <f>IFERROR(__xludf.DUMMYFUNCTION("""COMPUTED_VALUE"""),382.658)</f>
        <v>382.658</v>
      </c>
      <c r="N764" s="14">
        <f>IFERROR(__xludf.DUMMYFUNCTION("""COMPUTED_VALUE"""),356.045)</f>
        <v>356.045</v>
      </c>
      <c r="O764" s="14">
        <f>IFERROR(__xludf.DUMMYFUNCTION("""COMPUTED_VALUE"""),366.705)</f>
        <v>366.705</v>
      </c>
      <c r="P764" s="14">
        <f>IFERROR(__xludf.DUMMYFUNCTION("""COMPUTED_VALUE"""),347.255)</f>
        <v>347.255</v>
      </c>
      <c r="Q764" s="14">
        <f>IFERROR(__xludf.DUMMYFUNCTION("""COMPUTED_VALUE"""),367.421)</f>
        <v>367.421</v>
      </c>
      <c r="R764" s="48">
        <f>IFERROR(__xludf.DUMMYFUNCTION("""COMPUTED_VALUE"""),7.76)</f>
        <v>7.76</v>
      </c>
      <c r="S764" s="48">
        <f>IFERROR(__xludf.DUMMYFUNCTION("""COMPUTED_VALUE"""),7.81)</f>
        <v>7.81</v>
      </c>
      <c r="T764" s="48">
        <f>IFERROR(__xludf.DUMMYFUNCTION("""COMPUTED_VALUE"""),7.71)</f>
        <v>7.71</v>
      </c>
      <c r="U764" s="48">
        <f>IFERROR(__xludf.DUMMYFUNCTION("""COMPUTED_VALUE"""),7.77)</f>
        <v>7.77</v>
      </c>
      <c r="V764" s="48">
        <f>IFERROR(__xludf.DUMMYFUNCTION("""COMPUTED_VALUE"""),7.83)</f>
        <v>7.83</v>
      </c>
      <c r="W764" s="14">
        <f>IFERROR(__xludf.DUMMYFUNCTION("""COMPUTED_VALUE"""),7.776000000000001)</f>
        <v>7.776</v>
      </c>
      <c r="X764" s="14">
        <f>IFERROR(__xludf.DUMMYFUNCTION("""COMPUTED_VALUE"""),13.5)</f>
        <v>13.5</v>
      </c>
      <c r="Y764" s="14">
        <f>IFERROR(__xludf.DUMMYFUNCTION("""COMPUTED_VALUE"""),13.3)</f>
        <v>13.3</v>
      </c>
      <c r="Z764" s="14">
        <f>IFERROR(__xludf.DUMMYFUNCTION("""COMPUTED_VALUE"""),13.3)</f>
        <v>13.3</v>
      </c>
      <c r="AA764" s="14">
        <f>IFERROR(__xludf.DUMMYFUNCTION("""COMPUTED_VALUE"""),13.6)</f>
        <v>13.6</v>
      </c>
      <c r="AB764" s="14">
        <f>IFERROR(__xludf.DUMMYFUNCTION("""COMPUTED_VALUE"""),13.7)</f>
        <v>13.7</v>
      </c>
      <c r="AC764" s="14">
        <f>IFERROR(__xludf.DUMMYFUNCTION("""COMPUTED_VALUE"""),13.48)</f>
        <v>13.48</v>
      </c>
      <c r="AD764" s="48">
        <f>IFERROR(__xludf.DUMMYFUNCTION("""COMPUTED_VALUE"""),278.0)</f>
        <v>278</v>
      </c>
      <c r="AE764" s="48">
        <f>IFERROR(__xludf.DUMMYFUNCTION("""COMPUTED_VALUE"""),261.0)</f>
        <v>261</v>
      </c>
      <c r="AF764" s="48">
        <f>IFERROR(__xludf.DUMMYFUNCTION("""COMPUTED_VALUE"""),288.0)</f>
        <v>288</v>
      </c>
      <c r="AG764" s="48">
        <f>IFERROR(__xludf.DUMMYFUNCTION("""COMPUTED_VALUE"""),328.0)</f>
        <v>328</v>
      </c>
      <c r="AH764" s="48">
        <f>IFERROR(__xludf.DUMMYFUNCTION("""COMPUTED_VALUE"""),355.0)</f>
        <v>355</v>
      </c>
      <c r="AI764" s="14">
        <f>IFERROR(__xludf.DUMMYFUNCTION("""COMPUTED_VALUE"""),302.0)</f>
        <v>302</v>
      </c>
      <c r="AJ764" s="14">
        <f>IFERROR(__xludf.DUMMYFUNCTION("""COMPUTED_VALUE"""),3.88)</f>
        <v>3.88</v>
      </c>
      <c r="AK764" s="14">
        <f>IFERROR(__xludf.DUMMYFUNCTION("""COMPUTED_VALUE"""),3.83)</f>
        <v>3.83</v>
      </c>
      <c r="AL764" s="14">
        <f>IFERROR(__xludf.DUMMYFUNCTION("""COMPUTED_VALUE"""),3.45)</f>
        <v>3.45</v>
      </c>
      <c r="AM764" s="14">
        <f>IFERROR(__xludf.DUMMYFUNCTION("""COMPUTED_VALUE"""),3.6)</f>
        <v>3.6</v>
      </c>
      <c r="AN764" s="14">
        <f>IFERROR(__xludf.DUMMYFUNCTION("""COMPUTED_VALUE"""),3.72)</f>
        <v>3.72</v>
      </c>
      <c r="AO764" s="14">
        <f>IFERROR(__xludf.DUMMYFUNCTION("""COMPUTED_VALUE"""),3.696)</f>
        <v>3.696</v>
      </c>
      <c r="AP764" s="14">
        <f>IFERROR(__xludf.DUMMYFUNCTION("""COMPUTED_VALUE"""),27.0)</f>
        <v>27</v>
      </c>
      <c r="AQ764" s="14">
        <f>IFERROR(__xludf.DUMMYFUNCTION("""COMPUTED_VALUE"""),37.0)</f>
        <v>37</v>
      </c>
      <c r="AR764" s="14">
        <f>IFERROR(__xludf.DUMMYFUNCTION("""COMPUTED_VALUE"""),54.0)</f>
        <v>54</v>
      </c>
      <c r="AS764" s="14">
        <f>IFERROR(__xludf.DUMMYFUNCTION("""COMPUTED_VALUE"""),1.2)</f>
        <v>1.2</v>
      </c>
      <c r="AT764" s="14">
        <f>IFERROR(__xludf.DUMMYFUNCTION("""COMPUTED_VALUE"""),1.26)</f>
        <v>1.26</v>
      </c>
      <c r="AU764" s="14">
        <f>IFERROR(__xludf.DUMMYFUNCTION("""COMPUTED_VALUE"""),9340000.0)</f>
        <v>9340000</v>
      </c>
      <c r="AV764" s="14">
        <f>IFERROR(__xludf.DUMMYFUNCTION("""COMPUTED_VALUE"""),2.07)</f>
        <v>2.07</v>
      </c>
      <c r="AW764" s="14">
        <f>IFERROR(__xludf.DUMMYFUNCTION("""COMPUTED_VALUE"""),21.0)</f>
        <v>21</v>
      </c>
      <c r="AX764" s="14">
        <f>IFERROR(__xludf.DUMMYFUNCTION("""COMPUTED_VALUE"""),75900.0)</f>
        <v>75900</v>
      </c>
      <c r="AY764" s="14">
        <f>IFERROR(__xludf.DUMMYFUNCTION("""COMPUTED_VALUE"""),0.4)</f>
        <v>0.4</v>
      </c>
      <c r="AZ764" s="14">
        <f>IFERROR(__xludf.DUMMYFUNCTION("""COMPUTED_VALUE"""),0.007)</f>
        <v>0.007</v>
      </c>
      <c r="BA764" s="14">
        <f t="shared" si="1"/>
        <v>21.407</v>
      </c>
    </row>
    <row r="765" ht="14.25" customHeight="1">
      <c r="A765" s="10" t="str">
        <f>IFERROR(__xludf.DUMMYFUNCTION("""COMPUTED_VALUE"""),"031122WI01")</f>
        <v>031122WI01</v>
      </c>
      <c r="B765" s="12" t="str">
        <f>IFERROR(__xludf.DUMMYFUNCTION("""COMPUTED_VALUE"""),"CON-Country")</f>
        <v>CON-Country</v>
      </c>
      <c r="C765" s="12"/>
      <c r="D765" s="12"/>
      <c r="E765" s="44">
        <f>IFERROR(__xludf.DUMMYFUNCTION("""COMPUTED_VALUE"""),44868.0)</f>
        <v>44868</v>
      </c>
      <c r="F765" s="12" t="str">
        <f>IFERROR(__xludf.DUMMYFUNCTION("""COMPUTED_VALUE"""),"TIPO I")</f>
        <v>TIPO I</v>
      </c>
      <c r="G765" s="12" t="str">
        <f>IFERROR(__xludf.DUMMYFUNCTION("""COMPUTED_VALUE"""),"Estructura del canal en concreto, durante el monitoreo se observa color, después de la segunda alícuota se presenta cambio de color debido a que aguas arriba se están realizando obras anexas en el canal. 
Altitud: 2574 msnm.")</f>
        <v>Estructura del canal en concreto, durante el monitoreo se observa color, después de la segunda alícuota se presenta cambio de color debido a que aguas arriba se están realizando obras anexas en el canal. 
Altitud: 2574 msnm.</v>
      </c>
      <c r="H765" s="45">
        <f>IFERROR(__xludf.DUMMYFUNCTION("""COMPUTED_VALUE"""),0.3333333333321207)</f>
        <v>0.3333333333</v>
      </c>
      <c r="I765" s="45">
        <f>IFERROR(__xludf.DUMMYFUNCTION("""COMPUTED_VALUE"""),0.4166666666678793)</f>
        <v>0.4166666667</v>
      </c>
      <c r="J765" s="12">
        <f>IFERROR(__xludf.DUMMYFUNCTION("""COMPUTED_VALUE"""),4.7)</f>
        <v>4.7</v>
      </c>
      <c r="K765" s="12">
        <f>IFERROR(__xludf.DUMMYFUNCTION("""COMPUTED_VALUE"""),0.07)</f>
        <v>0.07</v>
      </c>
      <c r="L765" s="14">
        <f>IFERROR(__xludf.DUMMYFUNCTION("""COMPUTED_VALUE"""),18.889)</f>
        <v>18.889</v>
      </c>
      <c r="M765" s="14">
        <f>IFERROR(__xludf.DUMMYFUNCTION("""COMPUTED_VALUE"""),21.272)</f>
        <v>21.272</v>
      </c>
      <c r="N765" s="14">
        <f>IFERROR(__xludf.DUMMYFUNCTION("""COMPUTED_VALUE"""),16.598)</f>
        <v>16.598</v>
      </c>
      <c r="O765" s="14">
        <f>IFERROR(__xludf.DUMMYFUNCTION("""COMPUTED_VALUE"""),14.493)</f>
        <v>14.493</v>
      </c>
      <c r="P765" s="14">
        <f>IFERROR(__xludf.DUMMYFUNCTION("""COMPUTED_VALUE"""),14.938)</f>
        <v>14.938</v>
      </c>
      <c r="Q765" s="14">
        <f>IFERROR(__xludf.DUMMYFUNCTION("""COMPUTED_VALUE"""),17.238)</f>
        <v>17.238</v>
      </c>
      <c r="R765" s="48">
        <f>IFERROR(__xludf.DUMMYFUNCTION("""COMPUTED_VALUE"""),7.41)</f>
        <v>7.41</v>
      </c>
      <c r="S765" s="48">
        <f>IFERROR(__xludf.DUMMYFUNCTION("""COMPUTED_VALUE"""),7.49)</f>
        <v>7.49</v>
      </c>
      <c r="T765" s="48">
        <f>IFERROR(__xludf.DUMMYFUNCTION("""COMPUTED_VALUE"""),7.9)</f>
        <v>7.9</v>
      </c>
      <c r="U765" s="48">
        <f>IFERROR(__xludf.DUMMYFUNCTION("""COMPUTED_VALUE"""),7.55)</f>
        <v>7.55</v>
      </c>
      <c r="V765" s="48">
        <f>IFERROR(__xludf.DUMMYFUNCTION("""COMPUTED_VALUE"""),7.53)</f>
        <v>7.53</v>
      </c>
      <c r="W765" s="14">
        <f>IFERROR(__xludf.DUMMYFUNCTION("""COMPUTED_VALUE"""),7.5760000000000005)</f>
        <v>7.576</v>
      </c>
      <c r="X765" s="14">
        <f>IFERROR(__xludf.DUMMYFUNCTION("""COMPUTED_VALUE"""),15.3)</f>
        <v>15.3</v>
      </c>
      <c r="Y765" s="14">
        <f>IFERROR(__xludf.DUMMYFUNCTION("""COMPUTED_VALUE"""),15.7)</f>
        <v>15.7</v>
      </c>
      <c r="Z765" s="14">
        <f>IFERROR(__xludf.DUMMYFUNCTION("""COMPUTED_VALUE"""),16.3)</f>
        <v>16.3</v>
      </c>
      <c r="AA765" s="14">
        <f>IFERROR(__xludf.DUMMYFUNCTION("""COMPUTED_VALUE"""),14.8)</f>
        <v>14.8</v>
      </c>
      <c r="AB765" s="14">
        <f>IFERROR(__xludf.DUMMYFUNCTION("""COMPUTED_VALUE"""),14.4)</f>
        <v>14.4</v>
      </c>
      <c r="AC765" s="14">
        <f>IFERROR(__xludf.DUMMYFUNCTION("""COMPUTED_VALUE"""),15.3)</f>
        <v>15.3</v>
      </c>
      <c r="AD765" s="48">
        <f>IFERROR(__xludf.DUMMYFUNCTION("""COMPUTED_VALUE"""),241.0)</f>
        <v>241</v>
      </c>
      <c r="AE765" s="48">
        <f>IFERROR(__xludf.DUMMYFUNCTION("""COMPUTED_VALUE"""),274.0)</f>
        <v>274</v>
      </c>
      <c r="AF765" s="48">
        <f>IFERROR(__xludf.DUMMYFUNCTION("""COMPUTED_VALUE"""),264.0)</f>
        <v>264</v>
      </c>
      <c r="AG765" s="48">
        <f>IFERROR(__xludf.DUMMYFUNCTION("""COMPUTED_VALUE"""),283.0)</f>
        <v>283</v>
      </c>
      <c r="AH765" s="48">
        <f>IFERROR(__xludf.DUMMYFUNCTION("""COMPUTED_VALUE"""),276.0)</f>
        <v>276</v>
      </c>
      <c r="AI765" s="14">
        <f>IFERROR(__xludf.DUMMYFUNCTION("""COMPUTED_VALUE"""),267.6)</f>
        <v>267.6</v>
      </c>
      <c r="AJ765" s="14">
        <f>IFERROR(__xludf.DUMMYFUNCTION("""COMPUTED_VALUE"""),4.34)</f>
        <v>4.34</v>
      </c>
      <c r="AK765" s="14">
        <f>IFERROR(__xludf.DUMMYFUNCTION("""COMPUTED_VALUE"""),4.15)</f>
        <v>4.15</v>
      </c>
      <c r="AL765" s="14">
        <f>IFERROR(__xludf.DUMMYFUNCTION("""COMPUTED_VALUE"""),4.11)</f>
        <v>4.11</v>
      </c>
      <c r="AM765" s="14">
        <f>IFERROR(__xludf.DUMMYFUNCTION("""COMPUTED_VALUE"""),4.16)</f>
        <v>4.16</v>
      </c>
      <c r="AN765" s="14">
        <f>IFERROR(__xludf.DUMMYFUNCTION("""COMPUTED_VALUE"""),4.1)</f>
        <v>4.1</v>
      </c>
      <c r="AO765" s="14">
        <f>IFERROR(__xludf.DUMMYFUNCTION("""COMPUTED_VALUE"""),4.172)</f>
        <v>4.172</v>
      </c>
      <c r="AP765" s="14">
        <f>IFERROR(__xludf.DUMMYFUNCTION("""COMPUTED_VALUE"""),13.0)</f>
        <v>13</v>
      </c>
      <c r="AQ765" s="14">
        <f>IFERROR(__xludf.DUMMYFUNCTION("""COMPUTED_VALUE"""),18.0)</f>
        <v>18</v>
      </c>
      <c r="AR765" s="14">
        <f>IFERROR(__xludf.DUMMYFUNCTION("""COMPUTED_VALUE"""),79.0)</f>
        <v>79</v>
      </c>
      <c r="AS765" s="14">
        <f>IFERROR(__xludf.DUMMYFUNCTION("""COMPUTED_VALUE"""),1.2)</f>
        <v>1.2</v>
      </c>
      <c r="AT765" s="14">
        <f>IFERROR(__xludf.DUMMYFUNCTION("""COMPUTED_VALUE"""),0.07)</f>
        <v>0.07</v>
      </c>
      <c r="AU765" s="14">
        <f>IFERROR(__xludf.DUMMYFUNCTION("""COMPUTED_VALUE"""),583000.0)</f>
        <v>583000</v>
      </c>
      <c r="AV765" s="14">
        <f>IFERROR(__xludf.DUMMYFUNCTION("""COMPUTED_VALUE"""),0.47)</f>
        <v>0.47</v>
      </c>
      <c r="AW765" s="14">
        <f>IFERROR(__xludf.DUMMYFUNCTION("""COMPUTED_VALUE"""),7.0)</f>
        <v>7</v>
      </c>
      <c r="AX765" s="14">
        <f>IFERROR(__xludf.DUMMYFUNCTION("""COMPUTED_VALUE"""),36400.0)</f>
        <v>36400</v>
      </c>
      <c r="AY765" s="14">
        <f>IFERROR(__xludf.DUMMYFUNCTION("""COMPUTED_VALUE"""),0.9)</f>
        <v>0.9</v>
      </c>
      <c r="AZ765" s="14">
        <f>IFERROR(__xludf.DUMMYFUNCTION("""COMPUTED_VALUE"""),0.072)</f>
        <v>0.072</v>
      </c>
      <c r="BA765" s="14">
        <f t="shared" si="1"/>
        <v>7.972</v>
      </c>
    </row>
    <row r="766" ht="14.25" customHeight="1">
      <c r="A766" s="10" t="str">
        <f>IFERROR(__xludf.DUMMYFUNCTION("""COMPUTED_VALUE"""),"041122WI02")</f>
        <v>041122WI02</v>
      </c>
      <c r="B766" s="12" t="str">
        <f>IFERROR(__xludf.DUMMYFUNCTION("""COMPUTED_VALUE"""),"QTR-Mochuelo Bajo")</f>
        <v>QTR-Mochuelo Bajo</v>
      </c>
      <c r="C766" s="12"/>
      <c r="D766" s="12"/>
      <c r="E766" s="44">
        <f>IFERROR(__xludf.DUMMYFUNCTION("""COMPUTED_VALUE"""),44869.0)</f>
        <v>44869</v>
      </c>
      <c r="F766" s="12" t="str">
        <f>IFERROR(__xludf.DUMMYFUNCTION("""COMPUTED_VALUE"""),"TIPO I")</f>
        <v>TIPO I</v>
      </c>
      <c r="G766" s="12" t="str">
        <f>IFERROR(__xludf.DUMMYFUNCTION("""COMPUTED_VALUE"""),"Estructura del canal natural, se observa color y se percibe olor, presencia de espuma y residuos olidos en la fuente.")</f>
        <v>Estructura del canal natural, se observa color y se percibe olor, presencia de espuma y residuos olidos en la fuente.</v>
      </c>
      <c r="H766" s="45">
        <f>IFERROR(__xludf.DUMMYFUNCTION("""COMPUTED_VALUE"""),0.4166666666678793)</f>
        <v>0.4166666667</v>
      </c>
      <c r="I766" s="45">
        <f>IFERROR(__xludf.DUMMYFUNCTION("""COMPUTED_VALUE"""),0.5)</f>
        <v>0.5</v>
      </c>
      <c r="J766" s="12">
        <f>IFERROR(__xludf.DUMMYFUNCTION("""COMPUTED_VALUE"""),0.9)</f>
        <v>0.9</v>
      </c>
      <c r="K766" s="12">
        <f>IFERROR(__xludf.DUMMYFUNCTION("""COMPUTED_VALUE"""),0.14)</f>
        <v>0.14</v>
      </c>
      <c r="L766" s="14">
        <f>IFERROR(__xludf.DUMMYFUNCTION("""COMPUTED_VALUE"""),19.914)</f>
        <v>19.914</v>
      </c>
      <c r="M766" s="14">
        <f>IFERROR(__xludf.DUMMYFUNCTION("""COMPUTED_VALUE"""),19.44)</f>
        <v>19.44</v>
      </c>
      <c r="N766" s="14">
        <f>IFERROR(__xludf.DUMMYFUNCTION("""COMPUTED_VALUE"""),19.396)</f>
        <v>19.396</v>
      </c>
      <c r="O766" s="14">
        <f>IFERROR(__xludf.DUMMYFUNCTION("""COMPUTED_VALUE"""),18.182)</f>
        <v>18.182</v>
      </c>
      <c r="P766" s="14">
        <f>IFERROR(__xludf.DUMMYFUNCTION("""COMPUTED_VALUE"""),18.796)</f>
        <v>18.796</v>
      </c>
      <c r="Q766" s="14">
        <f>IFERROR(__xludf.DUMMYFUNCTION("""COMPUTED_VALUE"""),19.146)</f>
        <v>19.146</v>
      </c>
      <c r="R766" s="48">
        <f>IFERROR(__xludf.DUMMYFUNCTION("""COMPUTED_VALUE"""),8.04)</f>
        <v>8.04</v>
      </c>
      <c r="S766" s="48">
        <f>IFERROR(__xludf.DUMMYFUNCTION("""COMPUTED_VALUE"""),8.11)</f>
        <v>8.11</v>
      </c>
      <c r="T766" s="48">
        <f>IFERROR(__xludf.DUMMYFUNCTION("""COMPUTED_VALUE"""),8.09)</f>
        <v>8.09</v>
      </c>
      <c r="U766" s="48">
        <f>IFERROR(__xludf.DUMMYFUNCTION("""COMPUTED_VALUE"""),8.03)</f>
        <v>8.03</v>
      </c>
      <c r="V766" s="48">
        <f>IFERROR(__xludf.DUMMYFUNCTION("""COMPUTED_VALUE"""),8.04)</f>
        <v>8.04</v>
      </c>
      <c r="W766" s="14">
        <f>IFERROR(__xludf.DUMMYFUNCTION("""COMPUTED_VALUE"""),8.062)</f>
        <v>8.062</v>
      </c>
      <c r="X766" s="14">
        <f>IFERROR(__xludf.DUMMYFUNCTION("""COMPUTED_VALUE"""),15.5)</f>
        <v>15.5</v>
      </c>
      <c r="Y766" s="14">
        <f>IFERROR(__xludf.DUMMYFUNCTION("""COMPUTED_VALUE"""),15.4)</f>
        <v>15.4</v>
      </c>
      <c r="Z766" s="14">
        <f>IFERROR(__xludf.DUMMYFUNCTION("""COMPUTED_VALUE"""),15.4)</f>
        <v>15.4</v>
      </c>
      <c r="AA766" s="14">
        <f>IFERROR(__xludf.DUMMYFUNCTION("""COMPUTED_VALUE"""),15.7)</f>
        <v>15.7</v>
      </c>
      <c r="AB766" s="14">
        <f>IFERROR(__xludf.DUMMYFUNCTION("""COMPUTED_VALUE"""),15.8)</f>
        <v>15.8</v>
      </c>
      <c r="AC766" s="14">
        <f>IFERROR(__xludf.DUMMYFUNCTION("""COMPUTED_VALUE"""),15.559999999999999)</f>
        <v>15.56</v>
      </c>
      <c r="AD766" s="48">
        <f>IFERROR(__xludf.DUMMYFUNCTION("""COMPUTED_VALUE"""),687.0)</f>
        <v>687</v>
      </c>
      <c r="AE766" s="48">
        <f>IFERROR(__xludf.DUMMYFUNCTION("""COMPUTED_VALUE"""),713.0)</f>
        <v>713</v>
      </c>
      <c r="AF766" s="48">
        <f>IFERROR(__xludf.DUMMYFUNCTION("""COMPUTED_VALUE"""),670.0)</f>
        <v>670</v>
      </c>
      <c r="AG766" s="48">
        <f>IFERROR(__xludf.DUMMYFUNCTION("""COMPUTED_VALUE"""),665.0)</f>
        <v>665</v>
      </c>
      <c r="AH766" s="48">
        <f>IFERROR(__xludf.DUMMYFUNCTION("""COMPUTED_VALUE"""),667.0)</f>
        <v>667</v>
      </c>
      <c r="AI766" s="14">
        <f>IFERROR(__xludf.DUMMYFUNCTION("""COMPUTED_VALUE"""),680.4)</f>
        <v>680.4</v>
      </c>
      <c r="AJ766" s="14">
        <f>IFERROR(__xludf.DUMMYFUNCTION("""COMPUTED_VALUE"""),5.45)</f>
        <v>5.45</v>
      </c>
      <c r="AK766" s="14">
        <f>IFERROR(__xludf.DUMMYFUNCTION("""COMPUTED_VALUE"""),5.12)</f>
        <v>5.12</v>
      </c>
      <c r="AL766" s="14">
        <f>IFERROR(__xludf.DUMMYFUNCTION("""COMPUTED_VALUE"""),5.04)</f>
        <v>5.04</v>
      </c>
      <c r="AM766" s="14">
        <f>IFERROR(__xludf.DUMMYFUNCTION("""COMPUTED_VALUE"""),4.92)</f>
        <v>4.92</v>
      </c>
      <c r="AN766" s="14">
        <f>IFERROR(__xludf.DUMMYFUNCTION("""COMPUTED_VALUE"""),4.85)</f>
        <v>4.85</v>
      </c>
      <c r="AO766" s="14">
        <f>IFERROR(__xludf.DUMMYFUNCTION("""COMPUTED_VALUE"""),5.0760000000000005)</f>
        <v>5.076</v>
      </c>
      <c r="AP766" s="14">
        <f>IFERROR(__xludf.DUMMYFUNCTION("""COMPUTED_VALUE"""),33.0)</f>
        <v>33</v>
      </c>
      <c r="AQ766" s="14">
        <f>IFERROR(__xludf.DUMMYFUNCTION("""COMPUTED_VALUE"""),52.0)</f>
        <v>52</v>
      </c>
      <c r="AR766" s="14">
        <f>IFERROR(__xludf.DUMMYFUNCTION("""COMPUTED_VALUE"""),69.0)</f>
        <v>69</v>
      </c>
      <c r="AS766" s="14">
        <f>IFERROR(__xludf.DUMMYFUNCTION("""COMPUTED_VALUE"""),1.2)</f>
        <v>1.2</v>
      </c>
      <c r="AT766" s="14">
        <f>IFERROR(__xludf.DUMMYFUNCTION("""COMPUTED_VALUE"""),2.46)</f>
        <v>2.46</v>
      </c>
      <c r="AU766" s="14">
        <f>IFERROR(__xludf.DUMMYFUNCTION("""COMPUTED_VALUE"""),7.48E7)</f>
        <v>74800000</v>
      </c>
      <c r="AV766" s="14">
        <f>IFERROR(__xludf.DUMMYFUNCTION("""COMPUTED_VALUE"""),3.05)</f>
        <v>3.05</v>
      </c>
      <c r="AW766" s="14">
        <f>IFERROR(__xludf.DUMMYFUNCTION("""COMPUTED_VALUE"""),24.1)</f>
        <v>24.1</v>
      </c>
      <c r="AX766" s="14">
        <f>IFERROR(__xludf.DUMMYFUNCTION("""COMPUTED_VALUE"""),48200.0)</f>
        <v>48200</v>
      </c>
      <c r="AY766" s="14">
        <f>IFERROR(__xludf.DUMMYFUNCTION("""COMPUTED_VALUE"""),0.7)</f>
        <v>0.7</v>
      </c>
      <c r="AZ766" s="14">
        <f>IFERROR(__xludf.DUMMYFUNCTION("""COMPUTED_VALUE"""),0.007)</f>
        <v>0.007</v>
      </c>
      <c r="BA766" s="14">
        <f t="shared" si="1"/>
        <v>24.807</v>
      </c>
    </row>
    <row r="767" ht="14.25" customHeight="1">
      <c r="A767" s="10" t="str">
        <f>IFERROR(__xludf.DUMMYFUNCTION("""COMPUTED_VALUE"""),"031122WI02")</f>
        <v>031122WI02</v>
      </c>
      <c r="B767" s="12" t="str">
        <f>IFERROR(__xludf.DUMMYFUNCTION("""COMPUTED_VALUE"""),"CON-Bella Suiza")</f>
        <v>CON-Bella Suiza</v>
      </c>
      <c r="C767" s="12"/>
      <c r="D767" s="12"/>
      <c r="E767" s="44">
        <f>IFERROR(__xludf.DUMMYFUNCTION("""COMPUTED_VALUE"""),44868.0)</f>
        <v>44868</v>
      </c>
      <c r="F767" s="12" t="str">
        <f>IFERROR(__xludf.DUMMYFUNCTION("""COMPUTED_VALUE"""),"TIPO I")</f>
        <v>TIPO I</v>
      </c>
      <c r="G767" s="12" t="str">
        <f>IFERROR(__xludf.DUMMYFUNCTION("""COMPUTED_VALUE"""),"Presenta coloración, se observan obras en el canal aguas abajo")</f>
        <v>Presenta coloración, se observan obras en el canal aguas abajo</v>
      </c>
      <c r="H767" s="45">
        <f>IFERROR(__xludf.DUMMYFUNCTION("""COMPUTED_VALUE"""),0.5)</f>
        <v>0.5</v>
      </c>
      <c r="I767" s="45">
        <f>IFERROR(__xludf.DUMMYFUNCTION("""COMPUTED_VALUE"""),0.5833333333321207)</f>
        <v>0.5833333333</v>
      </c>
      <c r="J767" s="12">
        <f>IFERROR(__xludf.DUMMYFUNCTION("""COMPUTED_VALUE"""),1.2)</f>
        <v>1.2</v>
      </c>
      <c r="K767" s="12">
        <f>IFERROR(__xludf.DUMMYFUNCTION("""COMPUTED_VALUE"""),0.15)</f>
        <v>0.15</v>
      </c>
      <c r="L767" s="14">
        <f>IFERROR(__xludf.DUMMYFUNCTION("""COMPUTED_VALUE"""),31.13)</f>
        <v>31.13</v>
      </c>
      <c r="M767" s="14">
        <f>IFERROR(__xludf.DUMMYFUNCTION("""COMPUTED_VALUE"""),29.675)</f>
        <v>29.675</v>
      </c>
      <c r="N767" s="14">
        <f>IFERROR(__xludf.DUMMYFUNCTION("""COMPUTED_VALUE"""),29.482)</f>
        <v>29.482</v>
      </c>
      <c r="O767" s="14">
        <f>IFERROR(__xludf.DUMMYFUNCTION("""COMPUTED_VALUE"""),33.792)</f>
        <v>33.792</v>
      </c>
      <c r="P767" s="14">
        <f>IFERROR(__xludf.DUMMYFUNCTION("""COMPUTED_VALUE"""),29.984)</f>
        <v>29.984</v>
      </c>
      <c r="Q767" s="14">
        <f>IFERROR(__xludf.DUMMYFUNCTION("""COMPUTED_VALUE"""),30.812)</f>
        <v>30.812</v>
      </c>
      <c r="R767" s="48">
        <f>IFERROR(__xludf.DUMMYFUNCTION("""COMPUTED_VALUE"""),7.52)</f>
        <v>7.52</v>
      </c>
      <c r="S767" s="48">
        <f>IFERROR(__xludf.DUMMYFUNCTION("""COMPUTED_VALUE"""),7.3)</f>
        <v>7.3</v>
      </c>
      <c r="T767" s="48">
        <f>IFERROR(__xludf.DUMMYFUNCTION("""COMPUTED_VALUE"""),7.4)</f>
        <v>7.4</v>
      </c>
      <c r="U767" s="48">
        <f>IFERROR(__xludf.DUMMYFUNCTION("""COMPUTED_VALUE"""),7.6)</f>
        <v>7.6</v>
      </c>
      <c r="V767" s="48">
        <f>IFERROR(__xludf.DUMMYFUNCTION("""COMPUTED_VALUE"""),7.33)</f>
        <v>7.33</v>
      </c>
      <c r="W767" s="14">
        <f>IFERROR(__xludf.DUMMYFUNCTION("""COMPUTED_VALUE"""),7.43)</f>
        <v>7.43</v>
      </c>
      <c r="X767" s="14">
        <f>IFERROR(__xludf.DUMMYFUNCTION("""COMPUTED_VALUE"""),15.5)</f>
        <v>15.5</v>
      </c>
      <c r="Y767" s="14">
        <f>IFERROR(__xludf.DUMMYFUNCTION("""COMPUTED_VALUE"""),15.4)</f>
        <v>15.4</v>
      </c>
      <c r="Z767" s="14">
        <f>IFERROR(__xludf.DUMMYFUNCTION("""COMPUTED_VALUE"""),15.6)</f>
        <v>15.6</v>
      </c>
      <c r="AA767" s="14">
        <f>IFERROR(__xludf.DUMMYFUNCTION("""COMPUTED_VALUE"""),15.3)</f>
        <v>15.3</v>
      </c>
      <c r="AB767" s="14">
        <f>IFERROR(__xludf.DUMMYFUNCTION("""COMPUTED_VALUE"""),15.5)</f>
        <v>15.5</v>
      </c>
      <c r="AC767" s="14">
        <f>IFERROR(__xludf.DUMMYFUNCTION("""COMPUTED_VALUE"""),15.459999999999999)</f>
        <v>15.46</v>
      </c>
      <c r="AD767" s="48">
        <f>IFERROR(__xludf.DUMMYFUNCTION("""COMPUTED_VALUE"""),181.0)</f>
        <v>181</v>
      </c>
      <c r="AE767" s="48">
        <f>IFERROR(__xludf.DUMMYFUNCTION("""COMPUTED_VALUE"""),184.0)</f>
        <v>184</v>
      </c>
      <c r="AF767" s="48">
        <f>IFERROR(__xludf.DUMMYFUNCTION("""COMPUTED_VALUE"""),188.0)</f>
        <v>188</v>
      </c>
      <c r="AG767" s="48">
        <f>IFERROR(__xludf.DUMMYFUNCTION("""COMPUTED_VALUE"""),187.0)</f>
        <v>187</v>
      </c>
      <c r="AH767" s="48">
        <f>IFERROR(__xludf.DUMMYFUNCTION("""COMPUTED_VALUE"""),188.0)</f>
        <v>188</v>
      </c>
      <c r="AI767" s="14">
        <f>IFERROR(__xludf.DUMMYFUNCTION("""COMPUTED_VALUE"""),185.6)</f>
        <v>185.6</v>
      </c>
      <c r="AJ767" s="14">
        <f>IFERROR(__xludf.DUMMYFUNCTION("""COMPUTED_VALUE"""),4.68)</f>
        <v>4.68</v>
      </c>
      <c r="AK767" s="14">
        <f>IFERROR(__xludf.DUMMYFUNCTION("""COMPUTED_VALUE"""),4.55)</f>
        <v>4.55</v>
      </c>
      <c r="AL767" s="14">
        <f>IFERROR(__xludf.DUMMYFUNCTION("""COMPUTED_VALUE"""),4.77)</f>
        <v>4.77</v>
      </c>
      <c r="AM767" s="14">
        <f>IFERROR(__xludf.DUMMYFUNCTION("""COMPUTED_VALUE"""),4.66)</f>
        <v>4.66</v>
      </c>
      <c r="AN767" s="14">
        <f>IFERROR(__xludf.DUMMYFUNCTION("""COMPUTED_VALUE"""),4.43)</f>
        <v>4.43</v>
      </c>
      <c r="AO767" s="14">
        <f>IFERROR(__xludf.DUMMYFUNCTION("""COMPUTED_VALUE"""),4.618)</f>
        <v>4.618</v>
      </c>
      <c r="AP767" s="14">
        <f>IFERROR(__xludf.DUMMYFUNCTION("""COMPUTED_VALUE"""),6.0)</f>
        <v>6</v>
      </c>
      <c r="AQ767" s="14">
        <f>IFERROR(__xludf.DUMMYFUNCTION("""COMPUTED_VALUE"""),10.0)</f>
        <v>10</v>
      </c>
      <c r="AR767" s="14">
        <f>IFERROR(__xludf.DUMMYFUNCTION("""COMPUTED_VALUE"""),7.0)</f>
        <v>7</v>
      </c>
      <c r="AS767" s="14">
        <f>IFERROR(__xludf.DUMMYFUNCTION("""COMPUTED_VALUE"""),1.2)</f>
        <v>1.2</v>
      </c>
      <c r="AT767" s="14">
        <f>IFERROR(__xludf.DUMMYFUNCTION("""COMPUTED_VALUE"""),0.07)</f>
        <v>0.07</v>
      </c>
      <c r="AU767" s="14">
        <f>IFERROR(__xludf.DUMMYFUNCTION("""COMPUTED_VALUE"""),9590000.0)</f>
        <v>9590000</v>
      </c>
      <c r="AV767" s="14">
        <f>IFERROR(__xludf.DUMMYFUNCTION("""COMPUTED_VALUE"""),0.22)</f>
        <v>0.22</v>
      </c>
      <c r="AW767" s="14">
        <f>IFERROR(__xludf.DUMMYFUNCTION("""COMPUTED_VALUE"""),3.9)</f>
        <v>3.9</v>
      </c>
      <c r="AX767" s="14">
        <f>IFERROR(__xludf.DUMMYFUNCTION("""COMPUTED_VALUE"""),823000.0)</f>
        <v>823000</v>
      </c>
      <c r="AY767" s="14">
        <f>IFERROR(__xludf.DUMMYFUNCTION("""COMPUTED_VALUE"""),1.0)</f>
        <v>1</v>
      </c>
      <c r="AZ767" s="14">
        <f>IFERROR(__xludf.DUMMYFUNCTION("""COMPUTED_VALUE"""),0.039)</f>
        <v>0.039</v>
      </c>
      <c r="BA767" s="14">
        <f t="shared" si="1"/>
        <v>4.939</v>
      </c>
    </row>
    <row r="768" ht="14.25" customHeight="1">
      <c r="A768" s="10" t="str">
        <f>IFERROR(__xludf.DUMMYFUNCTION("""COMPUTED_VALUE"""),"041122WI01")</f>
        <v>041122WI01</v>
      </c>
      <c r="B768" s="12" t="str">
        <f>IFERROR(__xludf.DUMMYFUNCTION("""COMPUTED_VALUE"""),"QTR-Acapulco")</f>
        <v>QTR-Acapulco</v>
      </c>
      <c r="C768" s="12"/>
      <c r="D768" s="12"/>
      <c r="E768" s="44">
        <f>IFERROR(__xludf.DUMMYFUNCTION("""COMPUTED_VALUE"""),44869.0)</f>
        <v>44869</v>
      </c>
      <c r="F768" s="12" t="str">
        <f>IFERROR(__xludf.DUMMYFUNCTION("""COMPUTED_VALUE"""),"TIPO I")</f>
        <v>TIPO I</v>
      </c>
      <c r="G768" s="12" t="str">
        <f>IFERROR(__xludf.DUMMYFUNCTION("""COMPUTED_VALUE"""),"Presenta coloración, se perciben olores, se observan residuos solidos en cauce del río")</f>
        <v>Presenta coloración, se perciben olores, se observan residuos solidos en cauce del río</v>
      </c>
      <c r="H768" s="45">
        <f>IFERROR(__xludf.DUMMYFUNCTION("""COMPUTED_VALUE"""),0.25)</f>
        <v>0.25</v>
      </c>
      <c r="I768" s="45">
        <f>IFERROR(__xludf.DUMMYFUNCTION("""COMPUTED_VALUE"""),0.3333333333321207)</f>
        <v>0.3333333333</v>
      </c>
      <c r="J768" s="12">
        <f>IFERROR(__xludf.DUMMYFUNCTION("""COMPUTED_VALUE"""),0.8)</f>
        <v>0.8</v>
      </c>
      <c r="K768" s="12">
        <f>IFERROR(__xludf.DUMMYFUNCTION("""COMPUTED_VALUE"""),0.21)</f>
        <v>0.21</v>
      </c>
      <c r="L768" s="14">
        <f>IFERROR(__xludf.DUMMYFUNCTION("""COMPUTED_VALUE"""),6.675)</f>
        <v>6.675</v>
      </c>
      <c r="M768" s="14">
        <f>IFERROR(__xludf.DUMMYFUNCTION("""COMPUTED_VALUE"""),7.456)</f>
        <v>7.456</v>
      </c>
      <c r="N768" s="14">
        <f>IFERROR(__xludf.DUMMYFUNCTION("""COMPUTED_VALUE"""),7.551)</f>
        <v>7.551</v>
      </c>
      <c r="O768" s="14">
        <f>IFERROR(__xludf.DUMMYFUNCTION("""COMPUTED_VALUE"""),7.616)</f>
        <v>7.616</v>
      </c>
      <c r="P768" s="14">
        <f>IFERROR(__xludf.DUMMYFUNCTION("""COMPUTED_VALUE"""),7.693)</f>
        <v>7.693</v>
      </c>
      <c r="Q768" s="14">
        <f>IFERROR(__xludf.DUMMYFUNCTION("""COMPUTED_VALUE"""),7.398)</f>
        <v>7.398</v>
      </c>
      <c r="R768" s="48">
        <f>IFERROR(__xludf.DUMMYFUNCTION("""COMPUTED_VALUE"""),8.4)</f>
        <v>8.4</v>
      </c>
      <c r="S768" s="48">
        <f>IFERROR(__xludf.DUMMYFUNCTION("""COMPUTED_VALUE"""),8.3)</f>
        <v>8.3</v>
      </c>
      <c r="T768" s="48">
        <f>IFERROR(__xludf.DUMMYFUNCTION("""COMPUTED_VALUE"""),8.33)</f>
        <v>8.33</v>
      </c>
      <c r="U768" s="48">
        <f>IFERROR(__xludf.DUMMYFUNCTION("""COMPUTED_VALUE"""),8.33)</f>
        <v>8.33</v>
      </c>
      <c r="V768" s="48">
        <f>IFERROR(__xludf.DUMMYFUNCTION("""COMPUTED_VALUE"""),8.32)</f>
        <v>8.32</v>
      </c>
      <c r="W768" s="14">
        <f>IFERROR(__xludf.DUMMYFUNCTION("""COMPUTED_VALUE"""),8.336)</f>
        <v>8.336</v>
      </c>
      <c r="X768" s="14">
        <f>IFERROR(__xludf.DUMMYFUNCTION("""COMPUTED_VALUE"""),13.2)</f>
        <v>13.2</v>
      </c>
      <c r="Y768" s="14">
        <f>IFERROR(__xludf.DUMMYFUNCTION("""COMPUTED_VALUE"""),13.2)</f>
        <v>13.2</v>
      </c>
      <c r="Z768" s="14">
        <f>IFERROR(__xludf.DUMMYFUNCTION("""COMPUTED_VALUE"""),13.0)</f>
        <v>13</v>
      </c>
      <c r="AA768" s="14">
        <f>IFERROR(__xludf.DUMMYFUNCTION("""COMPUTED_VALUE"""),13.7)</f>
        <v>13.7</v>
      </c>
      <c r="AB768" s="14">
        <f>IFERROR(__xludf.DUMMYFUNCTION("""COMPUTED_VALUE"""),14.1)</f>
        <v>14.1</v>
      </c>
      <c r="AC768" s="14">
        <f>IFERROR(__xludf.DUMMYFUNCTION("""COMPUTED_VALUE"""),13.439999999999998)</f>
        <v>13.44</v>
      </c>
      <c r="AD768" s="48">
        <f>IFERROR(__xludf.DUMMYFUNCTION("""COMPUTED_VALUE"""),685.0)</f>
        <v>685</v>
      </c>
      <c r="AE768" s="48">
        <f>IFERROR(__xludf.DUMMYFUNCTION("""COMPUTED_VALUE"""),697.0)</f>
        <v>697</v>
      </c>
      <c r="AF768" s="48">
        <f>IFERROR(__xludf.DUMMYFUNCTION("""COMPUTED_VALUE"""),733.0)</f>
        <v>733</v>
      </c>
      <c r="AG768" s="48">
        <f>IFERROR(__xludf.DUMMYFUNCTION("""COMPUTED_VALUE"""),762.0)</f>
        <v>762</v>
      </c>
      <c r="AH768" s="48">
        <f>IFERROR(__xludf.DUMMYFUNCTION("""COMPUTED_VALUE"""),791.0)</f>
        <v>791</v>
      </c>
      <c r="AI768" s="14">
        <f>IFERROR(__xludf.DUMMYFUNCTION("""COMPUTED_VALUE"""),733.6)</f>
        <v>733.6</v>
      </c>
      <c r="AJ768" s="14">
        <f>IFERROR(__xludf.DUMMYFUNCTION("""COMPUTED_VALUE"""),4.11)</f>
        <v>4.11</v>
      </c>
      <c r="AK768" s="14">
        <f>IFERROR(__xludf.DUMMYFUNCTION("""COMPUTED_VALUE"""),4.06)</f>
        <v>4.06</v>
      </c>
      <c r="AL768" s="14">
        <f>IFERROR(__xludf.DUMMYFUNCTION("""COMPUTED_VALUE"""),4.26)</f>
        <v>4.26</v>
      </c>
      <c r="AM768" s="14">
        <f>IFERROR(__xludf.DUMMYFUNCTION("""COMPUTED_VALUE"""),4.21)</f>
        <v>4.21</v>
      </c>
      <c r="AN768" s="14">
        <f>IFERROR(__xludf.DUMMYFUNCTION("""COMPUTED_VALUE"""),4.11)</f>
        <v>4.11</v>
      </c>
      <c r="AO768" s="14">
        <f>IFERROR(__xludf.DUMMYFUNCTION("""COMPUTED_VALUE"""),4.15)</f>
        <v>4.15</v>
      </c>
      <c r="AP768" s="14">
        <f>IFERROR(__xludf.DUMMYFUNCTION("""COMPUTED_VALUE"""),28.0)</f>
        <v>28</v>
      </c>
      <c r="AQ768" s="14">
        <f>IFERROR(__xludf.DUMMYFUNCTION("""COMPUTED_VALUE"""),42.0)</f>
        <v>42</v>
      </c>
      <c r="AR768" s="14">
        <f>IFERROR(__xludf.DUMMYFUNCTION("""COMPUTED_VALUE"""),17.0)</f>
        <v>17</v>
      </c>
      <c r="AS768" s="14">
        <f>IFERROR(__xludf.DUMMYFUNCTION("""COMPUTED_VALUE"""),1.2)</f>
        <v>1.2</v>
      </c>
      <c r="AT768" s="14">
        <f>IFERROR(__xludf.DUMMYFUNCTION("""COMPUTED_VALUE"""),0.37)</f>
        <v>0.37</v>
      </c>
      <c r="AU768" s="14">
        <f>IFERROR(__xludf.DUMMYFUNCTION("""COMPUTED_VALUE"""),5980000.0)</f>
        <v>5980000</v>
      </c>
      <c r="AV768" s="14">
        <f>IFERROR(__xludf.DUMMYFUNCTION("""COMPUTED_VALUE"""),1.78)</f>
        <v>1.78</v>
      </c>
      <c r="AW768" s="14">
        <f>IFERROR(__xludf.DUMMYFUNCTION("""COMPUTED_VALUE"""),21.6)</f>
        <v>21.6</v>
      </c>
      <c r="AX768" s="14">
        <f>IFERROR(__xludf.DUMMYFUNCTION("""COMPUTED_VALUE"""),332000.0)</f>
        <v>332000</v>
      </c>
      <c r="AY768" s="14">
        <f>IFERROR(__xludf.DUMMYFUNCTION("""COMPUTED_VALUE"""),0.9)</f>
        <v>0.9</v>
      </c>
      <c r="AZ768" s="14">
        <f>IFERROR(__xludf.DUMMYFUNCTION("""COMPUTED_VALUE"""),0.276)</f>
        <v>0.276</v>
      </c>
      <c r="BA768" s="14">
        <f t="shared" si="1"/>
        <v>22.776</v>
      </c>
    </row>
    <row r="769" ht="14.25" customHeight="1">
      <c r="A769" s="10" t="str">
        <f>IFERROR(__xludf.DUMMYFUNCTION("""COMPUTED_VALUE"""),"081122DU02")</f>
        <v>081122DU02</v>
      </c>
      <c r="B769" s="12" t="str">
        <f>IFERROR(__xludf.DUMMYFUNCTION("""COMPUTED_VALUE"""),"HCO-Los Lagartos")</f>
        <v>HCO-Los Lagartos</v>
      </c>
      <c r="C769" s="12"/>
      <c r="D769" s="12"/>
      <c r="E769" s="44">
        <f>IFERROR(__xludf.DUMMYFUNCTION("""COMPUTED_VALUE"""),44873.0)</f>
        <v>44873</v>
      </c>
      <c r="F769" s="12" t="str">
        <f>IFERROR(__xludf.DUMMYFUNCTION("""COMPUTED_VALUE"""),"TIPO I")</f>
        <v>TIPO I</v>
      </c>
      <c r="G769" s="12" t="str">
        <f>IFERROR(__xludf.DUMMYFUNCTION("""COMPUTED_VALUE"""),"Lecho en concreto con presencia de lodo, se observa color y material flotante, también de percibe olor. ")</f>
        <v>Lecho en concreto con presencia de lodo, se observa color y material flotante, también de percibe olor. </v>
      </c>
      <c r="H769" s="45">
        <f>IFERROR(__xludf.DUMMYFUNCTION("""COMPUTED_VALUE"""),0.5)</f>
        <v>0.5</v>
      </c>
      <c r="I769" s="45">
        <f>IFERROR(__xludf.DUMMYFUNCTION("""COMPUTED_VALUE"""),0.5833333333321207)</f>
        <v>0.5833333333</v>
      </c>
      <c r="J769" s="12">
        <f>IFERROR(__xludf.DUMMYFUNCTION("""COMPUTED_VALUE"""),6.3)</f>
        <v>6.3</v>
      </c>
      <c r="K769" s="12">
        <f>IFERROR(__xludf.DUMMYFUNCTION("""COMPUTED_VALUE"""),1.52)</f>
        <v>1.52</v>
      </c>
      <c r="L769" s="14">
        <f>IFERROR(__xludf.DUMMYFUNCTION("""COMPUTED_VALUE"""),900.406)</f>
        <v>900.406</v>
      </c>
      <c r="M769" s="14">
        <f>IFERROR(__xludf.DUMMYFUNCTION("""COMPUTED_VALUE"""),916.037)</f>
        <v>916.037</v>
      </c>
      <c r="N769" s="14">
        <f>IFERROR(__xludf.DUMMYFUNCTION("""COMPUTED_VALUE"""),947.448)</f>
        <v>947.448</v>
      </c>
      <c r="O769" s="14">
        <f>IFERROR(__xludf.DUMMYFUNCTION("""COMPUTED_VALUE"""),965.443)</f>
        <v>965.443</v>
      </c>
      <c r="P769" s="14">
        <f>IFERROR(__xludf.DUMMYFUNCTION("""COMPUTED_VALUE"""),939.277)</f>
        <v>939.277</v>
      </c>
      <c r="Q769" s="14">
        <f>IFERROR(__xludf.DUMMYFUNCTION("""COMPUTED_VALUE"""),933.722)</f>
        <v>933.722</v>
      </c>
      <c r="R769" s="48">
        <f>IFERROR(__xludf.DUMMYFUNCTION("""COMPUTED_VALUE"""),7.07)</f>
        <v>7.07</v>
      </c>
      <c r="S769" s="48">
        <f>IFERROR(__xludf.DUMMYFUNCTION("""COMPUTED_VALUE"""),6.88)</f>
        <v>6.88</v>
      </c>
      <c r="T769" s="48">
        <f>IFERROR(__xludf.DUMMYFUNCTION("""COMPUTED_VALUE"""),6.75)</f>
        <v>6.75</v>
      </c>
      <c r="U769" s="48">
        <f>IFERROR(__xludf.DUMMYFUNCTION("""COMPUTED_VALUE"""),6.83)</f>
        <v>6.83</v>
      </c>
      <c r="V769" s="48">
        <f>IFERROR(__xludf.DUMMYFUNCTION("""COMPUTED_VALUE"""),6.67)</f>
        <v>6.67</v>
      </c>
      <c r="W769" s="14">
        <f>IFERROR(__xludf.DUMMYFUNCTION("""COMPUTED_VALUE"""),6.840000000000001)</f>
        <v>6.84</v>
      </c>
      <c r="X769" s="14">
        <f>IFERROR(__xludf.DUMMYFUNCTION("""COMPUTED_VALUE"""),16.7)</f>
        <v>16.7</v>
      </c>
      <c r="Y769" s="14">
        <f>IFERROR(__xludf.DUMMYFUNCTION("""COMPUTED_VALUE"""),17.1)</f>
        <v>17.1</v>
      </c>
      <c r="Z769" s="14">
        <f>IFERROR(__xludf.DUMMYFUNCTION("""COMPUTED_VALUE"""),16.9)</f>
        <v>16.9</v>
      </c>
      <c r="AA769" s="14">
        <f>IFERROR(__xludf.DUMMYFUNCTION("""COMPUTED_VALUE"""),17.2)</f>
        <v>17.2</v>
      </c>
      <c r="AB769" s="14">
        <f>IFERROR(__xludf.DUMMYFUNCTION("""COMPUTED_VALUE"""),17.5)</f>
        <v>17.5</v>
      </c>
      <c r="AC769" s="14">
        <f>IFERROR(__xludf.DUMMYFUNCTION("""COMPUTED_VALUE"""),17.08)</f>
        <v>17.08</v>
      </c>
      <c r="AD769" s="48">
        <f>IFERROR(__xludf.DUMMYFUNCTION("""COMPUTED_VALUE"""),290.0)</f>
        <v>290</v>
      </c>
      <c r="AE769" s="48">
        <f>IFERROR(__xludf.DUMMYFUNCTION("""COMPUTED_VALUE"""),279.0)</f>
        <v>279</v>
      </c>
      <c r="AF769" s="48">
        <f>IFERROR(__xludf.DUMMYFUNCTION("""COMPUTED_VALUE"""),281.0)</f>
        <v>281</v>
      </c>
      <c r="AG769" s="48">
        <f>IFERROR(__xludf.DUMMYFUNCTION("""COMPUTED_VALUE"""),270.0)</f>
        <v>270</v>
      </c>
      <c r="AH769" s="48">
        <f>IFERROR(__xludf.DUMMYFUNCTION("""COMPUTED_VALUE"""),266.0)</f>
        <v>266</v>
      </c>
      <c r="AI769" s="14">
        <f>IFERROR(__xludf.DUMMYFUNCTION("""COMPUTED_VALUE"""),277.2)</f>
        <v>277.2</v>
      </c>
      <c r="AJ769" s="14">
        <f>IFERROR(__xludf.DUMMYFUNCTION("""COMPUTED_VALUE"""),5.24)</f>
        <v>5.24</v>
      </c>
      <c r="AK769" s="14">
        <f>IFERROR(__xludf.DUMMYFUNCTION("""COMPUTED_VALUE"""),4.97)</f>
        <v>4.97</v>
      </c>
      <c r="AL769" s="14">
        <f>IFERROR(__xludf.DUMMYFUNCTION("""COMPUTED_VALUE"""),4.34)</f>
        <v>4.34</v>
      </c>
      <c r="AM769" s="14">
        <f>IFERROR(__xludf.DUMMYFUNCTION("""COMPUTED_VALUE"""),4.54)</f>
        <v>4.54</v>
      </c>
      <c r="AN769" s="14">
        <f>IFERROR(__xludf.DUMMYFUNCTION("""COMPUTED_VALUE"""),3.97)</f>
        <v>3.97</v>
      </c>
      <c r="AO769" s="14">
        <f>IFERROR(__xludf.DUMMYFUNCTION("""COMPUTED_VALUE"""),4.612)</f>
        <v>4.612</v>
      </c>
      <c r="AP769" s="14">
        <f>IFERROR(__xludf.DUMMYFUNCTION("""COMPUTED_VALUE"""),12.0)</f>
        <v>12</v>
      </c>
      <c r="AQ769" s="14">
        <f>IFERROR(__xludf.DUMMYFUNCTION("""COMPUTED_VALUE"""),17.0)</f>
        <v>17</v>
      </c>
      <c r="AR769" s="14">
        <f>IFERROR(__xludf.DUMMYFUNCTION("""COMPUTED_VALUE"""),12.0)</f>
        <v>12</v>
      </c>
      <c r="AS769" s="14">
        <f>IFERROR(__xludf.DUMMYFUNCTION("""COMPUTED_VALUE"""),1.2)</f>
        <v>1.2</v>
      </c>
      <c r="AT769" s="14">
        <f>IFERROR(__xludf.DUMMYFUNCTION("""COMPUTED_VALUE"""),0.07)</f>
        <v>0.07</v>
      </c>
      <c r="AU769" s="14">
        <f>IFERROR(__xludf.DUMMYFUNCTION("""COMPUTED_VALUE"""),1223000.0)</f>
        <v>1223000</v>
      </c>
      <c r="AV769" s="14">
        <f>IFERROR(__xludf.DUMMYFUNCTION("""COMPUTED_VALUE"""),0.21)</f>
        <v>0.21</v>
      </c>
      <c r="AW769" s="14">
        <f>IFERROR(__xludf.DUMMYFUNCTION("""COMPUTED_VALUE"""),5.9)</f>
        <v>5.9</v>
      </c>
      <c r="AX769" s="14">
        <f>IFERROR(__xludf.DUMMYFUNCTION("""COMPUTED_VALUE"""),80100.0)</f>
        <v>80100</v>
      </c>
      <c r="AY769" s="14">
        <f>IFERROR(__xludf.DUMMYFUNCTION("""COMPUTED_VALUE"""),1.3)</f>
        <v>1.3</v>
      </c>
      <c r="AZ769" s="14">
        <f>IFERROR(__xludf.DUMMYFUNCTION("""COMPUTED_VALUE"""),0.17)</f>
        <v>0.17</v>
      </c>
      <c r="BA769" s="14">
        <f t="shared" si="1"/>
        <v>7.37</v>
      </c>
    </row>
    <row r="770" ht="14.25" customHeight="1">
      <c r="A770" s="10" t="str">
        <f>IFERROR(__xludf.DUMMYFUNCTION("""COMPUTED_VALUE"""),"101122FE01")</f>
        <v>101122FE01</v>
      </c>
      <c r="B770" s="12" t="str">
        <f>IFERROR(__xludf.DUMMYFUNCTION("""COMPUTED_VALUE"""),"COR-Britalia")</f>
        <v>COR-Britalia</v>
      </c>
      <c r="C770" s="12"/>
      <c r="D770" s="12"/>
      <c r="E770" s="44">
        <f>IFERROR(__xludf.DUMMYFUNCTION("""COMPUTED_VALUE"""),44875.0)</f>
        <v>44875</v>
      </c>
      <c r="F770" s="12" t="str">
        <f>IFERROR(__xludf.DUMMYFUNCTION("""COMPUTED_VALUE"""),"TIPO I")</f>
        <v>TIPO I</v>
      </c>
      <c r="G770" s="12" t="str">
        <f>IFERROR(__xludf.DUMMYFUNCTION("""COMPUTED_VALUE"""),"Presenta coloración, no se perciben olores, durante la toma de muestra de la segunda alícuota se presentan lloviznas ")</f>
        <v>Presenta coloración, no se perciben olores, durante la toma de muestra de la segunda alícuota se presentan lloviznas </v>
      </c>
      <c r="H770" s="45">
        <f>IFERROR(__xludf.DUMMYFUNCTION("""COMPUTED_VALUE"""),0.25)</f>
        <v>0.25</v>
      </c>
      <c r="I770" s="45">
        <f>IFERROR(__xludf.DUMMYFUNCTION("""COMPUTED_VALUE"""),0.3333333333321207)</f>
        <v>0.3333333333</v>
      </c>
      <c r="J770" s="12">
        <f>IFERROR(__xludf.DUMMYFUNCTION("""COMPUTED_VALUE"""),4.0)</f>
        <v>4</v>
      </c>
      <c r="K770" s="12">
        <f>IFERROR(__xludf.DUMMYFUNCTION("""COMPUTED_VALUE"""),0.13)</f>
        <v>0.13</v>
      </c>
      <c r="L770" s="14">
        <f>IFERROR(__xludf.DUMMYFUNCTION("""COMPUTED_VALUE"""),86.905)</f>
        <v>86.905</v>
      </c>
      <c r="M770" s="14">
        <f>IFERROR(__xludf.DUMMYFUNCTION("""COMPUTED_VALUE"""),88.365)</f>
        <v>88.365</v>
      </c>
      <c r="N770" s="14">
        <f>IFERROR(__xludf.DUMMYFUNCTION("""COMPUTED_VALUE"""),90.95)</f>
        <v>90.95</v>
      </c>
      <c r="O770" s="14">
        <f>IFERROR(__xludf.DUMMYFUNCTION("""COMPUTED_VALUE"""),92.279)</f>
        <v>92.279</v>
      </c>
      <c r="P770" s="14">
        <f>IFERROR(__xludf.DUMMYFUNCTION("""COMPUTED_VALUE"""),90.606)</f>
        <v>90.606</v>
      </c>
      <c r="Q770" s="14">
        <f>IFERROR(__xludf.DUMMYFUNCTION("""COMPUTED_VALUE"""),89.821)</f>
        <v>89.821</v>
      </c>
      <c r="R770" s="48">
        <f>IFERROR(__xludf.DUMMYFUNCTION("""COMPUTED_VALUE"""),7.17)</f>
        <v>7.17</v>
      </c>
      <c r="S770" s="48">
        <f>IFERROR(__xludf.DUMMYFUNCTION("""COMPUTED_VALUE"""),7.09)</f>
        <v>7.09</v>
      </c>
      <c r="T770" s="48">
        <f>IFERROR(__xludf.DUMMYFUNCTION("""COMPUTED_VALUE"""),7.13)</f>
        <v>7.13</v>
      </c>
      <c r="U770" s="48">
        <f>IFERROR(__xludf.DUMMYFUNCTION("""COMPUTED_VALUE"""),6.95)</f>
        <v>6.95</v>
      </c>
      <c r="V770" s="48">
        <f>IFERROR(__xludf.DUMMYFUNCTION("""COMPUTED_VALUE"""),6.87)</f>
        <v>6.87</v>
      </c>
      <c r="W770" s="14">
        <f>IFERROR(__xludf.DUMMYFUNCTION("""COMPUTED_VALUE"""),7.042)</f>
        <v>7.042</v>
      </c>
      <c r="X770" s="14">
        <f>IFERROR(__xludf.DUMMYFUNCTION("""COMPUTED_VALUE"""),10.4)</f>
        <v>10.4</v>
      </c>
      <c r="Y770" s="14">
        <f>IFERROR(__xludf.DUMMYFUNCTION("""COMPUTED_VALUE"""),10.5)</f>
        <v>10.5</v>
      </c>
      <c r="Z770" s="14">
        <f>IFERROR(__xludf.DUMMYFUNCTION("""COMPUTED_VALUE"""),11.0)</f>
        <v>11</v>
      </c>
      <c r="AA770" s="14">
        <f>IFERROR(__xludf.DUMMYFUNCTION("""COMPUTED_VALUE"""),11.1)</f>
        <v>11.1</v>
      </c>
      <c r="AB770" s="14">
        <f>IFERROR(__xludf.DUMMYFUNCTION("""COMPUTED_VALUE"""),11.4)</f>
        <v>11.4</v>
      </c>
      <c r="AC770" s="14">
        <f>IFERROR(__xludf.DUMMYFUNCTION("""COMPUTED_VALUE"""),10.879999999999999)</f>
        <v>10.88</v>
      </c>
      <c r="AD770" s="48">
        <f>IFERROR(__xludf.DUMMYFUNCTION("""COMPUTED_VALUE"""),224.0)</f>
        <v>224</v>
      </c>
      <c r="AE770" s="48">
        <f>IFERROR(__xludf.DUMMYFUNCTION("""COMPUTED_VALUE"""),212.0)</f>
        <v>212</v>
      </c>
      <c r="AF770" s="48">
        <f>IFERROR(__xludf.DUMMYFUNCTION("""COMPUTED_VALUE"""),219.0)</f>
        <v>219</v>
      </c>
      <c r="AG770" s="48">
        <f>IFERROR(__xludf.DUMMYFUNCTION("""COMPUTED_VALUE"""),232.0)</f>
        <v>232</v>
      </c>
      <c r="AH770" s="48">
        <f>IFERROR(__xludf.DUMMYFUNCTION("""COMPUTED_VALUE"""),228.0)</f>
        <v>228</v>
      </c>
      <c r="AI770" s="14">
        <f>IFERROR(__xludf.DUMMYFUNCTION("""COMPUTED_VALUE"""),223.0)</f>
        <v>223</v>
      </c>
      <c r="AJ770" s="14">
        <f>IFERROR(__xludf.DUMMYFUNCTION("""COMPUTED_VALUE"""),3.22)</f>
        <v>3.22</v>
      </c>
      <c r="AK770" s="14">
        <f>IFERROR(__xludf.DUMMYFUNCTION("""COMPUTED_VALUE"""),3.47)</f>
        <v>3.47</v>
      </c>
      <c r="AL770" s="14">
        <f>IFERROR(__xludf.DUMMYFUNCTION("""COMPUTED_VALUE"""),3.75)</f>
        <v>3.75</v>
      </c>
      <c r="AM770" s="14">
        <f>IFERROR(__xludf.DUMMYFUNCTION("""COMPUTED_VALUE"""),3.49)</f>
        <v>3.49</v>
      </c>
      <c r="AN770" s="14">
        <f>IFERROR(__xludf.DUMMYFUNCTION("""COMPUTED_VALUE"""),3.67)</f>
        <v>3.67</v>
      </c>
      <c r="AO770" s="14">
        <f>IFERROR(__xludf.DUMMYFUNCTION("""COMPUTED_VALUE"""),3.5200000000000005)</f>
        <v>3.52</v>
      </c>
      <c r="AP770" s="14">
        <f>IFERROR(__xludf.DUMMYFUNCTION("""COMPUTED_VALUE"""),29.0)</f>
        <v>29</v>
      </c>
      <c r="AQ770" s="14">
        <f>IFERROR(__xludf.DUMMYFUNCTION("""COMPUTED_VALUE"""),41.0)</f>
        <v>41</v>
      </c>
      <c r="AR770" s="14">
        <f>IFERROR(__xludf.DUMMYFUNCTION("""COMPUTED_VALUE"""),68.0)</f>
        <v>68</v>
      </c>
      <c r="AS770" s="14">
        <f>IFERROR(__xludf.DUMMYFUNCTION("""COMPUTED_VALUE"""),1.2)</f>
        <v>1.2</v>
      </c>
      <c r="AT770" s="14">
        <f>IFERROR(__xludf.DUMMYFUNCTION("""COMPUTED_VALUE"""),0.07)</f>
        <v>0.07</v>
      </c>
      <c r="AU770" s="14">
        <f>IFERROR(__xludf.DUMMYFUNCTION("""COMPUTED_VALUE"""),586000.0)</f>
        <v>586000</v>
      </c>
      <c r="AV770" s="14">
        <f>IFERROR(__xludf.DUMMYFUNCTION("""COMPUTED_VALUE"""),0.05)</f>
        <v>0.05</v>
      </c>
      <c r="AW770" s="14">
        <f>IFERROR(__xludf.DUMMYFUNCTION("""COMPUTED_VALUE"""),4.5)</f>
        <v>4.5</v>
      </c>
      <c r="AX770" s="14">
        <f>IFERROR(__xludf.DUMMYFUNCTION("""COMPUTED_VALUE"""),42600.0)</f>
        <v>42600</v>
      </c>
      <c r="AY770" s="14">
        <f>IFERROR(__xludf.DUMMYFUNCTION("""COMPUTED_VALUE"""),2.2)</f>
        <v>2.2</v>
      </c>
      <c r="AZ770" s="14">
        <f>IFERROR(__xludf.DUMMYFUNCTION("""COMPUTED_VALUE"""),0.053)</f>
        <v>0.053</v>
      </c>
      <c r="BA770" s="14">
        <f t="shared" si="1"/>
        <v>6.753</v>
      </c>
    </row>
    <row r="771" ht="14.25" customHeight="1">
      <c r="A771" s="10" t="str">
        <f>IFERROR(__xludf.DUMMYFUNCTION("""COMPUTED_VALUE"""),"101122FE02")</f>
        <v>101122FE02</v>
      </c>
      <c r="B771" s="12" t="str">
        <f>IFERROR(__xludf.DUMMYFUNCTION("""COMPUTED_VALUE"""),"COR-Victoria Norte")</f>
        <v>COR-Victoria Norte</v>
      </c>
      <c r="C771" s="12"/>
      <c r="D771" s="12"/>
      <c r="E771" s="44">
        <f>IFERROR(__xludf.DUMMYFUNCTION("""COMPUTED_VALUE"""),44875.0)</f>
        <v>44875</v>
      </c>
      <c r="F771" s="12" t="str">
        <f>IFERROR(__xludf.DUMMYFUNCTION("""COMPUTED_VALUE"""),"TIPO I")</f>
        <v>TIPO I</v>
      </c>
      <c r="G771" s="12" t="str">
        <f>IFERROR(__xludf.DUMMYFUNCTION("""COMPUTED_VALUE"""),"Presenta coloración, no se perciben olores")</f>
        <v>Presenta coloración, no se perciben olores</v>
      </c>
      <c r="H771" s="45">
        <f>IFERROR(__xludf.DUMMYFUNCTION("""COMPUTED_VALUE"""),0.4166666666678793)</f>
        <v>0.4166666667</v>
      </c>
      <c r="I771" s="45">
        <f>IFERROR(__xludf.DUMMYFUNCTION("""COMPUTED_VALUE"""),0.5)</f>
        <v>0.5</v>
      </c>
      <c r="J771" s="12">
        <f>IFERROR(__xludf.DUMMYFUNCTION("""COMPUTED_VALUE"""),6.0)</f>
        <v>6</v>
      </c>
      <c r="K771" s="12">
        <f>IFERROR(__xludf.DUMMYFUNCTION("""COMPUTED_VALUE"""),0.19)</f>
        <v>0.19</v>
      </c>
      <c r="L771" s="14">
        <f>IFERROR(__xludf.DUMMYFUNCTION("""COMPUTED_VALUE"""),266.652)</f>
        <v>266.652</v>
      </c>
      <c r="M771" s="14">
        <f>IFERROR(__xludf.DUMMYFUNCTION("""COMPUTED_VALUE"""),277.573)</f>
        <v>277.573</v>
      </c>
      <c r="N771" s="14">
        <f>IFERROR(__xludf.DUMMYFUNCTION("""COMPUTED_VALUE"""),282.288)</f>
        <v>282.288</v>
      </c>
      <c r="O771" s="14">
        <f>IFERROR(__xludf.DUMMYFUNCTION("""COMPUTED_VALUE"""),329.6)</f>
        <v>329.6</v>
      </c>
      <c r="P771" s="14">
        <f>IFERROR(__xludf.DUMMYFUNCTION("""COMPUTED_VALUE"""),326.101)</f>
        <v>326.101</v>
      </c>
      <c r="Q771" s="14">
        <f>IFERROR(__xludf.DUMMYFUNCTION("""COMPUTED_VALUE"""),296.443)</f>
        <v>296.443</v>
      </c>
      <c r="R771" s="48">
        <f>IFERROR(__xludf.DUMMYFUNCTION("""COMPUTED_VALUE"""),7.04)</f>
        <v>7.04</v>
      </c>
      <c r="S771" s="48">
        <f>IFERROR(__xludf.DUMMYFUNCTION("""COMPUTED_VALUE"""),7.08)</f>
        <v>7.08</v>
      </c>
      <c r="T771" s="48">
        <f>IFERROR(__xludf.DUMMYFUNCTION("""COMPUTED_VALUE"""),7.09)</f>
        <v>7.09</v>
      </c>
      <c r="U771" s="48">
        <f>IFERROR(__xludf.DUMMYFUNCTION("""COMPUTED_VALUE"""),7.04)</f>
        <v>7.04</v>
      </c>
      <c r="V771" s="48">
        <f>IFERROR(__xludf.DUMMYFUNCTION("""COMPUTED_VALUE"""),6.98)</f>
        <v>6.98</v>
      </c>
      <c r="W771" s="14">
        <f>IFERROR(__xludf.DUMMYFUNCTION("""COMPUTED_VALUE"""),7.046000000000001)</f>
        <v>7.046</v>
      </c>
      <c r="X771" s="14">
        <f>IFERROR(__xludf.DUMMYFUNCTION("""COMPUTED_VALUE"""),16.4)</f>
        <v>16.4</v>
      </c>
      <c r="Y771" s="14">
        <f>IFERROR(__xludf.DUMMYFUNCTION("""COMPUTED_VALUE"""),17.2)</f>
        <v>17.2</v>
      </c>
      <c r="Z771" s="14">
        <f>IFERROR(__xludf.DUMMYFUNCTION("""COMPUTED_VALUE"""),17.4)</f>
        <v>17.4</v>
      </c>
      <c r="AA771" s="14">
        <f>IFERROR(__xludf.DUMMYFUNCTION("""COMPUTED_VALUE"""),17.6)</f>
        <v>17.6</v>
      </c>
      <c r="AB771" s="14">
        <f>IFERROR(__xludf.DUMMYFUNCTION("""COMPUTED_VALUE"""),17.5)</f>
        <v>17.5</v>
      </c>
      <c r="AC771" s="14">
        <f>IFERROR(__xludf.DUMMYFUNCTION("""COMPUTED_VALUE"""),17.22)</f>
        <v>17.22</v>
      </c>
      <c r="AD771" s="48">
        <f>IFERROR(__xludf.DUMMYFUNCTION("""COMPUTED_VALUE"""),253.0)</f>
        <v>253</v>
      </c>
      <c r="AE771" s="48">
        <f>IFERROR(__xludf.DUMMYFUNCTION("""COMPUTED_VALUE"""),272.0)</f>
        <v>272</v>
      </c>
      <c r="AF771" s="48">
        <f>IFERROR(__xludf.DUMMYFUNCTION("""COMPUTED_VALUE"""),284.0)</f>
        <v>284</v>
      </c>
      <c r="AG771" s="48">
        <f>IFERROR(__xludf.DUMMYFUNCTION("""COMPUTED_VALUE"""),280.0)</f>
        <v>280</v>
      </c>
      <c r="AH771" s="48">
        <f>IFERROR(__xludf.DUMMYFUNCTION("""COMPUTED_VALUE"""),265.0)</f>
        <v>265</v>
      </c>
      <c r="AI771" s="14">
        <f>IFERROR(__xludf.DUMMYFUNCTION("""COMPUTED_VALUE"""),270.8)</f>
        <v>270.8</v>
      </c>
      <c r="AJ771" s="14">
        <f>IFERROR(__xludf.DUMMYFUNCTION("""COMPUTED_VALUE"""),3.95)</f>
        <v>3.95</v>
      </c>
      <c r="AK771" s="14">
        <f>IFERROR(__xludf.DUMMYFUNCTION("""COMPUTED_VALUE"""),3.5)</f>
        <v>3.5</v>
      </c>
      <c r="AL771" s="14">
        <f>IFERROR(__xludf.DUMMYFUNCTION("""COMPUTED_VALUE"""),2.79)</f>
        <v>2.79</v>
      </c>
      <c r="AM771" s="14">
        <f>IFERROR(__xludf.DUMMYFUNCTION("""COMPUTED_VALUE"""),3.54)</f>
        <v>3.54</v>
      </c>
      <c r="AN771" s="14">
        <f>IFERROR(__xludf.DUMMYFUNCTION("""COMPUTED_VALUE"""),3.83)</f>
        <v>3.83</v>
      </c>
      <c r="AO771" s="14">
        <f>IFERROR(__xludf.DUMMYFUNCTION("""COMPUTED_VALUE"""),3.522)</f>
        <v>3.522</v>
      </c>
      <c r="AP771" s="14">
        <f>IFERROR(__xludf.DUMMYFUNCTION("""COMPUTED_VALUE"""),18.0)</f>
        <v>18</v>
      </c>
      <c r="AQ771" s="14">
        <f>IFERROR(__xludf.DUMMYFUNCTION("""COMPUTED_VALUE"""),27.0)</f>
        <v>27</v>
      </c>
      <c r="AR771" s="14">
        <f>IFERROR(__xludf.DUMMYFUNCTION("""COMPUTED_VALUE"""),37.0)</f>
        <v>37</v>
      </c>
      <c r="AS771" s="14">
        <f>IFERROR(__xludf.DUMMYFUNCTION("""COMPUTED_VALUE"""),1.2)</f>
        <v>1.2</v>
      </c>
      <c r="AT771" s="14">
        <f>IFERROR(__xludf.DUMMYFUNCTION("""COMPUTED_VALUE"""),0.07)</f>
        <v>0.07</v>
      </c>
      <c r="AU771" s="14">
        <f>IFERROR(__xludf.DUMMYFUNCTION("""COMPUTED_VALUE"""),987000.0)</f>
        <v>987000</v>
      </c>
      <c r="AV771" s="14">
        <f>IFERROR(__xludf.DUMMYFUNCTION("""COMPUTED_VALUE"""),0.1)</f>
        <v>0.1</v>
      </c>
      <c r="AW771" s="14">
        <f>IFERROR(__xludf.DUMMYFUNCTION("""COMPUTED_VALUE"""),7.0)</f>
        <v>7</v>
      </c>
      <c r="AX771" s="14">
        <f>IFERROR(__xludf.DUMMYFUNCTION("""COMPUTED_VALUE"""),71200.0)</f>
        <v>71200</v>
      </c>
      <c r="AY771" s="14">
        <f>IFERROR(__xludf.DUMMYFUNCTION("""COMPUTED_VALUE"""),2.0)</f>
        <v>2</v>
      </c>
      <c r="AZ771" s="14">
        <f>IFERROR(__xludf.DUMMYFUNCTION("""COMPUTED_VALUE"""),0.138)</f>
        <v>0.138</v>
      </c>
      <c r="BA771" s="14">
        <f t="shared" si="1"/>
        <v>9.138</v>
      </c>
    </row>
    <row r="772" ht="14.25" customHeight="1">
      <c r="A772" s="10" t="str">
        <f>IFERROR(__xludf.DUMMYFUNCTION("""COMPUTED_VALUE"""),"111122DI01")</f>
        <v>111122DI01</v>
      </c>
      <c r="B772" s="12" t="str">
        <f>IFERROR(__xludf.DUMMYFUNCTION("""COMPUTED_VALUE"""),"COR-Prado Veraniego")</f>
        <v>COR-Prado Veraniego</v>
      </c>
      <c r="C772" s="12"/>
      <c r="D772" s="12"/>
      <c r="E772" s="44">
        <f>IFERROR(__xludf.DUMMYFUNCTION("""COMPUTED_VALUE"""),44876.0)</f>
        <v>44876</v>
      </c>
      <c r="F772" s="12" t="str">
        <f>IFERROR(__xludf.DUMMYFUNCTION("""COMPUTED_VALUE"""),"TIPO I")</f>
        <v>TIPO I</v>
      </c>
      <c r="G772" s="12" t="str">
        <f>IFERROR(__xludf.DUMMYFUNCTION("""COMPUTED_VALUE"""),"No presenta coloración, no se perciben olores, se observa presencia de algas")</f>
        <v>No presenta coloración, no se perciben olores, se observa presencia de algas</v>
      </c>
      <c r="H772" s="45">
        <f>IFERROR(__xludf.DUMMYFUNCTION("""COMPUTED_VALUE"""),0.25)</f>
        <v>0.25</v>
      </c>
      <c r="I772" s="45">
        <f>IFERROR(__xludf.DUMMYFUNCTION("""COMPUTED_VALUE"""),0.3333333333321207)</f>
        <v>0.3333333333</v>
      </c>
      <c r="J772" s="12">
        <f>IFERROR(__xludf.DUMMYFUNCTION("""COMPUTED_VALUE"""),5.5)</f>
        <v>5.5</v>
      </c>
      <c r="K772" s="12">
        <f>IFERROR(__xludf.DUMMYFUNCTION("""COMPUTED_VALUE"""),0.21)</f>
        <v>0.21</v>
      </c>
      <c r="L772" s="14">
        <f>IFERROR(__xludf.DUMMYFUNCTION("""COMPUTED_VALUE"""),403.306)</f>
        <v>403.306</v>
      </c>
      <c r="M772" s="14">
        <f>IFERROR(__xludf.DUMMYFUNCTION("""COMPUTED_VALUE"""),405.858)</f>
        <v>405.858</v>
      </c>
      <c r="N772" s="14">
        <f>IFERROR(__xludf.DUMMYFUNCTION("""COMPUTED_VALUE"""),409.071)</f>
        <v>409.071</v>
      </c>
      <c r="O772" s="14">
        <f>IFERROR(__xludf.DUMMYFUNCTION("""COMPUTED_VALUE"""),379.311)</f>
        <v>379.311</v>
      </c>
      <c r="P772" s="14">
        <f>IFERROR(__xludf.DUMMYFUNCTION("""COMPUTED_VALUE"""),384.055)</f>
        <v>384.055</v>
      </c>
      <c r="Q772" s="14">
        <f>IFERROR(__xludf.DUMMYFUNCTION("""COMPUTED_VALUE"""),396.32)</f>
        <v>396.32</v>
      </c>
      <c r="R772" s="48">
        <f>IFERROR(__xludf.DUMMYFUNCTION("""COMPUTED_VALUE"""),7.31)</f>
        <v>7.31</v>
      </c>
      <c r="S772" s="48">
        <f>IFERROR(__xludf.DUMMYFUNCTION("""COMPUTED_VALUE"""),7.17)</f>
        <v>7.17</v>
      </c>
      <c r="T772" s="48">
        <f>IFERROR(__xludf.DUMMYFUNCTION("""COMPUTED_VALUE"""),7.0)</f>
        <v>7</v>
      </c>
      <c r="U772" s="48">
        <f>IFERROR(__xludf.DUMMYFUNCTION("""COMPUTED_VALUE"""),6.89)</f>
        <v>6.89</v>
      </c>
      <c r="V772" s="48">
        <f>IFERROR(__xludf.DUMMYFUNCTION("""COMPUTED_VALUE"""),6.85)</f>
        <v>6.85</v>
      </c>
      <c r="W772" s="14">
        <f>IFERROR(__xludf.DUMMYFUNCTION("""COMPUTED_VALUE"""),7.044)</f>
        <v>7.044</v>
      </c>
      <c r="X772" s="14">
        <f>IFERROR(__xludf.DUMMYFUNCTION("""COMPUTED_VALUE"""),15.3)</f>
        <v>15.3</v>
      </c>
      <c r="Y772" s="14">
        <f>IFERROR(__xludf.DUMMYFUNCTION("""COMPUTED_VALUE"""),15.4)</f>
        <v>15.4</v>
      </c>
      <c r="Z772" s="14">
        <f>IFERROR(__xludf.DUMMYFUNCTION("""COMPUTED_VALUE"""),15.2)</f>
        <v>15.2</v>
      </c>
      <c r="AA772" s="14">
        <f>IFERROR(__xludf.DUMMYFUNCTION("""COMPUTED_VALUE"""),15.5)</f>
        <v>15.5</v>
      </c>
      <c r="AB772" s="14">
        <f>IFERROR(__xludf.DUMMYFUNCTION("""COMPUTED_VALUE"""),15.8)</f>
        <v>15.8</v>
      </c>
      <c r="AC772" s="14">
        <f>IFERROR(__xludf.DUMMYFUNCTION("""COMPUTED_VALUE"""),15.440000000000001)</f>
        <v>15.44</v>
      </c>
      <c r="AD772" s="48">
        <f>IFERROR(__xludf.DUMMYFUNCTION("""COMPUTED_VALUE"""),236.0)</f>
        <v>236</v>
      </c>
      <c r="AE772" s="48">
        <f>IFERROR(__xludf.DUMMYFUNCTION("""COMPUTED_VALUE"""),232.0)</f>
        <v>232</v>
      </c>
      <c r="AF772" s="48">
        <f>IFERROR(__xludf.DUMMYFUNCTION("""COMPUTED_VALUE"""),241.0)</f>
        <v>241</v>
      </c>
      <c r="AG772" s="48">
        <f>IFERROR(__xludf.DUMMYFUNCTION("""COMPUTED_VALUE"""),253.0)</f>
        <v>253</v>
      </c>
      <c r="AH772" s="48">
        <f>IFERROR(__xludf.DUMMYFUNCTION("""COMPUTED_VALUE"""),263.0)</f>
        <v>263</v>
      </c>
      <c r="AI772" s="14">
        <f>IFERROR(__xludf.DUMMYFUNCTION("""COMPUTED_VALUE"""),245.0)</f>
        <v>245</v>
      </c>
      <c r="AJ772" s="14">
        <f>IFERROR(__xludf.DUMMYFUNCTION("""COMPUTED_VALUE"""),6.26)</f>
        <v>6.26</v>
      </c>
      <c r="AK772" s="14">
        <f>IFERROR(__xludf.DUMMYFUNCTION("""COMPUTED_VALUE"""),6.4)</f>
        <v>6.4</v>
      </c>
      <c r="AL772" s="14">
        <f>IFERROR(__xludf.DUMMYFUNCTION("""COMPUTED_VALUE"""),6.02)</f>
        <v>6.02</v>
      </c>
      <c r="AM772" s="14">
        <f>IFERROR(__xludf.DUMMYFUNCTION("""COMPUTED_VALUE"""),6.38)</f>
        <v>6.38</v>
      </c>
      <c r="AN772" s="14">
        <f>IFERROR(__xludf.DUMMYFUNCTION("""COMPUTED_VALUE"""),6.74)</f>
        <v>6.74</v>
      </c>
      <c r="AO772" s="14">
        <f>IFERROR(__xludf.DUMMYFUNCTION("""COMPUTED_VALUE"""),6.359999999999999)</f>
        <v>6.36</v>
      </c>
      <c r="AP772" s="14">
        <f>IFERROR(__xludf.DUMMYFUNCTION("""COMPUTED_VALUE"""),7.0)</f>
        <v>7</v>
      </c>
      <c r="AQ772" s="14">
        <f>IFERROR(__xludf.DUMMYFUNCTION("""COMPUTED_VALUE"""),11.0)</f>
        <v>11</v>
      </c>
      <c r="AR772" s="14">
        <f>IFERROR(__xludf.DUMMYFUNCTION("""COMPUTED_VALUE"""),12.0)</f>
        <v>12</v>
      </c>
      <c r="AS772" s="14">
        <f>IFERROR(__xludf.DUMMYFUNCTION("""COMPUTED_VALUE"""),1.2)</f>
        <v>1.2</v>
      </c>
      <c r="AT772" s="14">
        <f>IFERROR(__xludf.DUMMYFUNCTION("""COMPUTED_VALUE"""),0.07)</f>
        <v>0.07</v>
      </c>
      <c r="AU772" s="14">
        <f>IFERROR(__xludf.DUMMYFUNCTION("""COMPUTED_VALUE"""),193500.0)</f>
        <v>193500</v>
      </c>
      <c r="AV772" s="14">
        <f>IFERROR(__xludf.DUMMYFUNCTION("""COMPUTED_VALUE"""),0.05)</f>
        <v>0.05</v>
      </c>
      <c r="AW772" s="14">
        <f>IFERROR(__xludf.DUMMYFUNCTION("""COMPUTED_VALUE"""),4.2)</f>
        <v>4.2</v>
      </c>
      <c r="AX772" s="14">
        <f>IFERROR(__xludf.DUMMYFUNCTION("""COMPUTED_VALUE"""),78400.0)</f>
        <v>78400</v>
      </c>
      <c r="AY772" s="14">
        <f>IFERROR(__xludf.DUMMYFUNCTION("""COMPUTED_VALUE"""),1.9)</f>
        <v>1.9</v>
      </c>
      <c r="AZ772" s="14">
        <f>IFERROR(__xludf.DUMMYFUNCTION("""COMPUTED_VALUE"""),0.126)</f>
        <v>0.126</v>
      </c>
      <c r="BA772" s="14">
        <f t="shared" si="1"/>
        <v>6.226</v>
      </c>
    </row>
    <row r="773" ht="14.25" customHeight="1">
      <c r="A773" s="10" t="str">
        <f>IFERROR(__xludf.DUMMYFUNCTION("""COMPUTED_VALUE"""),"111122DI02")</f>
        <v>111122DI02</v>
      </c>
      <c r="B773" s="12" t="str">
        <f>IFERROR(__xludf.DUMMYFUNCTION("""COMPUTED_VALUE"""),"COR-Humedal Córdoba")</f>
        <v>COR-Humedal Córdoba</v>
      </c>
      <c r="C773" s="12"/>
      <c r="D773" s="12"/>
      <c r="E773" s="44">
        <f>IFERROR(__xludf.DUMMYFUNCTION("""COMPUTED_VALUE"""),44876.0)</f>
        <v>44876</v>
      </c>
      <c r="F773" s="12" t="str">
        <f>IFERROR(__xludf.DUMMYFUNCTION("""COMPUTED_VALUE"""),"TIPO I")</f>
        <v>TIPO I</v>
      </c>
      <c r="G773" s="12" t="str">
        <f>IFERROR(__xludf.DUMMYFUNCTION("""COMPUTED_VALUE"""),"Presenta coloración, se perciben olores")</f>
        <v>Presenta coloración, se perciben olores</v>
      </c>
      <c r="H773" s="45">
        <f>IFERROR(__xludf.DUMMYFUNCTION("""COMPUTED_VALUE"""),0.4166666666678793)</f>
        <v>0.4166666667</v>
      </c>
      <c r="I773" s="45">
        <f>IFERROR(__xludf.DUMMYFUNCTION("""COMPUTED_VALUE"""),0.5)</f>
        <v>0.5</v>
      </c>
      <c r="J773" s="12">
        <f>IFERROR(__xludf.DUMMYFUNCTION("""COMPUTED_VALUE"""),9.0)</f>
        <v>9</v>
      </c>
      <c r="K773" s="12">
        <f>IFERROR(__xludf.DUMMYFUNCTION("""COMPUTED_VALUE"""),0.9)</f>
        <v>0.9</v>
      </c>
      <c r="L773" s="14">
        <f>IFERROR(__xludf.DUMMYFUNCTION("""COMPUTED_VALUE"""),1122.606)</f>
        <v>1122.606</v>
      </c>
      <c r="M773" s="14">
        <f>IFERROR(__xludf.DUMMYFUNCTION("""COMPUTED_VALUE"""),1130.828)</f>
        <v>1130.828</v>
      </c>
      <c r="N773" s="14">
        <f>IFERROR(__xludf.DUMMYFUNCTION("""COMPUTED_VALUE"""),1140.048)</f>
        <v>1140.048</v>
      </c>
      <c r="O773" s="14">
        <f>IFERROR(__xludf.DUMMYFUNCTION("""COMPUTED_VALUE"""),1121.058)</f>
        <v>1121.058</v>
      </c>
      <c r="P773" s="14">
        <f>IFERROR(__xludf.DUMMYFUNCTION("""COMPUTED_VALUE"""),1114.985)</f>
        <v>1114.985</v>
      </c>
      <c r="Q773" s="14">
        <f>IFERROR(__xludf.DUMMYFUNCTION("""COMPUTED_VALUE"""),1125.905)</f>
        <v>1125.905</v>
      </c>
      <c r="R773" s="48">
        <f>IFERROR(__xludf.DUMMYFUNCTION("""COMPUTED_VALUE"""),7.1)</f>
        <v>7.1</v>
      </c>
      <c r="S773" s="48">
        <f>IFERROR(__xludf.DUMMYFUNCTION("""COMPUTED_VALUE"""),7.23)</f>
        <v>7.23</v>
      </c>
      <c r="T773" s="48">
        <f>IFERROR(__xludf.DUMMYFUNCTION("""COMPUTED_VALUE"""),7.22)</f>
        <v>7.22</v>
      </c>
      <c r="U773" s="48">
        <f>IFERROR(__xludf.DUMMYFUNCTION("""COMPUTED_VALUE"""),7.3)</f>
        <v>7.3</v>
      </c>
      <c r="V773" s="48">
        <f>IFERROR(__xludf.DUMMYFUNCTION("""COMPUTED_VALUE"""),7.1)</f>
        <v>7.1</v>
      </c>
      <c r="W773" s="14">
        <f>IFERROR(__xludf.DUMMYFUNCTION("""COMPUTED_VALUE"""),7.19)</f>
        <v>7.19</v>
      </c>
      <c r="X773" s="14">
        <f>IFERROR(__xludf.DUMMYFUNCTION("""COMPUTED_VALUE"""),13.8)</f>
        <v>13.8</v>
      </c>
      <c r="Y773" s="14">
        <f>IFERROR(__xludf.DUMMYFUNCTION("""COMPUTED_VALUE"""),14.7)</f>
        <v>14.7</v>
      </c>
      <c r="Z773" s="14">
        <f>IFERROR(__xludf.DUMMYFUNCTION("""COMPUTED_VALUE"""),15.1)</f>
        <v>15.1</v>
      </c>
      <c r="AA773" s="14">
        <f>IFERROR(__xludf.DUMMYFUNCTION("""COMPUTED_VALUE"""),14.9)</f>
        <v>14.9</v>
      </c>
      <c r="AB773" s="14">
        <f>IFERROR(__xludf.DUMMYFUNCTION("""COMPUTED_VALUE"""),15.3)</f>
        <v>15.3</v>
      </c>
      <c r="AC773" s="14">
        <f>IFERROR(__xludf.DUMMYFUNCTION("""COMPUTED_VALUE"""),14.76)</f>
        <v>14.76</v>
      </c>
      <c r="AD773" s="48">
        <f>IFERROR(__xludf.DUMMYFUNCTION("""COMPUTED_VALUE"""),202.0)</f>
        <v>202</v>
      </c>
      <c r="AE773" s="48">
        <f>IFERROR(__xludf.DUMMYFUNCTION("""COMPUTED_VALUE"""),260.0)</f>
        <v>260</v>
      </c>
      <c r="AF773" s="48">
        <f>IFERROR(__xludf.DUMMYFUNCTION("""COMPUTED_VALUE"""),236.0)</f>
        <v>236</v>
      </c>
      <c r="AG773" s="48">
        <f>IFERROR(__xludf.DUMMYFUNCTION("""COMPUTED_VALUE"""),213.0)</f>
        <v>213</v>
      </c>
      <c r="AH773" s="48">
        <f>IFERROR(__xludf.DUMMYFUNCTION("""COMPUTED_VALUE"""),242.0)</f>
        <v>242</v>
      </c>
      <c r="AI773" s="14">
        <f>IFERROR(__xludf.DUMMYFUNCTION("""COMPUTED_VALUE"""),230.6)</f>
        <v>230.6</v>
      </c>
      <c r="AJ773" s="14">
        <f>IFERROR(__xludf.DUMMYFUNCTION("""COMPUTED_VALUE"""),4.75)</f>
        <v>4.75</v>
      </c>
      <c r="AK773" s="14">
        <f>IFERROR(__xludf.DUMMYFUNCTION("""COMPUTED_VALUE"""),2.57)</f>
        <v>2.57</v>
      </c>
      <c r="AL773" s="14">
        <f>IFERROR(__xludf.DUMMYFUNCTION("""COMPUTED_VALUE"""),4.58)</f>
        <v>4.58</v>
      </c>
      <c r="AM773" s="14">
        <f>IFERROR(__xludf.DUMMYFUNCTION("""COMPUTED_VALUE"""),4.9)</f>
        <v>4.9</v>
      </c>
      <c r="AN773" s="14">
        <f>IFERROR(__xludf.DUMMYFUNCTION("""COMPUTED_VALUE"""),3.13)</f>
        <v>3.13</v>
      </c>
      <c r="AO773" s="14">
        <f>IFERROR(__xludf.DUMMYFUNCTION("""COMPUTED_VALUE"""),3.9859999999999998)</f>
        <v>3.986</v>
      </c>
      <c r="AP773" s="14">
        <f>IFERROR(__xludf.DUMMYFUNCTION("""COMPUTED_VALUE"""),2.0)</f>
        <v>2</v>
      </c>
      <c r="AQ773" s="14">
        <f>IFERROR(__xludf.DUMMYFUNCTION("""COMPUTED_VALUE"""),5.0)</f>
        <v>5</v>
      </c>
      <c r="AR773" s="14">
        <f>IFERROR(__xludf.DUMMYFUNCTION("""COMPUTED_VALUE"""),25.0)</f>
        <v>25</v>
      </c>
      <c r="AS773" s="14">
        <f>IFERROR(__xludf.DUMMYFUNCTION("""COMPUTED_VALUE"""),1.2)</f>
        <v>1.2</v>
      </c>
      <c r="AT773" s="14">
        <f>IFERROR(__xludf.DUMMYFUNCTION("""COMPUTED_VALUE"""),0.07)</f>
        <v>0.07</v>
      </c>
      <c r="AU773" s="14">
        <f>IFERROR(__xludf.DUMMYFUNCTION("""COMPUTED_VALUE"""),1296000.0)</f>
        <v>1296000</v>
      </c>
      <c r="AV773" s="14">
        <f>IFERROR(__xludf.DUMMYFUNCTION("""COMPUTED_VALUE"""),0.22)</f>
        <v>0.22</v>
      </c>
      <c r="AW773" s="14">
        <f>IFERROR(__xludf.DUMMYFUNCTION("""COMPUTED_VALUE"""),6.7)</f>
        <v>6.7</v>
      </c>
      <c r="AX773" s="14">
        <f>IFERROR(__xludf.DUMMYFUNCTION("""COMPUTED_VALUE"""),682000.0)</f>
        <v>682000</v>
      </c>
      <c r="AY773" s="14">
        <f>IFERROR(__xludf.DUMMYFUNCTION("""COMPUTED_VALUE"""),1.6)</f>
        <v>1.6</v>
      </c>
      <c r="AZ773" s="14">
        <f>IFERROR(__xludf.DUMMYFUNCTION("""COMPUTED_VALUE"""),0.152)</f>
        <v>0.152</v>
      </c>
      <c r="BA773" s="14">
        <f t="shared" si="1"/>
        <v>8.452</v>
      </c>
    </row>
    <row r="774" ht="14.25" customHeight="1">
      <c r="A774" s="10" t="str">
        <f>IFERROR(__xludf.DUMMYFUNCTION("""COMPUTED_VALUE"""),"151122FE02")</f>
        <v>151122FE02</v>
      </c>
      <c r="B774" s="12" t="str">
        <f>IFERROR(__xludf.DUMMYFUNCTION("""COMPUTED_VALUE"""),"CMO-Alhambra")</f>
        <v>CMO-Alhambra</v>
      </c>
      <c r="C774" s="12"/>
      <c r="D774" s="12"/>
      <c r="E774" s="44">
        <f>IFERROR(__xludf.DUMMYFUNCTION("""COMPUTED_VALUE"""),44880.0)</f>
        <v>44880</v>
      </c>
      <c r="F774" s="12" t="str">
        <f>IFERROR(__xludf.DUMMYFUNCTION("""COMPUTED_VALUE"""),"TIPO I")</f>
        <v>TIPO I</v>
      </c>
      <c r="G774" s="12" t="str">
        <f>IFERROR(__xludf.DUMMYFUNCTION("""COMPUTED_VALUE"""),"Presenta coloración, se perciben olores, se observan residuos sólidos en el cauce ")</f>
        <v>Presenta coloración, se perciben olores, se observan residuos sólidos en el cauce </v>
      </c>
      <c r="H774" s="45">
        <f>IFERROR(__xludf.DUMMYFUNCTION("""COMPUTED_VALUE"""),0.5833333333321207)</f>
        <v>0.5833333333</v>
      </c>
      <c r="I774" s="45">
        <f>IFERROR(__xludf.DUMMYFUNCTION("""COMPUTED_VALUE"""),0.6666666666678793)</f>
        <v>0.6666666667</v>
      </c>
      <c r="J774" s="12">
        <f>IFERROR(__xludf.DUMMYFUNCTION("""COMPUTED_VALUE"""),9.0)</f>
        <v>9</v>
      </c>
      <c r="K774" s="12">
        <f>IFERROR(__xludf.DUMMYFUNCTION("""COMPUTED_VALUE"""),0.35)</f>
        <v>0.35</v>
      </c>
      <c r="L774" s="14">
        <f>IFERROR(__xludf.DUMMYFUNCTION("""COMPUTED_VALUE"""),806.328)</f>
        <v>806.328</v>
      </c>
      <c r="M774" s="14">
        <f>IFERROR(__xludf.DUMMYFUNCTION("""COMPUTED_VALUE"""),721.159)</f>
        <v>721.159</v>
      </c>
      <c r="N774" s="14">
        <f>IFERROR(__xludf.DUMMYFUNCTION("""COMPUTED_VALUE"""),794.083)</f>
        <v>794.083</v>
      </c>
      <c r="O774" s="14">
        <f>IFERROR(__xludf.DUMMYFUNCTION("""COMPUTED_VALUE"""),863.332)</f>
        <v>863.332</v>
      </c>
      <c r="P774" s="14">
        <f>IFERROR(__xludf.DUMMYFUNCTION("""COMPUTED_VALUE"""),797.351)</f>
        <v>797.351</v>
      </c>
      <c r="Q774" s="14">
        <f>IFERROR(__xludf.DUMMYFUNCTION("""COMPUTED_VALUE"""),796.451)</f>
        <v>796.451</v>
      </c>
      <c r="R774" s="48">
        <f>IFERROR(__xludf.DUMMYFUNCTION("""COMPUTED_VALUE"""),7.82)</f>
        <v>7.82</v>
      </c>
      <c r="S774" s="48">
        <f>IFERROR(__xludf.DUMMYFUNCTION("""COMPUTED_VALUE"""),7.74)</f>
        <v>7.74</v>
      </c>
      <c r="T774" s="48">
        <f>IFERROR(__xludf.DUMMYFUNCTION("""COMPUTED_VALUE"""),7.73)</f>
        <v>7.73</v>
      </c>
      <c r="U774" s="48">
        <f>IFERROR(__xludf.DUMMYFUNCTION("""COMPUTED_VALUE"""),7.74)</f>
        <v>7.74</v>
      </c>
      <c r="V774" s="48">
        <f>IFERROR(__xludf.DUMMYFUNCTION("""COMPUTED_VALUE"""),7.72)</f>
        <v>7.72</v>
      </c>
      <c r="W774" s="14">
        <f>IFERROR(__xludf.DUMMYFUNCTION("""COMPUTED_VALUE"""),7.75)</f>
        <v>7.75</v>
      </c>
      <c r="X774" s="14">
        <f>IFERROR(__xludf.DUMMYFUNCTION("""COMPUTED_VALUE"""),18.4)</f>
        <v>18.4</v>
      </c>
      <c r="Y774" s="14">
        <f>IFERROR(__xludf.DUMMYFUNCTION("""COMPUTED_VALUE"""),17.6)</f>
        <v>17.6</v>
      </c>
      <c r="Z774" s="14">
        <f>IFERROR(__xludf.DUMMYFUNCTION("""COMPUTED_VALUE"""),15.5)</f>
        <v>15.5</v>
      </c>
      <c r="AA774" s="14">
        <f>IFERROR(__xludf.DUMMYFUNCTION("""COMPUTED_VALUE"""),18.6)</f>
        <v>18.6</v>
      </c>
      <c r="AB774" s="14">
        <f>IFERROR(__xludf.DUMMYFUNCTION("""COMPUTED_VALUE"""),18.5)</f>
        <v>18.5</v>
      </c>
      <c r="AC774" s="14">
        <f>IFERROR(__xludf.DUMMYFUNCTION("""COMPUTED_VALUE"""),17.72)</f>
        <v>17.72</v>
      </c>
      <c r="AD774" s="48">
        <f>IFERROR(__xludf.DUMMYFUNCTION("""COMPUTED_VALUE"""),197.0)</f>
        <v>197</v>
      </c>
      <c r="AE774" s="48">
        <f>IFERROR(__xludf.DUMMYFUNCTION("""COMPUTED_VALUE"""),209.0)</f>
        <v>209</v>
      </c>
      <c r="AF774" s="48">
        <f>IFERROR(__xludf.DUMMYFUNCTION("""COMPUTED_VALUE"""),205.0)</f>
        <v>205</v>
      </c>
      <c r="AG774" s="48">
        <f>IFERROR(__xludf.DUMMYFUNCTION("""COMPUTED_VALUE"""),205.0)</f>
        <v>205</v>
      </c>
      <c r="AH774" s="48">
        <f>IFERROR(__xludf.DUMMYFUNCTION("""COMPUTED_VALUE"""),215.0)</f>
        <v>215</v>
      </c>
      <c r="AI774" s="14">
        <f>IFERROR(__xludf.DUMMYFUNCTION("""COMPUTED_VALUE"""),206.2)</f>
        <v>206.2</v>
      </c>
      <c r="AJ774" s="14">
        <f>IFERROR(__xludf.DUMMYFUNCTION("""COMPUTED_VALUE"""),2.65)</f>
        <v>2.65</v>
      </c>
      <c r="AK774" s="14">
        <f>IFERROR(__xludf.DUMMYFUNCTION("""COMPUTED_VALUE"""),2.54)</f>
        <v>2.54</v>
      </c>
      <c r="AL774" s="14">
        <f>IFERROR(__xludf.DUMMYFUNCTION("""COMPUTED_VALUE"""),2.38)</f>
        <v>2.38</v>
      </c>
      <c r="AM774" s="14">
        <f>IFERROR(__xludf.DUMMYFUNCTION("""COMPUTED_VALUE"""),2.48)</f>
        <v>2.48</v>
      </c>
      <c r="AN774" s="14">
        <f>IFERROR(__xludf.DUMMYFUNCTION("""COMPUTED_VALUE"""),2.37)</f>
        <v>2.37</v>
      </c>
      <c r="AO774" s="14">
        <f>IFERROR(__xludf.DUMMYFUNCTION("""COMPUTED_VALUE"""),2.4839999999999995)</f>
        <v>2.484</v>
      </c>
      <c r="AP774" s="14">
        <f>IFERROR(__xludf.DUMMYFUNCTION("""COMPUTED_VALUE"""),68.0)</f>
        <v>68</v>
      </c>
      <c r="AQ774" s="14">
        <f>IFERROR(__xludf.DUMMYFUNCTION("""COMPUTED_VALUE"""),92.0)</f>
        <v>92</v>
      </c>
      <c r="AR774" s="14">
        <f>IFERROR(__xludf.DUMMYFUNCTION("""COMPUTED_VALUE"""),242.0)</f>
        <v>242</v>
      </c>
      <c r="AS774" s="14">
        <f>IFERROR(__xludf.DUMMYFUNCTION("""COMPUTED_VALUE"""),1.2)</f>
        <v>1.2</v>
      </c>
      <c r="AT774" s="14">
        <f>IFERROR(__xludf.DUMMYFUNCTION("""COMPUTED_VALUE"""),0.97)</f>
        <v>0.97</v>
      </c>
      <c r="AU774" s="14">
        <f>IFERROR(__xludf.DUMMYFUNCTION("""COMPUTED_VALUE"""),1036000.0)</f>
        <v>1036000</v>
      </c>
      <c r="AV774" s="14">
        <f>IFERROR(__xludf.DUMMYFUNCTION("""COMPUTED_VALUE"""),0.07)</f>
        <v>0.07</v>
      </c>
      <c r="AW774" s="14">
        <f>IFERROR(__xludf.DUMMYFUNCTION("""COMPUTED_VALUE"""),6.7)</f>
        <v>6.7</v>
      </c>
      <c r="AX774" s="14">
        <f>IFERROR(__xludf.DUMMYFUNCTION("""COMPUTED_VALUE"""),77600.0)</f>
        <v>77600</v>
      </c>
      <c r="AY774" s="14">
        <f>IFERROR(__xludf.DUMMYFUNCTION("""COMPUTED_VALUE"""),0.1)</f>
        <v>0.1</v>
      </c>
      <c r="AZ774" s="14">
        <f>IFERROR(__xludf.DUMMYFUNCTION("""COMPUTED_VALUE"""),0.015)</f>
        <v>0.015</v>
      </c>
      <c r="BA774" s="14">
        <f t="shared" si="1"/>
        <v>6.815</v>
      </c>
    </row>
    <row r="775" ht="14.25" customHeight="1">
      <c r="A775" s="10" t="str">
        <f>IFERROR(__xludf.DUMMYFUNCTION("""COMPUTED_VALUE"""),"031122FE01")</f>
        <v>031122FE01</v>
      </c>
      <c r="B775" s="12" t="str">
        <f>IFERROR(__xludf.DUMMYFUNCTION("""COMPUTED_VALUE"""),"QYO-Monte Blanco")</f>
        <v>QYO-Monte Blanco</v>
      </c>
      <c r="C775" s="12"/>
      <c r="D775" s="12"/>
      <c r="E775" s="44">
        <f>IFERROR(__xludf.DUMMYFUNCTION("""COMPUTED_VALUE"""),44868.0)</f>
        <v>44868</v>
      </c>
      <c r="F775" s="12" t="str">
        <f>IFERROR(__xludf.DUMMYFUNCTION("""COMPUTED_VALUE"""),"TIPO I")</f>
        <v>TIPO I</v>
      </c>
      <c r="G775" s="12" t="str">
        <f>IFERROR(__xludf.DUMMYFUNCTION("""COMPUTED_VALUE"""),"Estructura del canal natural, lecho rocoso - arenoso, durante el monitoreo se observa color y se percibe olor.
Altitud: 2691 msnm ")</f>
        <v>Estructura del canal natural, lecho rocoso - arenoso, durante el monitoreo se observa color y se percibe olor.
Altitud: 2691 msnm </v>
      </c>
      <c r="H775" s="45">
        <f>IFERROR(__xludf.DUMMYFUNCTION("""COMPUTED_VALUE"""),0.25)</f>
        <v>0.25</v>
      </c>
      <c r="I775" s="45">
        <f>IFERROR(__xludf.DUMMYFUNCTION("""COMPUTED_VALUE"""),0.3333333333321207)</f>
        <v>0.3333333333</v>
      </c>
      <c r="J775" s="12">
        <f>IFERROR(__xludf.DUMMYFUNCTION("""COMPUTED_VALUE"""),4.7)</f>
        <v>4.7</v>
      </c>
      <c r="K775" s="12">
        <f>IFERROR(__xludf.DUMMYFUNCTION("""COMPUTED_VALUE"""),0.38)</f>
        <v>0.38</v>
      </c>
      <c r="L775" s="14">
        <f>IFERROR(__xludf.DUMMYFUNCTION("""COMPUTED_VALUE"""),716.152)</f>
        <v>716.152</v>
      </c>
      <c r="M775" s="14">
        <f>IFERROR(__xludf.DUMMYFUNCTION("""COMPUTED_VALUE"""),719.052)</f>
        <v>719.052</v>
      </c>
      <c r="N775" s="14">
        <f>IFERROR(__xludf.DUMMYFUNCTION("""COMPUTED_VALUE"""),719.886)</f>
        <v>719.886</v>
      </c>
      <c r="O775" s="14">
        <f>IFERROR(__xludf.DUMMYFUNCTION("""COMPUTED_VALUE"""),714.394)</f>
        <v>714.394</v>
      </c>
      <c r="P775" s="14">
        <f>IFERROR(__xludf.DUMMYFUNCTION("""COMPUTED_VALUE"""),720.079)</f>
        <v>720.079</v>
      </c>
      <c r="Q775" s="14">
        <f>IFERROR(__xludf.DUMMYFUNCTION("""COMPUTED_VALUE"""),717.913)</f>
        <v>717.913</v>
      </c>
      <c r="R775" s="48">
        <f>IFERROR(__xludf.DUMMYFUNCTION("""COMPUTED_VALUE"""),7.91)</f>
        <v>7.91</v>
      </c>
      <c r="S775" s="48">
        <f>IFERROR(__xludf.DUMMYFUNCTION("""COMPUTED_VALUE"""),7.23)</f>
        <v>7.23</v>
      </c>
      <c r="T775" s="48">
        <f>IFERROR(__xludf.DUMMYFUNCTION("""COMPUTED_VALUE"""),7.18)</f>
        <v>7.18</v>
      </c>
      <c r="U775" s="48">
        <f>IFERROR(__xludf.DUMMYFUNCTION("""COMPUTED_VALUE"""),7.04)</f>
        <v>7.04</v>
      </c>
      <c r="V775" s="48">
        <f>IFERROR(__xludf.DUMMYFUNCTION("""COMPUTED_VALUE"""),6.99)</f>
        <v>6.99</v>
      </c>
      <c r="W775" s="14">
        <f>IFERROR(__xludf.DUMMYFUNCTION("""COMPUTED_VALUE"""),7.2700000000000005)</f>
        <v>7.27</v>
      </c>
      <c r="X775" s="14">
        <f>IFERROR(__xludf.DUMMYFUNCTION("""COMPUTED_VALUE"""),11.0)</f>
        <v>11</v>
      </c>
      <c r="Y775" s="14">
        <f>IFERROR(__xludf.DUMMYFUNCTION("""COMPUTED_VALUE"""),11.2)</f>
        <v>11.2</v>
      </c>
      <c r="Z775" s="14">
        <f>IFERROR(__xludf.DUMMYFUNCTION("""COMPUTED_VALUE"""),10.9)</f>
        <v>10.9</v>
      </c>
      <c r="AA775" s="14">
        <f>IFERROR(__xludf.DUMMYFUNCTION("""COMPUTED_VALUE"""),11.5)</f>
        <v>11.5</v>
      </c>
      <c r="AB775" s="14">
        <f>IFERROR(__xludf.DUMMYFUNCTION("""COMPUTED_VALUE"""),11.8)</f>
        <v>11.8</v>
      </c>
      <c r="AC775" s="14">
        <f>IFERROR(__xludf.DUMMYFUNCTION("""COMPUTED_VALUE"""),11.280000000000001)</f>
        <v>11.28</v>
      </c>
      <c r="AD775" s="48">
        <f>IFERROR(__xludf.DUMMYFUNCTION("""COMPUTED_VALUE"""),112.6)</f>
        <v>112.6</v>
      </c>
      <c r="AE775" s="48">
        <f>IFERROR(__xludf.DUMMYFUNCTION("""COMPUTED_VALUE"""),116.6)</f>
        <v>116.6</v>
      </c>
      <c r="AF775" s="48">
        <f>IFERROR(__xludf.DUMMYFUNCTION("""COMPUTED_VALUE"""),105.2)</f>
        <v>105.2</v>
      </c>
      <c r="AG775" s="48">
        <f>IFERROR(__xludf.DUMMYFUNCTION("""COMPUTED_VALUE"""),119.0)</f>
        <v>119</v>
      </c>
      <c r="AH775" s="48">
        <f>IFERROR(__xludf.DUMMYFUNCTION("""COMPUTED_VALUE"""),109.7)</f>
        <v>109.7</v>
      </c>
      <c r="AI775" s="14">
        <f>IFERROR(__xludf.DUMMYFUNCTION("""COMPUTED_VALUE"""),112.62)</f>
        <v>112.62</v>
      </c>
      <c r="AJ775" s="14">
        <f>IFERROR(__xludf.DUMMYFUNCTION("""COMPUTED_VALUE"""),5.08)</f>
        <v>5.08</v>
      </c>
      <c r="AK775" s="14">
        <f>IFERROR(__xludf.DUMMYFUNCTION("""COMPUTED_VALUE"""),5.22)</f>
        <v>5.22</v>
      </c>
      <c r="AL775" s="14">
        <f>IFERROR(__xludf.DUMMYFUNCTION("""COMPUTED_VALUE"""),4.86)</f>
        <v>4.86</v>
      </c>
      <c r="AM775" s="14">
        <f>IFERROR(__xludf.DUMMYFUNCTION("""COMPUTED_VALUE"""),4.93)</f>
        <v>4.93</v>
      </c>
      <c r="AN775" s="14">
        <f>IFERROR(__xludf.DUMMYFUNCTION("""COMPUTED_VALUE"""),4.73)</f>
        <v>4.73</v>
      </c>
      <c r="AO775" s="14">
        <f>IFERROR(__xludf.DUMMYFUNCTION("""COMPUTED_VALUE"""),4.964)</f>
        <v>4.964</v>
      </c>
      <c r="AP775" s="14">
        <f>IFERROR(__xludf.DUMMYFUNCTION("""COMPUTED_VALUE"""),3.0)</f>
        <v>3</v>
      </c>
      <c r="AQ775" s="14">
        <f>IFERROR(__xludf.DUMMYFUNCTION("""COMPUTED_VALUE"""),5.0)</f>
        <v>5</v>
      </c>
      <c r="AR775" s="14">
        <f>IFERROR(__xludf.DUMMYFUNCTION("""COMPUTED_VALUE"""),28.0)</f>
        <v>28</v>
      </c>
      <c r="AS775" s="14">
        <f>IFERROR(__xludf.DUMMYFUNCTION("""COMPUTED_VALUE"""),1.2)</f>
        <v>1.2</v>
      </c>
      <c r="AT775" s="14">
        <f>IFERROR(__xludf.DUMMYFUNCTION("""COMPUTED_VALUE"""),0.07)</f>
        <v>0.07</v>
      </c>
      <c r="AU775" s="14">
        <f>IFERROR(__xludf.DUMMYFUNCTION("""COMPUTED_VALUE"""),1.439E7)</f>
        <v>14390000</v>
      </c>
      <c r="AV775" s="14">
        <f>IFERROR(__xludf.DUMMYFUNCTION("""COMPUTED_VALUE"""),0.32)</f>
        <v>0.32</v>
      </c>
      <c r="AW775" s="14">
        <f>IFERROR(__xludf.DUMMYFUNCTION("""COMPUTED_VALUE"""),1.9)</f>
        <v>1.9</v>
      </c>
      <c r="AX775" s="14">
        <f>IFERROR(__xludf.DUMMYFUNCTION("""COMPUTED_VALUE"""),1.296E7)</f>
        <v>12960000</v>
      </c>
      <c r="AY775" s="14">
        <f>IFERROR(__xludf.DUMMYFUNCTION("""COMPUTED_VALUE"""),1.0)</f>
        <v>1</v>
      </c>
      <c r="AZ775" s="14">
        <f>IFERROR(__xludf.DUMMYFUNCTION("""COMPUTED_VALUE"""),0.008)</f>
        <v>0.008</v>
      </c>
      <c r="BA775" s="14">
        <f t="shared" si="1"/>
        <v>2.908</v>
      </c>
    </row>
    <row r="776" ht="14.25" customHeight="1">
      <c r="A776" s="10" t="str">
        <f>IFERROR(__xludf.DUMMYFUNCTION("""COMPUTED_VALUE"""),"031122FE02")</f>
        <v>031122FE02</v>
      </c>
      <c r="B776" s="12" t="str">
        <f>IFERROR(__xludf.DUMMYFUNCTION("""COMPUTED_VALUE"""),"QYO-Bolonia")</f>
        <v>QYO-Bolonia</v>
      </c>
      <c r="C776" s="12"/>
      <c r="D776" s="12"/>
      <c r="E776" s="44">
        <f>IFERROR(__xludf.DUMMYFUNCTION("""COMPUTED_VALUE"""),44868.0)</f>
        <v>44868</v>
      </c>
      <c r="F776" s="12" t="str">
        <f>IFERROR(__xludf.DUMMYFUNCTION("""COMPUTED_VALUE"""),"TIPO I")</f>
        <v>TIPO I</v>
      </c>
      <c r="G776" s="12" t="str">
        <f>IFERROR(__xludf.DUMMYFUNCTION("""COMPUTED_VALUE"""),"Lecho rocoso - arenoso, durante el monitoreo se observa color y se percibe olor.
Altitud: 2739 msnm.")</f>
        <v>Lecho rocoso - arenoso, durante el monitoreo se observa color y se percibe olor.
Altitud: 2739 msnm.</v>
      </c>
      <c r="H776" s="45">
        <f>IFERROR(__xludf.DUMMYFUNCTION("""COMPUTED_VALUE"""),0.4166666666678793)</f>
        <v>0.4166666667</v>
      </c>
      <c r="I776" s="45">
        <f>IFERROR(__xludf.DUMMYFUNCTION("""COMPUTED_VALUE"""),0.5)</f>
        <v>0.5</v>
      </c>
      <c r="J776" s="12">
        <f>IFERROR(__xludf.DUMMYFUNCTION("""COMPUTED_VALUE"""),3.7)</f>
        <v>3.7</v>
      </c>
      <c r="K776" s="12">
        <f>IFERROR(__xludf.DUMMYFUNCTION("""COMPUTED_VALUE"""),0.69)</f>
        <v>0.69</v>
      </c>
      <c r="L776" s="14">
        <f>IFERROR(__xludf.DUMMYFUNCTION("""COMPUTED_VALUE"""),504.165)</f>
        <v>504.165</v>
      </c>
      <c r="M776" s="14">
        <f>IFERROR(__xludf.DUMMYFUNCTION("""COMPUTED_VALUE"""),545.832)</f>
        <v>545.832</v>
      </c>
      <c r="N776" s="14">
        <f>IFERROR(__xludf.DUMMYFUNCTION("""COMPUTED_VALUE"""),536.928)</f>
        <v>536.928</v>
      </c>
      <c r="O776" s="14">
        <f>IFERROR(__xludf.DUMMYFUNCTION("""COMPUTED_VALUE"""),568.079)</f>
        <v>568.079</v>
      </c>
      <c r="P776" s="14">
        <f>IFERROR(__xludf.DUMMYFUNCTION("""COMPUTED_VALUE"""),549.185)</f>
        <v>549.185</v>
      </c>
      <c r="Q776" s="14">
        <f>IFERROR(__xludf.DUMMYFUNCTION("""COMPUTED_VALUE"""),540.838)</f>
        <v>540.838</v>
      </c>
      <c r="R776" s="48">
        <f>IFERROR(__xludf.DUMMYFUNCTION("""COMPUTED_VALUE"""),7.44)</f>
        <v>7.44</v>
      </c>
      <c r="S776" s="48">
        <f>IFERROR(__xludf.DUMMYFUNCTION("""COMPUTED_VALUE"""),6.99)</f>
        <v>6.99</v>
      </c>
      <c r="T776" s="48">
        <f>IFERROR(__xludf.DUMMYFUNCTION("""COMPUTED_VALUE"""),7.31)</f>
        <v>7.31</v>
      </c>
      <c r="U776" s="48">
        <f>IFERROR(__xludf.DUMMYFUNCTION("""COMPUTED_VALUE"""),7.13)</f>
        <v>7.13</v>
      </c>
      <c r="V776" s="48">
        <f>IFERROR(__xludf.DUMMYFUNCTION("""COMPUTED_VALUE"""),7.23)</f>
        <v>7.23</v>
      </c>
      <c r="W776" s="14">
        <f>IFERROR(__xludf.DUMMYFUNCTION("""COMPUTED_VALUE"""),7.219999999999999)</f>
        <v>7.22</v>
      </c>
      <c r="X776" s="14">
        <f>IFERROR(__xludf.DUMMYFUNCTION("""COMPUTED_VALUE"""),12.4)</f>
        <v>12.4</v>
      </c>
      <c r="Y776" s="14">
        <f>IFERROR(__xludf.DUMMYFUNCTION("""COMPUTED_VALUE"""),12.8)</f>
        <v>12.8</v>
      </c>
      <c r="Z776" s="14">
        <f>IFERROR(__xludf.DUMMYFUNCTION("""COMPUTED_VALUE"""),12.9)</f>
        <v>12.9</v>
      </c>
      <c r="AA776" s="14">
        <f>IFERROR(__xludf.DUMMYFUNCTION("""COMPUTED_VALUE"""),13.0)</f>
        <v>13</v>
      </c>
      <c r="AB776" s="14">
        <f>IFERROR(__xludf.DUMMYFUNCTION("""COMPUTED_VALUE"""),13.4)</f>
        <v>13.4</v>
      </c>
      <c r="AC776" s="14">
        <f>IFERROR(__xludf.DUMMYFUNCTION("""COMPUTED_VALUE"""),12.9)</f>
        <v>12.9</v>
      </c>
      <c r="AD776" s="48">
        <f>IFERROR(__xludf.DUMMYFUNCTION("""COMPUTED_VALUE"""),191.9)</f>
        <v>191.9</v>
      </c>
      <c r="AE776" s="48">
        <f>IFERROR(__xludf.DUMMYFUNCTION("""COMPUTED_VALUE"""),109.7)</f>
        <v>109.7</v>
      </c>
      <c r="AF776" s="48">
        <f>IFERROR(__xludf.DUMMYFUNCTION("""COMPUTED_VALUE"""),97.2)</f>
        <v>97.2</v>
      </c>
      <c r="AG776" s="48">
        <f>IFERROR(__xludf.DUMMYFUNCTION("""COMPUTED_VALUE"""),89.4)</f>
        <v>89.4</v>
      </c>
      <c r="AH776" s="48">
        <f>IFERROR(__xludf.DUMMYFUNCTION("""COMPUTED_VALUE"""),84.8)</f>
        <v>84.8</v>
      </c>
      <c r="AI776" s="14">
        <f>IFERROR(__xludf.DUMMYFUNCTION("""COMPUTED_VALUE"""),114.6)</f>
        <v>114.6</v>
      </c>
      <c r="AJ776" s="14">
        <f>IFERROR(__xludf.DUMMYFUNCTION("""COMPUTED_VALUE"""),5.2)</f>
        <v>5.2</v>
      </c>
      <c r="AK776" s="14">
        <f>IFERROR(__xludf.DUMMYFUNCTION("""COMPUTED_VALUE"""),4.73)</f>
        <v>4.73</v>
      </c>
      <c r="AL776" s="14">
        <f>IFERROR(__xludf.DUMMYFUNCTION("""COMPUTED_VALUE"""),4.87)</f>
        <v>4.87</v>
      </c>
      <c r="AM776" s="14">
        <f>IFERROR(__xludf.DUMMYFUNCTION("""COMPUTED_VALUE"""),4.61)</f>
        <v>4.61</v>
      </c>
      <c r="AN776" s="14">
        <f>IFERROR(__xludf.DUMMYFUNCTION("""COMPUTED_VALUE"""),4.82)</f>
        <v>4.82</v>
      </c>
      <c r="AO776" s="14">
        <f>IFERROR(__xludf.DUMMYFUNCTION("""COMPUTED_VALUE"""),4.846)</f>
        <v>4.846</v>
      </c>
      <c r="AP776" s="14">
        <f>IFERROR(__xludf.DUMMYFUNCTION("""COMPUTED_VALUE"""),12.0)</f>
        <v>12</v>
      </c>
      <c r="AQ776" s="14">
        <f>IFERROR(__xludf.DUMMYFUNCTION("""COMPUTED_VALUE"""),19.0)</f>
        <v>19</v>
      </c>
      <c r="AR776" s="14">
        <f>IFERROR(__xludf.DUMMYFUNCTION("""COMPUTED_VALUE"""),13.0)</f>
        <v>13</v>
      </c>
      <c r="AS776" s="14">
        <f>IFERROR(__xludf.DUMMYFUNCTION("""COMPUTED_VALUE"""),1.2)</f>
        <v>1.2</v>
      </c>
      <c r="AT776" s="14">
        <f>IFERROR(__xludf.DUMMYFUNCTION("""COMPUTED_VALUE"""),0.07)</f>
        <v>0.07</v>
      </c>
      <c r="AU776" s="14">
        <f>IFERROR(__xludf.DUMMYFUNCTION("""COMPUTED_VALUE"""),823000.0)</f>
        <v>823000</v>
      </c>
      <c r="AV776" s="14">
        <f>IFERROR(__xludf.DUMMYFUNCTION("""COMPUTED_VALUE"""),1.02)</f>
        <v>1.02</v>
      </c>
      <c r="AW776" s="14">
        <f>IFERROR(__xludf.DUMMYFUNCTION("""COMPUTED_VALUE"""),2.8)</f>
        <v>2.8</v>
      </c>
      <c r="AX776" s="14">
        <f>IFERROR(__xludf.DUMMYFUNCTION("""COMPUTED_VALUE"""),6950.0)</f>
        <v>6950</v>
      </c>
      <c r="AY776" s="14">
        <f>IFERROR(__xludf.DUMMYFUNCTION("""COMPUTED_VALUE"""),0.9)</f>
        <v>0.9</v>
      </c>
      <c r="AZ776" s="14">
        <f>IFERROR(__xludf.DUMMYFUNCTION("""COMPUTED_VALUE"""),0.031)</f>
        <v>0.031</v>
      </c>
      <c r="BA776" s="14">
        <f t="shared" si="1"/>
        <v>3.731</v>
      </c>
    </row>
    <row r="777" ht="14.25" customHeight="1">
      <c r="A777" s="10" t="str">
        <f>IFERROR(__xludf.DUMMYFUNCTION("""COMPUTED_VALUE"""),"031122FE03")</f>
        <v>031122FE03</v>
      </c>
      <c r="B777" s="12" t="str">
        <f>IFERROR(__xludf.DUMMYFUNCTION("""COMPUTED_VALUE"""),"QYO-Arrayanal")</f>
        <v>QYO-Arrayanal</v>
      </c>
      <c r="C777" s="12"/>
      <c r="D777" s="12"/>
      <c r="E777" s="44">
        <f>IFERROR(__xludf.DUMMYFUNCTION("""COMPUTED_VALUE"""),44868.0)</f>
        <v>44868</v>
      </c>
      <c r="F777" s="12" t="str">
        <f>IFERROR(__xludf.DUMMYFUNCTION("""COMPUTED_VALUE"""),"TIPO I")</f>
        <v>TIPO I</v>
      </c>
      <c r="G777" s="12" t="str">
        <f>IFERROR(__xludf.DUMMYFUNCTION("""COMPUTED_VALUE"""),"Lecho rocoso - arenoso, durante el monitoreo se observa color y se percibe olor.
Altitud: 2791 msnm. ")</f>
        <v>Lecho rocoso - arenoso, durante el monitoreo se observa color y se percibe olor.
Altitud: 2791 msnm. </v>
      </c>
      <c r="H777" s="45">
        <f>IFERROR(__xludf.DUMMYFUNCTION("""COMPUTED_VALUE"""),0.5833333333321207)</f>
        <v>0.5833333333</v>
      </c>
      <c r="I777" s="45">
        <f>IFERROR(__xludf.DUMMYFUNCTION("""COMPUTED_VALUE"""),0.6666666666678793)</f>
        <v>0.6666666667</v>
      </c>
      <c r="J777" s="12">
        <f>IFERROR(__xludf.DUMMYFUNCTION("""COMPUTED_VALUE"""),4.0)</f>
        <v>4</v>
      </c>
      <c r="K777" s="12">
        <f>IFERROR(__xludf.DUMMYFUNCTION("""COMPUTED_VALUE"""),0.41)</f>
        <v>0.41</v>
      </c>
      <c r="L777" s="14">
        <f>IFERROR(__xludf.DUMMYFUNCTION("""COMPUTED_VALUE"""),318.675)</f>
        <v>318.675</v>
      </c>
      <c r="M777" s="14">
        <f>IFERROR(__xludf.DUMMYFUNCTION("""COMPUTED_VALUE"""),291.997)</f>
        <v>291.997</v>
      </c>
      <c r="N777" s="14">
        <f>IFERROR(__xludf.DUMMYFUNCTION("""COMPUTED_VALUE"""),319.865)</f>
        <v>319.865</v>
      </c>
      <c r="O777" s="14">
        <f>IFERROR(__xludf.DUMMYFUNCTION("""COMPUTED_VALUE"""),319.618)</f>
        <v>319.618</v>
      </c>
      <c r="P777" s="14">
        <f>IFERROR(__xludf.DUMMYFUNCTION("""COMPUTED_VALUE"""),322.282)</f>
        <v>322.282</v>
      </c>
      <c r="Q777" s="14">
        <f>IFERROR(__xludf.DUMMYFUNCTION("""COMPUTED_VALUE"""),314.487)</f>
        <v>314.487</v>
      </c>
      <c r="R777" s="48">
        <f>IFERROR(__xludf.DUMMYFUNCTION("""COMPUTED_VALUE"""),7.91)</f>
        <v>7.91</v>
      </c>
      <c r="S777" s="48">
        <f>IFERROR(__xludf.DUMMYFUNCTION("""COMPUTED_VALUE"""),7.51)</f>
        <v>7.51</v>
      </c>
      <c r="T777" s="48">
        <f>IFERROR(__xludf.DUMMYFUNCTION("""COMPUTED_VALUE"""),7.38)</f>
        <v>7.38</v>
      </c>
      <c r="U777" s="48">
        <f>IFERROR(__xludf.DUMMYFUNCTION("""COMPUTED_VALUE"""),7.22)</f>
        <v>7.22</v>
      </c>
      <c r="V777" s="48">
        <f>IFERROR(__xludf.DUMMYFUNCTION("""COMPUTED_VALUE"""),7.17)</f>
        <v>7.17</v>
      </c>
      <c r="W777" s="14">
        <f>IFERROR(__xludf.DUMMYFUNCTION("""COMPUTED_VALUE"""),7.438)</f>
        <v>7.438</v>
      </c>
      <c r="X777" s="14">
        <f>IFERROR(__xludf.DUMMYFUNCTION("""COMPUTED_VALUE"""),11.9)</f>
        <v>11.9</v>
      </c>
      <c r="Y777" s="14">
        <f>IFERROR(__xludf.DUMMYFUNCTION("""COMPUTED_VALUE"""),12.3)</f>
        <v>12.3</v>
      </c>
      <c r="Z777" s="14">
        <f>IFERROR(__xludf.DUMMYFUNCTION("""COMPUTED_VALUE"""),12.1)</f>
        <v>12.1</v>
      </c>
      <c r="AA777" s="14">
        <f>IFERROR(__xludf.DUMMYFUNCTION("""COMPUTED_VALUE"""),11.8)</f>
        <v>11.8</v>
      </c>
      <c r="AB777" s="14">
        <f>IFERROR(__xludf.DUMMYFUNCTION("""COMPUTED_VALUE"""),11.9)</f>
        <v>11.9</v>
      </c>
      <c r="AC777" s="14">
        <f>IFERROR(__xludf.DUMMYFUNCTION("""COMPUTED_VALUE"""),12.000000000000002)</f>
        <v>12</v>
      </c>
      <c r="AD777" s="48">
        <f>IFERROR(__xludf.DUMMYFUNCTION("""COMPUTED_VALUE"""),82.3)</f>
        <v>82.3</v>
      </c>
      <c r="AE777" s="48">
        <f>IFERROR(__xludf.DUMMYFUNCTION("""COMPUTED_VALUE"""),75.9)</f>
        <v>75.9</v>
      </c>
      <c r="AF777" s="48">
        <f>IFERROR(__xludf.DUMMYFUNCTION("""COMPUTED_VALUE"""),74.7)</f>
        <v>74.7</v>
      </c>
      <c r="AG777" s="48">
        <f>IFERROR(__xludf.DUMMYFUNCTION("""COMPUTED_VALUE"""),78.3)</f>
        <v>78.3</v>
      </c>
      <c r="AH777" s="48">
        <f>IFERROR(__xludf.DUMMYFUNCTION("""COMPUTED_VALUE"""),86.3)</f>
        <v>86.3</v>
      </c>
      <c r="AI777" s="14">
        <f>IFERROR(__xludf.DUMMYFUNCTION("""COMPUTED_VALUE"""),79.5)</f>
        <v>79.5</v>
      </c>
      <c r="AJ777" s="14">
        <f>IFERROR(__xludf.DUMMYFUNCTION("""COMPUTED_VALUE"""),6.36)</f>
        <v>6.36</v>
      </c>
      <c r="AK777" s="14">
        <f>IFERROR(__xludf.DUMMYFUNCTION("""COMPUTED_VALUE"""),6.26)</f>
        <v>6.26</v>
      </c>
      <c r="AL777" s="14">
        <f>IFERROR(__xludf.DUMMYFUNCTION("""COMPUTED_VALUE"""),5.67)</f>
        <v>5.67</v>
      </c>
      <c r="AM777" s="14">
        <f>IFERROR(__xludf.DUMMYFUNCTION("""COMPUTED_VALUE"""),6.05)</f>
        <v>6.05</v>
      </c>
      <c r="AN777" s="14">
        <f>IFERROR(__xludf.DUMMYFUNCTION("""COMPUTED_VALUE"""),6.27)</f>
        <v>6.27</v>
      </c>
      <c r="AO777" s="14">
        <f>IFERROR(__xludf.DUMMYFUNCTION("""COMPUTED_VALUE"""),6.122)</f>
        <v>6.122</v>
      </c>
      <c r="AP777" s="14">
        <f>IFERROR(__xludf.DUMMYFUNCTION("""COMPUTED_VALUE"""),10.0)</f>
        <v>10</v>
      </c>
      <c r="AQ777" s="14">
        <f>IFERROR(__xludf.DUMMYFUNCTION("""COMPUTED_VALUE"""),15.0)</f>
        <v>15</v>
      </c>
      <c r="AR777" s="14">
        <f>IFERROR(__xludf.DUMMYFUNCTION("""COMPUTED_VALUE"""),13.0)</f>
        <v>13</v>
      </c>
      <c r="AS777" s="14">
        <f>IFERROR(__xludf.DUMMYFUNCTION("""COMPUTED_VALUE"""),1.2)</f>
        <v>1.2</v>
      </c>
      <c r="AT777" s="14">
        <f>IFERROR(__xludf.DUMMYFUNCTION("""COMPUTED_VALUE"""),0.07)</f>
        <v>0.07</v>
      </c>
      <c r="AU777" s="14">
        <f>IFERROR(__xludf.DUMMYFUNCTION("""COMPUTED_VALUE"""),76300.0)</f>
        <v>76300</v>
      </c>
      <c r="AV777" s="14">
        <f>IFERROR(__xludf.DUMMYFUNCTION("""COMPUTED_VALUE"""),0.27)</f>
        <v>0.27</v>
      </c>
      <c r="AW777" s="14">
        <f>IFERROR(__xludf.DUMMYFUNCTION("""COMPUTED_VALUE"""),1.5)</f>
        <v>1.5</v>
      </c>
      <c r="AX777" s="14">
        <f>IFERROR(__xludf.DUMMYFUNCTION("""COMPUTED_VALUE"""),70800.0)</f>
        <v>70800</v>
      </c>
      <c r="AY777" s="14">
        <f>IFERROR(__xludf.DUMMYFUNCTION("""COMPUTED_VALUE"""),0.8)</f>
        <v>0.8</v>
      </c>
      <c r="AZ777" s="14">
        <f>IFERROR(__xludf.DUMMYFUNCTION("""COMPUTED_VALUE"""),0.022)</f>
        <v>0.022</v>
      </c>
      <c r="BA777" s="14">
        <f t="shared" si="1"/>
        <v>2.322</v>
      </c>
    </row>
    <row r="778" ht="14.25" customHeight="1">
      <c r="A778" s="10" t="str">
        <f>IFERROR(__xludf.DUMMYFUNCTION("""COMPUTED_VALUE"""),"161122WI01")</f>
        <v>161122WI01</v>
      </c>
      <c r="B778" s="12" t="str">
        <f>IFERROR(__xludf.DUMMYFUNCTION("""COMPUTED_VALUE"""),"CMO-Alhambra")</f>
        <v>CMO-Alhambra</v>
      </c>
      <c r="C778" s="12"/>
      <c r="D778" s="12"/>
      <c r="E778" s="44">
        <f>IFERROR(__xludf.DUMMYFUNCTION("""COMPUTED_VALUE"""),44881.0)</f>
        <v>44881</v>
      </c>
      <c r="F778" s="12" t="str">
        <f>IFERROR(__xludf.DUMMYFUNCTION("""COMPUTED_VALUE"""),"TIPO I")</f>
        <v>TIPO I</v>
      </c>
      <c r="G778" s="12" t="str">
        <f>IFERROR(__xludf.DUMMYFUNCTION("""COMPUTED_VALUE"""),"Estructura del canal en concreto, durante del monitoreo se presenta color y se observa color.
Altitud: 2566 msnm ")</f>
        <v>Estructura del canal en concreto, durante del monitoreo se presenta color y se observa color.
Altitud: 2566 msnm </v>
      </c>
      <c r="H778" s="45">
        <f>IFERROR(__xludf.DUMMYFUNCTION("""COMPUTED_VALUE"""),0.3333333333321207)</f>
        <v>0.3333333333</v>
      </c>
      <c r="I778" s="45">
        <f>IFERROR(__xludf.DUMMYFUNCTION("""COMPUTED_VALUE"""),0.4166666666678793)</f>
        <v>0.4166666667</v>
      </c>
      <c r="J778" s="12">
        <f>IFERROR(__xludf.DUMMYFUNCTION("""COMPUTED_VALUE"""),8.0)</f>
        <v>8</v>
      </c>
      <c r="K778" s="12">
        <f>IFERROR(__xludf.DUMMYFUNCTION("""COMPUTED_VALUE"""),0.34)</f>
        <v>0.34</v>
      </c>
      <c r="L778" s="14">
        <f>IFERROR(__xludf.DUMMYFUNCTION("""COMPUTED_VALUE"""),653.989)</f>
        <v>653.989</v>
      </c>
      <c r="M778" s="14">
        <f>IFERROR(__xludf.DUMMYFUNCTION("""COMPUTED_VALUE"""),790.8)</f>
        <v>790.8</v>
      </c>
      <c r="N778" s="14">
        <f>IFERROR(__xludf.DUMMYFUNCTION("""COMPUTED_VALUE"""),809.951)</f>
        <v>809.951</v>
      </c>
      <c r="O778" s="14">
        <f>IFERROR(__xludf.DUMMYFUNCTION("""COMPUTED_VALUE"""),808.716)</f>
        <v>808.716</v>
      </c>
      <c r="P778" s="14">
        <f>IFERROR(__xludf.DUMMYFUNCTION("""COMPUTED_VALUE"""),828.865)</f>
        <v>828.865</v>
      </c>
      <c r="Q778" s="14">
        <f>IFERROR(__xludf.DUMMYFUNCTION("""COMPUTED_VALUE"""),778.464)</f>
        <v>778.464</v>
      </c>
      <c r="R778" s="48">
        <f>IFERROR(__xludf.DUMMYFUNCTION("""COMPUTED_VALUE"""),7.86)</f>
        <v>7.86</v>
      </c>
      <c r="S778" s="48">
        <f>IFERROR(__xludf.DUMMYFUNCTION("""COMPUTED_VALUE"""),7.74)</f>
        <v>7.74</v>
      </c>
      <c r="T778" s="48">
        <f>IFERROR(__xludf.DUMMYFUNCTION("""COMPUTED_VALUE"""),7.83)</f>
        <v>7.83</v>
      </c>
      <c r="U778" s="48">
        <f>IFERROR(__xludf.DUMMYFUNCTION("""COMPUTED_VALUE"""),7.68)</f>
        <v>7.68</v>
      </c>
      <c r="V778" s="48">
        <f>IFERROR(__xludf.DUMMYFUNCTION("""COMPUTED_VALUE"""),7.66)</f>
        <v>7.66</v>
      </c>
      <c r="W778" s="14">
        <f>IFERROR(__xludf.DUMMYFUNCTION("""COMPUTED_VALUE"""),7.754)</f>
        <v>7.754</v>
      </c>
      <c r="X778" s="14">
        <f>IFERROR(__xludf.DUMMYFUNCTION("""COMPUTED_VALUE"""),15.2)</f>
        <v>15.2</v>
      </c>
      <c r="Y778" s="14">
        <f>IFERROR(__xludf.DUMMYFUNCTION("""COMPUTED_VALUE"""),15.4)</f>
        <v>15.4</v>
      </c>
      <c r="Z778" s="14">
        <f>IFERROR(__xludf.DUMMYFUNCTION("""COMPUTED_VALUE"""),16.1)</f>
        <v>16.1</v>
      </c>
      <c r="AA778" s="14">
        <f>IFERROR(__xludf.DUMMYFUNCTION("""COMPUTED_VALUE"""),16.0)</f>
        <v>16</v>
      </c>
      <c r="AB778" s="14">
        <f>IFERROR(__xludf.DUMMYFUNCTION("""COMPUTED_VALUE"""),15.9)</f>
        <v>15.9</v>
      </c>
      <c r="AC778" s="14">
        <f>IFERROR(__xludf.DUMMYFUNCTION("""COMPUTED_VALUE"""),15.720000000000002)</f>
        <v>15.72</v>
      </c>
      <c r="AD778" s="48">
        <f>IFERROR(__xludf.DUMMYFUNCTION("""COMPUTED_VALUE"""),181.0)</f>
        <v>181</v>
      </c>
      <c r="AE778" s="48">
        <f>IFERROR(__xludf.DUMMYFUNCTION("""COMPUTED_VALUE"""),179.0)</f>
        <v>179</v>
      </c>
      <c r="AF778" s="48">
        <f>IFERROR(__xludf.DUMMYFUNCTION("""COMPUTED_VALUE"""),198.0)</f>
        <v>198</v>
      </c>
      <c r="AG778" s="48">
        <f>IFERROR(__xludf.DUMMYFUNCTION("""COMPUTED_VALUE"""),195.0)</f>
        <v>195</v>
      </c>
      <c r="AH778" s="48">
        <f>IFERROR(__xludf.DUMMYFUNCTION("""COMPUTED_VALUE"""),139.0)</f>
        <v>139</v>
      </c>
      <c r="AI778" s="14">
        <f>IFERROR(__xludf.DUMMYFUNCTION("""COMPUTED_VALUE"""),178.4)</f>
        <v>178.4</v>
      </c>
      <c r="AJ778" s="14">
        <f>IFERROR(__xludf.DUMMYFUNCTION("""COMPUTED_VALUE"""),3.61)</f>
        <v>3.61</v>
      </c>
      <c r="AK778" s="14">
        <f>IFERROR(__xludf.DUMMYFUNCTION("""COMPUTED_VALUE"""),2.8)</f>
        <v>2.8</v>
      </c>
      <c r="AL778" s="14">
        <f>IFERROR(__xludf.DUMMYFUNCTION("""COMPUTED_VALUE"""),3.17)</f>
        <v>3.17</v>
      </c>
      <c r="AM778" s="14">
        <f>IFERROR(__xludf.DUMMYFUNCTION("""COMPUTED_VALUE"""),3.76)</f>
        <v>3.76</v>
      </c>
      <c r="AN778" s="14">
        <f>IFERROR(__xludf.DUMMYFUNCTION("""COMPUTED_VALUE"""),4.11)</f>
        <v>4.11</v>
      </c>
      <c r="AO778" s="14">
        <f>IFERROR(__xludf.DUMMYFUNCTION("""COMPUTED_VALUE"""),3.4899999999999998)</f>
        <v>3.49</v>
      </c>
      <c r="AP778" s="14">
        <f>IFERROR(__xludf.DUMMYFUNCTION("""COMPUTED_VALUE"""),14.0)</f>
        <v>14</v>
      </c>
      <c r="AQ778" s="14">
        <f>IFERROR(__xludf.DUMMYFUNCTION("""COMPUTED_VALUE"""),21.0)</f>
        <v>21</v>
      </c>
      <c r="AR778" s="14">
        <f>IFERROR(__xludf.DUMMYFUNCTION("""COMPUTED_VALUE"""),50.0)</f>
        <v>50</v>
      </c>
      <c r="AS778" s="14">
        <f>IFERROR(__xludf.DUMMYFUNCTION("""COMPUTED_VALUE"""),1.2)</f>
        <v>1.2</v>
      </c>
      <c r="AT778" s="14">
        <f>IFERROR(__xludf.DUMMYFUNCTION("""COMPUTED_VALUE"""),0.07)</f>
        <v>0.07</v>
      </c>
      <c r="AU778" s="14">
        <f>IFERROR(__xludf.DUMMYFUNCTION("""COMPUTED_VALUE"""),2.367E8)</f>
        <v>236700000</v>
      </c>
      <c r="AV778" s="14">
        <f>IFERROR(__xludf.DUMMYFUNCTION("""COMPUTED_VALUE"""),0.79)</f>
        <v>0.79</v>
      </c>
      <c r="AW778" s="14">
        <f>IFERROR(__xludf.DUMMYFUNCTION("""COMPUTED_VALUE"""),10.6)</f>
        <v>10.6</v>
      </c>
      <c r="AX778" s="14">
        <f>IFERROR(__xludf.DUMMYFUNCTION("""COMPUTED_VALUE"""),2.084E8)</f>
        <v>208400000</v>
      </c>
      <c r="AY778" s="14">
        <f>IFERROR(__xludf.DUMMYFUNCTION("""COMPUTED_VALUE"""),0.6)</f>
        <v>0.6</v>
      </c>
      <c r="AZ778" s="14">
        <f>IFERROR(__xludf.DUMMYFUNCTION("""COMPUTED_VALUE"""),0.141)</f>
        <v>0.141</v>
      </c>
      <c r="BA778" s="14">
        <f t="shared" si="1"/>
        <v>11.341</v>
      </c>
    </row>
    <row r="779" ht="14.25" customHeight="1">
      <c r="A779" s="10" t="str">
        <f>IFERROR(__xludf.DUMMYFUNCTION("""COMPUTED_VALUE"""),"181122DI01")</f>
        <v>181122DI01</v>
      </c>
      <c r="B779" s="12" t="str">
        <f>IFERROR(__xludf.DUMMYFUNCTION("""COMPUTED_VALUE"""),"CON-Bella Suiza")</f>
        <v>CON-Bella Suiza</v>
      </c>
      <c r="C779" s="12"/>
      <c r="D779" s="12"/>
      <c r="E779" s="44">
        <f>IFERROR(__xludf.DUMMYFUNCTION("""COMPUTED_VALUE"""),44883.0)</f>
        <v>44883</v>
      </c>
      <c r="F779" s="12" t="str">
        <f>IFERROR(__xludf.DUMMYFUNCTION("""COMPUTED_VALUE"""),"TIPO I")</f>
        <v>TIPO I</v>
      </c>
      <c r="G779" s="12" t="str">
        <f>IFERROR(__xludf.DUMMYFUNCTION("""COMPUTED_VALUE"""),"Estructura del canal en concreto, se observa color, no se percibe olor.
Altitud: 2539 msnm. ")</f>
        <v>Estructura del canal en concreto, se observa color, no se percibe olor.
Altitud: 2539 msnm. </v>
      </c>
      <c r="H779" s="45">
        <f>IFERROR(__xludf.DUMMYFUNCTION("""COMPUTED_VALUE"""),0.25)</f>
        <v>0.25</v>
      </c>
      <c r="I779" s="45">
        <f>IFERROR(__xludf.DUMMYFUNCTION("""COMPUTED_VALUE"""),0.3333333333321207)</f>
        <v>0.3333333333</v>
      </c>
      <c r="J779" s="12">
        <f>IFERROR(__xludf.DUMMYFUNCTION("""COMPUTED_VALUE"""),1.2)</f>
        <v>1.2</v>
      </c>
      <c r="K779" s="12">
        <f>IFERROR(__xludf.DUMMYFUNCTION("""COMPUTED_VALUE"""),0.12)</f>
        <v>0.12</v>
      </c>
      <c r="L779" s="14">
        <f>IFERROR(__xludf.DUMMYFUNCTION("""COMPUTED_VALUE"""),35.589)</f>
        <v>35.589</v>
      </c>
      <c r="M779" s="14">
        <f>IFERROR(__xludf.DUMMYFUNCTION("""COMPUTED_VALUE"""),34.253)</f>
        <v>34.253</v>
      </c>
      <c r="N779" s="14">
        <f>IFERROR(__xludf.DUMMYFUNCTION("""COMPUTED_VALUE"""),36.322)</f>
        <v>36.322</v>
      </c>
      <c r="O779" s="14">
        <f>IFERROR(__xludf.DUMMYFUNCTION("""COMPUTED_VALUE"""),38.862)</f>
        <v>38.862</v>
      </c>
      <c r="P779" s="14">
        <f>IFERROR(__xludf.DUMMYFUNCTION("""COMPUTED_VALUE"""),38.362)</f>
        <v>38.362</v>
      </c>
      <c r="Q779" s="14">
        <f>IFERROR(__xludf.DUMMYFUNCTION("""COMPUTED_VALUE"""),36.678)</f>
        <v>36.678</v>
      </c>
      <c r="R779" s="48">
        <f>IFERROR(__xludf.DUMMYFUNCTION("""COMPUTED_VALUE"""),7.69)</f>
        <v>7.69</v>
      </c>
      <c r="S779" s="48">
        <f>IFERROR(__xludf.DUMMYFUNCTION("""COMPUTED_VALUE"""),7.57)</f>
        <v>7.57</v>
      </c>
      <c r="T779" s="48">
        <f>IFERROR(__xludf.DUMMYFUNCTION("""COMPUTED_VALUE"""),7.61)</f>
        <v>7.61</v>
      </c>
      <c r="U779" s="48">
        <f>IFERROR(__xludf.DUMMYFUNCTION("""COMPUTED_VALUE"""),7.09)</f>
        <v>7.09</v>
      </c>
      <c r="V779" s="48">
        <f>IFERROR(__xludf.DUMMYFUNCTION("""COMPUTED_VALUE"""),7.08)</f>
        <v>7.08</v>
      </c>
      <c r="W779" s="14">
        <f>IFERROR(__xludf.DUMMYFUNCTION("""COMPUTED_VALUE"""),7.4079999999999995)</f>
        <v>7.408</v>
      </c>
      <c r="X779" s="14">
        <f>IFERROR(__xludf.DUMMYFUNCTION("""COMPUTED_VALUE"""),14.6)</f>
        <v>14.6</v>
      </c>
      <c r="Y779" s="14">
        <f>IFERROR(__xludf.DUMMYFUNCTION("""COMPUTED_VALUE"""),14.8)</f>
        <v>14.8</v>
      </c>
      <c r="Z779" s="14">
        <f>IFERROR(__xludf.DUMMYFUNCTION("""COMPUTED_VALUE"""),14.6)</f>
        <v>14.6</v>
      </c>
      <c r="AA779" s="14">
        <f>IFERROR(__xludf.DUMMYFUNCTION("""COMPUTED_VALUE"""),14.8)</f>
        <v>14.8</v>
      </c>
      <c r="AB779" s="14">
        <f>IFERROR(__xludf.DUMMYFUNCTION("""COMPUTED_VALUE"""),14.5)</f>
        <v>14.5</v>
      </c>
      <c r="AC779" s="14">
        <f>IFERROR(__xludf.DUMMYFUNCTION("""COMPUTED_VALUE"""),14.66)</f>
        <v>14.66</v>
      </c>
      <c r="AD779" s="48">
        <f>IFERROR(__xludf.DUMMYFUNCTION("""COMPUTED_VALUE"""),100.0)</f>
        <v>100</v>
      </c>
      <c r="AE779" s="48">
        <f>IFERROR(__xludf.DUMMYFUNCTION("""COMPUTED_VALUE"""),107.0)</f>
        <v>107</v>
      </c>
      <c r="AF779" s="48">
        <f>IFERROR(__xludf.DUMMYFUNCTION("""COMPUTED_VALUE"""),111.0)</f>
        <v>111</v>
      </c>
      <c r="AG779" s="48">
        <f>IFERROR(__xludf.DUMMYFUNCTION("""COMPUTED_VALUE"""),119.0)</f>
        <v>119</v>
      </c>
      <c r="AH779" s="48">
        <f>IFERROR(__xludf.DUMMYFUNCTION("""COMPUTED_VALUE"""),121.0)</f>
        <v>121</v>
      </c>
      <c r="AI779" s="14">
        <f>IFERROR(__xludf.DUMMYFUNCTION("""COMPUTED_VALUE"""),111.6)</f>
        <v>111.6</v>
      </c>
      <c r="AJ779" s="14">
        <f>IFERROR(__xludf.DUMMYFUNCTION("""COMPUTED_VALUE"""),3.77)</f>
        <v>3.77</v>
      </c>
      <c r="AK779" s="14">
        <f>IFERROR(__xludf.DUMMYFUNCTION("""COMPUTED_VALUE"""),3.94)</f>
        <v>3.94</v>
      </c>
      <c r="AL779" s="14">
        <f>IFERROR(__xludf.DUMMYFUNCTION("""COMPUTED_VALUE"""),4.52)</f>
        <v>4.52</v>
      </c>
      <c r="AM779" s="14">
        <f>IFERROR(__xludf.DUMMYFUNCTION("""COMPUTED_VALUE"""),4.36)</f>
        <v>4.36</v>
      </c>
      <c r="AN779" s="14">
        <f>IFERROR(__xludf.DUMMYFUNCTION("""COMPUTED_VALUE"""),4.43)</f>
        <v>4.43</v>
      </c>
      <c r="AO779" s="14">
        <f>IFERROR(__xludf.DUMMYFUNCTION("""COMPUTED_VALUE"""),4.204)</f>
        <v>4.204</v>
      </c>
      <c r="AP779" s="14">
        <f>IFERROR(__xludf.DUMMYFUNCTION("""COMPUTED_VALUE"""),4.0)</f>
        <v>4</v>
      </c>
      <c r="AQ779" s="14">
        <f>IFERROR(__xludf.DUMMYFUNCTION("""COMPUTED_VALUE"""),6.0)</f>
        <v>6</v>
      </c>
      <c r="AR779" s="14">
        <f>IFERROR(__xludf.DUMMYFUNCTION("""COMPUTED_VALUE"""),8.0)</f>
        <v>8</v>
      </c>
      <c r="AS779" s="14">
        <f>IFERROR(__xludf.DUMMYFUNCTION("""COMPUTED_VALUE"""),1.2)</f>
        <v>1.2</v>
      </c>
      <c r="AT779" s="14">
        <f>IFERROR(__xludf.DUMMYFUNCTION("""COMPUTED_VALUE"""),0.07)</f>
        <v>0.07</v>
      </c>
      <c r="AU779" s="14">
        <f>IFERROR(__xludf.DUMMYFUNCTION("""COMPUTED_VALUE"""),1.815E8)</f>
        <v>181500000</v>
      </c>
      <c r="AV779" s="14">
        <f>IFERROR(__xludf.DUMMYFUNCTION("""COMPUTED_VALUE"""),0.12)</f>
        <v>0.12</v>
      </c>
      <c r="AW779" s="14">
        <f>IFERROR(__xludf.DUMMYFUNCTION("""COMPUTED_VALUE"""),1.4)</f>
        <v>1.4</v>
      </c>
      <c r="AX779" s="14">
        <f>IFERROR(__xludf.DUMMYFUNCTION("""COMPUTED_VALUE"""),1462000.0)</f>
        <v>1462000</v>
      </c>
      <c r="AY779" s="14">
        <f>IFERROR(__xludf.DUMMYFUNCTION("""COMPUTED_VALUE"""),0.8)</f>
        <v>0.8</v>
      </c>
      <c r="AZ779" s="14">
        <f>IFERROR(__xludf.DUMMYFUNCTION("""COMPUTED_VALUE"""),0.031)</f>
        <v>0.031</v>
      </c>
      <c r="BA779" s="14">
        <f t="shared" si="1"/>
        <v>2.231</v>
      </c>
    </row>
    <row r="780" ht="14.25" customHeight="1">
      <c r="A780" s="10" t="str">
        <f>IFERROR(__xludf.DUMMYFUNCTION("""COMPUTED_VALUE"""),"181122DI02")</f>
        <v>181122DI02</v>
      </c>
      <c r="B780" s="12" t="str">
        <f>IFERROR(__xludf.DUMMYFUNCTION("""COMPUTED_VALUE"""),"CON-Country")</f>
        <v>CON-Country</v>
      </c>
      <c r="C780" s="12"/>
      <c r="D780" s="12"/>
      <c r="E780" s="44">
        <f>IFERROR(__xludf.DUMMYFUNCTION("""COMPUTED_VALUE"""),44883.0)</f>
        <v>44883</v>
      </c>
      <c r="F780" s="12" t="str">
        <f>IFERROR(__xludf.DUMMYFUNCTION("""COMPUTED_VALUE"""),"TIPO I")</f>
        <v>TIPO I</v>
      </c>
      <c r="G780" s="12" t="str">
        <f>IFERROR(__xludf.DUMMYFUNCTION("""COMPUTED_VALUE"""),"Estructura del canal en concreto, se percibe olor y se observa color, presencia de material flotante, se presentan fuertes lluvias en la cuarta alícuota por tal motivo no se realiza la toma, se observa cambio del nivel del caudal. 
Altitud: 2550 msnm. ")</f>
        <v>Estructura del canal en concreto, se percibe olor y se observa color, presencia de material flotante, se presentan fuertes lluvias en la cuarta alícuota por tal motivo no se realiza la toma, se observa cambio del nivel del caudal. 
Altitud: 2550 msnm. </v>
      </c>
      <c r="H780" s="45">
        <f>IFERROR(__xludf.DUMMYFUNCTION("""COMPUTED_VALUE"""),0.4166666666678793)</f>
        <v>0.4166666667</v>
      </c>
      <c r="I780" s="45">
        <f>IFERROR(__xludf.DUMMYFUNCTION("""COMPUTED_VALUE"""),0.5)</f>
        <v>0.5</v>
      </c>
      <c r="J780" s="12">
        <f>IFERROR(__xludf.DUMMYFUNCTION("""COMPUTED_VALUE"""),10.2)</f>
        <v>10.2</v>
      </c>
      <c r="K780" s="12">
        <f>IFERROR(__xludf.DUMMYFUNCTION("""COMPUTED_VALUE"""),0.54)</f>
        <v>0.54</v>
      </c>
      <c r="L780" s="14">
        <f>IFERROR(__xludf.DUMMYFUNCTION("""COMPUTED_VALUE"""),269.175)</f>
        <v>269.175</v>
      </c>
      <c r="M780" s="14">
        <f>IFERROR(__xludf.DUMMYFUNCTION("""COMPUTED_VALUE"""),450.801)</f>
        <v>450.801</v>
      </c>
      <c r="N780" s="14">
        <f>IFERROR(__xludf.DUMMYFUNCTION("""COMPUTED_VALUE"""),658.544)</f>
        <v>658.544</v>
      </c>
      <c r="O780" s="14"/>
      <c r="P780" s="14">
        <f>IFERROR(__xludf.DUMMYFUNCTION("""COMPUTED_VALUE"""),435.471)</f>
        <v>435.471</v>
      </c>
      <c r="Q780" s="14">
        <f>IFERROR(__xludf.DUMMYFUNCTION("""COMPUTED_VALUE"""),453.498)</f>
        <v>453.498</v>
      </c>
      <c r="R780" s="48">
        <f>IFERROR(__xludf.DUMMYFUNCTION("""COMPUTED_VALUE"""),7.1)</f>
        <v>7.1</v>
      </c>
      <c r="S780" s="48">
        <f>IFERROR(__xludf.DUMMYFUNCTION("""COMPUTED_VALUE"""),7.3)</f>
        <v>7.3</v>
      </c>
      <c r="T780" s="48">
        <f>IFERROR(__xludf.DUMMYFUNCTION("""COMPUTED_VALUE"""),7.25)</f>
        <v>7.25</v>
      </c>
      <c r="U780" s="48"/>
      <c r="V780" s="48">
        <f>IFERROR(__xludf.DUMMYFUNCTION("""COMPUTED_VALUE"""),7.26)</f>
        <v>7.26</v>
      </c>
      <c r="W780" s="14">
        <f>IFERROR(__xludf.DUMMYFUNCTION("""COMPUTED_VALUE"""),7.227499999999999)</f>
        <v>7.2275</v>
      </c>
      <c r="X780" s="14">
        <f>IFERROR(__xludf.DUMMYFUNCTION("""COMPUTED_VALUE"""),15.8)</f>
        <v>15.8</v>
      </c>
      <c r="Y780" s="14">
        <f>IFERROR(__xludf.DUMMYFUNCTION("""COMPUTED_VALUE"""),15.4)</f>
        <v>15.4</v>
      </c>
      <c r="Z780" s="14">
        <f>IFERROR(__xludf.DUMMYFUNCTION("""COMPUTED_VALUE"""),15.6)</f>
        <v>15.6</v>
      </c>
      <c r="AA780" s="14"/>
      <c r="AB780" s="14">
        <f>IFERROR(__xludf.DUMMYFUNCTION("""COMPUTED_VALUE"""),15.3)</f>
        <v>15.3</v>
      </c>
      <c r="AC780" s="14">
        <f>IFERROR(__xludf.DUMMYFUNCTION("""COMPUTED_VALUE"""),15.525000000000002)</f>
        <v>15.525</v>
      </c>
      <c r="AD780" s="48">
        <f>IFERROR(__xludf.DUMMYFUNCTION("""COMPUTED_VALUE"""),236.0)</f>
        <v>236</v>
      </c>
      <c r="AE780" s="48">
        <f>IFERROR(__xludf.DUMMYFUNCTION("""COMPUTED_VALUE"""),177.0)</f>
        <v>177</v>
      </c>
      <c r="AF780" s="48">
        <f>IFERROR(__xludf.DUMMYFUNCTION("""COMPUTED_VALUE"""),207.0)</f>
        <v>207</v>
      </c>
      <c r="AG780" s="48"/>
      <c r="AH780" s="48">
        <f>IFERROR(__xludf.DUMMYFUNCTION("""COMPUTED_VALUE"""),146.0)</f>
        <v>146</v>
      </c>
      <c r="AI780" s="14">
        <f>IFERROR(__xludf.DUMMYFUNCTION("""COMPUTED_VALUE"""),191.5)</f>
        <v>191.5</v>
      </c>
      <c r="AJ780" s="14">
        <f>IFERROR(__xludf.DUMMYFUNCTION("""COMPUTED_VALUE"""),2.99)</f>
        <v>2.99</v>
      </c>
      <c r="AK780" s="14">
        <f>IFERROR(__xludf.DUMMYFUNCTION("""COMPUTED_VALUE"""),1.85)</f>
        <v>1.85</v>
      </c>
      <c r="AL780" s="14">
        <f>IFERROR(__xludf.DUMMYFUNCTION("""COMPUTED_VALUE"""),1.82)</f>
        <v>1.82</v>
      </c>
      <c r="AM780" s="14"/>
      <c r="AN780" s="14">
        <f>IFERROR(__xludf.DUMMYFUNCTION("""COMPUTED_VALUE"""),3.8)</f>
        <v>3.8</v>
      </c>
      <c r="AO780" s="14">
        <f>IFERROR(__xludf.DUMMYFUNCTION("""COMPUTED_VALUE"""),2.615)</f>
        <v>2.615</v>
      </c>
      <c r="AP780" s="14">
        <f>IFERROR(__xludf.DUMMYFUNCTION("""COMPUTED_VALUE"""),37.0)</f>
        <v>37</v>
      </c>
      <c r="AQ780" s="14">
        <f>IFERROR(__xludf.DUMMYFUNCTION("""COMPUTED_VALUE"""),59.0)</f>
        <v>59</v>
      </c>
      <c r="AR780" s="14">
        <f>IFERROR(__xludf.DUMMYFUNCTION("""COMPUTED_VALUE"""),55.0)</f>
        <v>55</v>
      </c>
      <c r="AS780" s="14">
        <f>IFERROR(__xludf.DUMMYFUNCTION("""COMPUTED_VALUE"""),1.2)</f>
        <v>1.2</v>
      </c>
      <c r="AT780" s="14">
        <f>IFERROR(__xludf.DUMMYFUNCTION("""COMPUTED_VALUE"""),1.07)</f>
        <v>1.07</v>
      </c>
      <c r="AU780" s="14">
        <f>IFERROR(__xludf.DUMMYFUNCTION("""COMPUTED_VALUE"""),1.529E7)</f>
        <v>15290000</v>
      </c>
      <c r="AV780" s="14">
        <f>IFERROR(__xludf.DUMMYFUNCTION("""COMPUTED_VALUE"""),0.86)</f>
        <v>0.86</v>
      </c>
      <c r="AW780" s="14">
        <f>IFERROR(__xludf.DUMMYFUNCTION("""COMPUTED_VALUE"""),10.1)</f>
        <v>10.1</v>
      </c>
      <c r="AX780" s="14">
        <f>IFERROR(__xludf.DUMMYFUNCTION("""COMPUTED_VALUE"""),910000.0)</f>
        <v>910000</v>
      </c>
      <c r="AY780" s="14">
        <f>IFERROR(__xludf.DUMMYFUNCTION("""COMPUTED_VALUE"""),0.3)</f>
        <v>0.3</v>
      </c>
      <c r="AZ780" s="14">
        <f>IFERROR(__xludf.DUMMYFUNCTION("""COMPUTED_VALUE"""),0.007)</f>
        <v>0.007</v>
      </c>
      <c r="BA780" s="14">
        <f t="shared" si="1"/>
        <v>10.407</v>
      </c>
    </row>
    <row r="781" ht="14.25" customHeight="1">
      <c r="A781" s="10" t="str">
        <f>IFERROR(__xludf.DUMMYFUNCTION("""COMPUTED_VALUE"""),"131222FE01")</f>
        <v>131222FE01</v>
      </c>
      <c r="B781" s="12" t="str">
        <f>IFERROR(__xludf.DUMMYFUNCTION("""COMPUTED_VALUE"""),"HCO-Los Lagartos")</f>
        <v>HCO-Los Lagartos</v>
      </c>
      <c r="C781" s="12"/>
      <c r="D781" s="12"/>
      <c r="E781" s="44">
        <f>IFERROR(__xludf.DUMMYFUNCTION("""COMPUTED_VALUE"""),44908.0)</f>
        <v>44908</v>
      </c>
      <c r="F781" s="12" t="str">
        <f>IFERROR(__xludf.DUMMYFUNCTION("""COMPUTED_VALUE"""),"TIPO I")</f>
        <v>TIPO I</v>
      </c>
      <c r="G781" s="12" t="str">
        <f>IFERROR(__xludf.DUMMYFUNCTION("""COMPUTED_VALUE"""),"Estructura del canal en concreto, durante el monitoreo se observa color y se percibe olor, toma de muestra en la salida de los lagartos a margen izquierda.
Altitud: 2570 msnm. ")</f>
        <v>Estructura del canal en concreto, durante el monitoreo se observa color y se percibe olor, toma de muestra en la salida de los lagartos a margen izquierda.
Altitud: 2570 msnm. </v>
      </c>
      <c r="H781" s="45">
        <f>IFERROR(__xludf.DUMMYFUNCTION("""COMPUTED_VALUE"""),0.3333333333321207)</f>
        <v>0.3333333333</v>
      </c>
      <c r="I781" s="45">
        <f>IFERROR(__xludf.DUMMYFUNCTION("""COMPUTED_VALUE"""),0.4166666666678793)</f>
        <v>0.4166666667</v>
      </c>
      <c r="J781" s="12">
        <f>IFERROR(__xludf.DUMMYFUNCTION("""COMPUTED_VALUE"""),6.3)</f>
        <v>6.3</v>
      </c>
      <c r="K781" s="12">
        <f>IFERROR(__xludf.DUMMYFUNCTION("""COMPUTED_VALUE"""),0.84)</f>
        <v>0.84</v>
      </c>
      <c r="L781" s="14">
        <f>IFERROR(__xludf.DUMMYFUNCTION("""COMPUTED_VALUE"""),612.464)</f>
        <v>612.464</v>
      </c>
      <c r="M781" s="14">
        <f>IFERROR(__xludf.DUMMYFUNCTION("""COMPUTED_VALUE"""),641.558)</f>
        <v>641.558</v>
      </c>
      <c r="N781" s="14">
        <f>IFERROR(__xludf.DUMMYFUNCTION("""COMPUTED_VALUE"""),673.192)</f>
        <v>673.192</v>
      </c>
      <c r="O781" s="14">
        <f>IFERROR(__xludf.DUMMYFUNCTION("""COMPUTED_VALUE"""),675.861)</f>
        <v>675.861</v>
      </c>
      <c r="P781" s="14">
        <f>IFERROR(__xludf.DUMMYFUNCTION("""COMPUTED_VALUE"""),683.274)</f>
        <v>683.274</v>
      </c>
      <c r="Q781" s="14">
        <f>IFERROR(__xludf.DUMMYFUNCTION("""COMPUTED_VALUE"""),657.27)</f>
        <v>657.27</v>
      </c>
      <c r="R781" s="48">
        <f>IFERROR(__xludf.DUMMYFUNCTION("""COMPUTED_VALUE"""),7.51)</f>
        <v>7.51</v>
      </c>
      <c r="S781" s="48">
        <f>IFERROR(__xludf.DUMMYFUNCTION("""COMPUTED_VALUE"""),7.4)</f>
        <v>7.4</v>
      </c>
      <c r="T781" s="48">
        <f>IFERROR(__xludf.DUMMYFUNCTION("""COMPUTED_VALUE"""),7.47)</f>
        <v>7.47</v>
      </c>
      <c r="U781" s="48">
        <f>IFERROR(__xludf.DUMMYFUNCTION("""COMPUTED_VALUE"""),7.36)</f>
        <v>7.36</v>
      </c>
      <c r="V781" s="48">
        <f>IFERROR(__xludf.DUMMYFUNCTION("""COMPUTED_VALUE"""),7.26)</f>
        <v>7.26</v>
      </c>
      <c r="W781" s="14">
        <f>IFERROR(__xludf.DUMMYFUNCTION("""COMPUTED_VALUE"""),7.4)</f>
        <v>7.4</v>
      </c>
      <c r="X781" s="14">
        <f>IFERROR(__xludf.DUMMYFUNCTION("""COMPUTED_VALUE"""),16.7)</f>
        <v>16.7</v>
      </c>
      <c r="Y781" s="14">
        <f>IFERROR(__xludf.DUMMYFUNCTION("""COMPUTED_VALUE"""),16.9)</f>
        <v>16.9</v>
      </c>
      <c r="Z781" s="14">
        <f>IFERROR(__xludf.DUMMYFUNCTION("""COMPUTED_VALUE"""),17.1)</f>
        <v>17.1</v>
      </c>
      <c r="AA781" s="14">
        <f>IFERROR(__xludf.DUMMYFUNCTION("""COMPUTED_VALUE"""),16.8)</f>
        <v>16.8</v>
      </c>
      <c r="AB781" s="14">
        <f>IFERROR(__xludf.DUMMYFUNCTION("""COMPUTED_VALUE"""),17.0)</f>
        <v>17</v>
      </c>
      <c r="AC781" s="14">
        <f>IFERROR(__xludf.DUMMYFUNCTION("""COMPUTED_VALUE"""),16.9)</f>
        <v>16.9</v>
      </c>
      <c r="AD781" s="48">
        <f>IFERROR(__xludf.DUMMYFUNCTION("""COMPUTED_VALUE"""),512.0)</f>
        <v>512</v>
      </c>
      <c r="AE781" s="48">
        <f>IFERROR(__xludf.DUMMYFUNCTION("""COMPUTED_VALUE"""),324.0)</f>
        <v>324</v>
      </c>
      <c r="AF781" s="48">
        <f>IFERROR(__xludf.DUMMYFUNCTION("""COMPUTED_VALUE"""),313.0)</f>
        <v>313</v>
      </c>
      <c r="AG781" s="48">
        <f>IFERROR(__xludf.DUMMYFUNCTION("""COMPUTED_VALUE"""),308.0)</f>
        <v>308</v>
      </c>
      <c r="AH781" s="48">
        <f>IFERROR(__xludf.DUMMYFUNCTION("""COMPUTED_VALUE"""),283.0)</f>
        <v>283</v>
      </c>
      <c r="AI781" s="14">
        <f>IFERROR(__xludf.DUMMYFUNCTION("""COMPUTED_VALUE"""),348.0)</f>
        <v>348</v>
      </c>
      <c r="AJ781" s="14">
        <f>IFERROR(__xludf.DUMMYFUNCTION("""COMPUTED_VALUE"""),0.86)</f>
        <v>0.86</v>
      </c>
      <c r="AK781" s="14">
        <f>IFERROR(__xludf.DUMMYFUNCTION("""COMPUTED_VALUE"""),1.29)</f>
        <v>1.29</v>
      </c>
      <c r="AL781" s="14">
        <f>IFERROR(__xludf.DUMMYFUNCTION("""COMPUTED_VALUE"""),0.98)</f>
        <v>0.98</v>
      </c>
      <c r="AM781" s="14">
        <f>IFERROR(__xludf.DUMMYFUNCTION("""COMPUTED_VALUE"""),1.48)</f>
        <v>1.48</v>
      </c>
      <c r="AN781" s="14">
        <f>IFERROR(__xludf.DUMMYFUNCTION("""COMPUTED_VALUE"""),1.28)</f>
        <v>1.28</v>
      </c>
      <c r="AO781" s="14">
        <f>IFERROR(__xludf.DUMMYFUNCTION("""COMPUTED_VALUE"""),1.178)</f>
        <v>1.178</v>
      </c>
      <c r="AP781" s="14">
        <f>IFERROR(__xludf.DUMMYFUNCTION("""COMPUTED_VALUE"""),21.0)</f>
        <v>21</v>
      </c>
      <c r="AQ781" s="14">
        <f>IFERROR(__xludf.DUMMYFUNCTION("""COMPUTED_VALUE"""),27.0)</f>
        <v>27</v>
      </c>
      <c r="AR781" s="14">
        <f>IFERROR(__xludf.DUMMYFUNCTION("""COMPUTED_VALUE"""),14.0)</f>
        <v>14</v>
      </c>
      <c r="AS781" s="14">
        <f>IFERROR(__xludf.DUMMYFUNCTION("""COMPUTED_VALUE"""),6.0)</f>
        <v>6</v>
      </c>
      <c r="AT781" s="14">
        <f>IFERROR(__xludf.DUMMYFUNCTION("""COMPUTED_VALUE"""),0.2)</f>
        <v>0.2</v>
      </c>
      <c r="AU781" s="14">
        <f>IFERROR(__xludf.DUMMYFUNCTION("""COMPUTED_VALUE"""),1.586E7)</f>
        <v>15860000</v>
      </c>
      <c r="AV781" s="14">
        <f>IFERROR(__xludf.DUMMYFUNCTION("""COMPUTED_VALUE"""),0.73)</f>
        <v>0.73</v>
      </c>
      <c r="AW781" s="14">
        <f>IFERROR(__xludf.DUMMYFUNCTION("""COMPUTED_VALUE"""),10.6)</f>
        <v>10.6</v>
      </c>
      <c r="AX781" s="14">
        <f>IFERROR(__xludf.DUMMYFUNCTION("""COMPUTED_VALUE"""),1311000.0)</f>
        <v>1311000</v>
      </c>
      <c r="AY781" s="14">
        <f>IFERROR(__xludf.DUMMYFUNCTION("""COMPUTED_VALUE"""),0.5)</f>
        <v>0.5</v>
      </c>
      <c r="AZ781" s="14">
        <f>IFERROR(__xludf.DUMMYFUNCTION("""COMPUTED_VALUE"""),0.007)</f>
        <v>0.007</v>
      </c>
      <c r="BA781" s="14">
        <f t="shared" si="1"/>
        <v>11.107</v>
      </c>
    </row>
    <row r="782" ht="14.25" customHeight="1">
      <c r="A782" s="10" t="str">
        <f>IFERROR(__xludf.DUMMYFUNCTION("""COMPUTED_VALUE"""),"200223FE03")</f>
        <v>200223FE03</v>
      </c>
      <c r="B782" s="12" t="str">
        <f>IFERROR(__xludf.DUMMYFUNCTION("""COMPUTED_VALUE"""),"CON-Country")</f>
        <v>CON-Country</v>
      </c>
      <c r="C782" s="12"/>
      <c r="D782" s="12"/>
      <c r="E782" s="44">
        <f>IFERROR(__xludf.DUMMYFUNCTION("""COMPUTED_VALUE"""),44977.0)</f>
        <v>44977</v>
      </c>
      <c r="F782" s="12" t="str">
        <f>IFERROR(__xludf.DUMMYFUNCTION("""COMPUTED_VALUE"""),"TIPO I")</f>
        <v>TIPO I</v>
      </c>
      <c r="G782" s="12" t="str">
        <f>IFERROR(__xludf.DUMMYFUNCTION("""COMPUTED_VALUE"""),"Estructura del canal en concreto, se observa color durante el monitoreo, debido a las fuertes precipitaciones se cancela la toma de la quinta alícuota.
Altitud: 2590 msnm. ")</f>
        <v>Estructura del canal en concreto, se observa color durante el monitoreo, debido a las fuertes precipitaciones se cancela la toma de la quinta alícuota.
Altitud: 2590 msnm. </v>
      </c>
      <c r="H782" s="45">
        <f>IFERROR(__xludf.DUMMYFUNCTION("""COMPUTED_VALUE"""),0.5833333333321207)</f>
        <v>0.5833333333</v>
      </c>
      <c r="I782" s="45">
        <f>IFERROR(__xludf.DUMMYFUNCTION("""COMPUTED_VALUE"""),0.6666666666678793)</f>
        <v>0.6666666667</v>
      </c>
      <c r="J782" s="12">
        <f>IFERROR(__xludf.DUMMYFUNCTION("""COMPUTED_VALUE"""),4.05)</f>
        <v>4.05</v>
      </c>
      <c r="K782" s="12">
        <f>IFERROR(__xludf.DUMMYFUNCTION("""COMPUTED_VALUE"""),0.09)</f>
        <v>0.09</v>
      </c>
      <c r="L782" s="14">
        <f>IFERROR(__xludf.DUMMYFUNCTION("""COMPUTED_VALUE"""),32.373)</f>
        <v>32.373</v>
      </c>
      <c r="M782" s="14">
        <f>IFERROR(__xludf.DUMMYFUNCTION("""COMPUTED_VALUE"""),32.786)</f>
        <v>32.786</v>
      </c>
      <c r="N782" s="14">
        <f>IFERROR(__xludf.DUMMYFUNCTION("""COMPUTED_VALUE"""),39.765)</f>
        <v>39.765</v>
      </c>
      <c r="O782" s="14">
        <f>IFERROR(__xludf.DUMMYFUNCTION("""COMPUTED_VALUE"""),47.393)</f>
        <v>47.393</v>
      </c>
      <c r="P782" s="14"/>
      <c r="Q782" s="14">
        <f>IFERROR(__xludf.DUMMYFUNCTION("""COMPUTED_VALUE"""),38.079)</f>
        <v>38.079</v>
      </c>
      <c r="R782" s="48">
        <f>IFERROR(__xludf.DUMMYFUNCTION("""COMPUTED_VALUE"""),8.32)</f>
        <v>8.32</v>
      </c>
      <c r="S782" s="48">
        <f>IFERROR(__xludf.DUMMYFUNCTION("""COMPUTED_VALUE"""),8.21)</f>
        <v>8.21</v>
      </c>
      <c r="T782" s="48">
        <f>IFERROR(__xludf.DUMMYFUNCTION("""COMPUTED_VALUE"""),8.13)</f>
        <v>8.13</v>
      </c>
      <c r="U782" s="48">
        <f>IFERROR(__xludf.DUMMYFUNCTION("""COMPUTED_VALUE"""),8.2)</f>
        <v>8.2</v>
      </c>
      <c r="V782" s="48"/>
      <c r="W782" s="14">
        <f>IFERROR(__xludf.DUMMYFUNCTION("""COMPUTED_VALUE"""),8.215)</f>
        <v>8.215</v>
      </c>
      <c r="X782" s="14">
        <f>IFERROR(__xludf.DUMMYFUNCTION("""COMPUTED_VALUE"""),21.6)</f>
        <v>21.6</v>
      </c>
      <c r="Y782" s="14">
        <f>IFERROR(__xludf.DUMMYFUNCTION("""COMPUTED_VALUE"""),21.8)</f>
        <v>21.8</v>
      </c>
      <c r="Z782" s="14">
        <f>IFERROR(__xludf.DUMMYFUNCTION("""COMPUTED_VALUE"""),22.0)</f>
        <v>22</v>
      </c>
      <c r="AA782" s="14">
        <f>IFERROR(__xludf.DUMMYFUNCTION("""COMPUTED_VALUE"""),21.9)</f>
        <v>21.9</v>
      </c>
      <c r="AB782" s="14"/>
      <c r="AC782" s="14">
        <f>IFERROR(__xludf.DUMMYFUNCTION("""COMPUTED_VALUE"""),21.825000000000003)</f>
        <v>21.825</v>
      </c>
      <c r="AD782" s="48">
        <f>IFERROR(__xludf.DUMMYFUNCTION("""COMPUTED_VALUE"""),581.0)</f>
        <v>581</v>
      </c>
      <c r="AE782" s="48">
        <f>IFERROR(__xludf.DUMMYFUNCTION("""COMPUTED_VALUE"""),578.0)</f>
        <v>578</v>
      </c>
      <c r="AF782" s="48">
        <f>IFERROR(__xludf.DUMMYFUNCTION("""COMPUTED_VALUE"""),560.0)</f>
        <v>560</v>
      </c>
      <c r="AG782" s="48">
        <f>IFERROR(__xludf.DUMMYFUNCTION("""COMPUTED_VALUE"""),528.0)</f>
        <v>528</v>
      </c>
      <c r="AH782" s="48"/>
      <c r="AI782" s="14">
        <f>IFERROR(__xludf.DUMMYFUNCTION("""COMPUTED_VALUE"""),561.75)</f>
        <v>561.75</v>
      </c>
      <c r="AJ782" s="14">
        <f>IFERROR(__xludf.DUMMYFUNCTION("""COMPUTED_VALUE"""),1.5)</f>
        <v>1.5</v>
      </c>
      <c r="AK782" s="14">
        <f>IFERROR(__xludf.DUMMYFUNCTION("""COMPUTED_VALUE"""),1.7)</f>
        <v>1.7</v>
      </c>
      <c r="AL782" s="14">
        <f>IFERROR(__xludf.DUMMYFUNCTION("""COMPUTED_VALUE"""),2.3)</f>
        <v>2.3</v>
      </c>
      <c r="AM782" s="14">
        <f>IFERROR(__xludf.DUMMYFUNCTION("""COMPUTED_VALUE"""),2.6)</f>
        <v>2.6</v>
      </c>
      <c r="AN782" s="14"/>
      <c r="AO782" s="14">
        <f>IFERROR(__xludf.DUMMYFUNCTION("""COMPUTED_VALUE"""),2.025)</f>
        <v>2.025</v>
      </c>
      <c r="AP782" s="14">
        <f>IFERROR(__xludf.DUMMYFUNCTION("""COMPUTED_VALUE"""),94.0)</f>
        <v>94</v>
      </c>
      <c r="AQ782" s="14">
        <f>IFERROR(__xludf.DUMMYFUNCTION("""COMPUTED_VALUE"""),146.0)</f>
        <v>146</v>
      </c>
      <c r="AR782" s="14">
        <f>IFERROR(__xludf.DUMMYFUNCTION("""COMPUTED_VALUE"""),38.0)</f>
        <v>38</v>
      </c>
      <c r="AS782" s="14">
        <f>IFERROR(__xludf.DUMMYFUNCTION("""COMPUTED_VALUE"""),31.0)</f>
        <v>31</v>
      </c>
      <c r="AT782" s="14">
        <f>IFERROR(__xludf.DUMMYFUNCTION("""COMPUTED_VALUE"""),5.36)</f>
        <v>5.36</v>
      </c>
      <c r="AU782" s="14">
        <f>IFERROR(__xludf.DUMMYFUNCTION("""COMPUTED_VALUE"""),1.657E7)</f>
        <v>16570000</v>
      </c>
      <c r="AV782" s="14">
        <f>IFERROR(__xludf.DUMMYFUNCTION("""COMPUTED_VALUE"""),1.66)</f>
        <v>1.66</v>
      </c>
      <c r="AW782" s="14">
        <f>IFERROR(__xludf.DUMMYFUNCTION("""COMPUTED_VALUE"""),11.8)</f>
        <v>11.8</v>
      </c>
      <c r="AX782" s="14">
        <f>IFERROR(__xludf.DUMMYFUNCTION("""COMPUTED_VALUE"""),1.559E7)</f>
        <v>15590000</v>
      </c>
      <c r="AY782" s="14">
        <f>IFERROR(__xludf.DUMMYFUNCTION("""COMPUTED_VALUE"""),0.8)</f>
        <v>0.8</v>
      </c>
      <c r="AZ782" s="14">
        <f>IFERROR(__xludf.DUMMYFUNCTION("""COMPUTED_VALUE"""),0.007)</f>
        <v>0.007</v>
      </c>
      <c r="BA782" s="14">
        <f t="shared" si="1"/>
        <v>12.607</v>
      </c>
    </row>
    <row r="783" ht="14.25" customHeight="1">
      <c r="A783" s="10" t="str">
        <f>IFERROR(__xludf.DUMMYFUNCTION("""COMPUTED_VALUE"""),"200223FE02")</f>
        <v>200223FE02</v>
      </c>
      <c r="B783" s="12" t="str">
        <f>IFERROR(__xludf.DUMMYFUNCTION("""COMPUTED_VALUE"""),"CON-Callejas")</f>
        <v>CON-Callejas</v>
      </c>
      <c r="C783" s="12"/>
      <c r="D783" s="12"/>
      <c r="E783" s="44">
        <f>IFERROR(__xludf.DUMMYFUNCTION("""COMPUTED_VALUE"""),44977.0)</f>
        <v>44977</v>
      </c>
      <c r="F783" s="12" t="str">
        <f>IFERROR(__xludf.DUMMYFUNCTION("""COMPUTED_VALUE"""),"TIPO I")</f>
        <v>TIPO I</v>
      </c>
      <c r="G783" s="12" t="str">
        <f>IFERROR(__xludf.DUMMYFUNCTION("""COMPUTED_VALUE"""),"Estructura del canal en concreto, durante el monitoreo se observo color en el cuerpo de agua, 30 m aguas arriba del punto de monitoreo se encuentran realizando actividades de mantenimiento de las estructuras (losas) del canal. 
Altitud: 2604 msnm. ")</f>
        <v>Estructura del canal en concreto, durante el monitoreo se observo color en el cuerpo de agua, 30 m aguas arriba del punto de monitoreo se encuentran realizando actividades de mantenimiento de las estructuras (losas) del canal. 
Altitud: 2604 msnm. </v>
      </c>
      <c r="H783" s="45">
        <f>IFERROR(__xludf.DUMMYFUNCTION("""COMPUTED_VALUE"""),0.4166666666678793)</f>
        <v>0.4166666667</v>
      </c>
      <c r="I783" s="45">
        <f>IFERROR(__xludf.DUMMYFUNCTION("""COMPUTED_VALUE"""),0.5)</f>
        <v>0.5</v>
      </c>
      <c r="J783" s="12">
        <f>IFERROR(__xludf.DUMMYFUNCTION("""COMPUTED_VALUE"""),4.75)</f>
        <v>4.75</v>
      </c>
      <c r="K783" s="12">
        <f>IFERROR(__xludf.DUMMYFUNCTION("""COMPUTED_VALUE"""),0.1)</f>
        <v>0.1</v>
      </c>
      <c r="L783" s="14">
        <f>IFERROR(__xludf.DUMMYFUNCTION("""COMPUTED_VALUE"""),47.558)</f>
        <v>47.558</v>
      </c>
      <c r="M783" s="14">
        <f>IFERROR(__xludf.DUMMYFUNCTION("""COMPUTED_VALUE"""),47.638)</f>
        <v>47.638</v>
      </c>
      <c r="N783" s="14">
        <f>IFERROR(__xludf.DUMMYFUNCTION("""COMPUTED_VALUE"""),48.102)</f>
        <v>48.102</v>
      </c>
      <c r="O783" s="14">
        <f>IFERROR(__xludf.DUMMYFUNCTION("""COMPUTED_VALUE"""),48.923)</f>
        <v>48.923</v>
      </c>
      <c r="P783" s="14">
        <f>IFERROR(__xludf.DUMMYFUNCTION("""COMPUTED_VALUE"""),49.671)</f>
        <v>49.671</v>
      </c>
      <c r="Q783" s="14">
        <f>IFERROR(__xludf.DUMMYFUNCTION("""COMPUTED_VALUE"""),48.378)</f>
        <v>48.378</v>
      </c>
      <c r="R783" s="48">
        <f>IFERROR(__xludf.DUMMYFUNCTION("""COMPUTED_VALUE"""),7.98)</f>
        <v>7.98</v>
      </c>
      <c r="S783" s="48">
        <f>IFERROR(__xludf.DUMMYFUNCTION("""COMPUTED_VALUE"""),8.09)</f>
        <v>8.09</v>
      </c>
      <c r="T783" s="48">
        <f>IFERROR(__xludf.DUMMYFUNCTION("""COMPUTED_VALUE"""),8.18)</f>
        <v>8.18</v>
      </c>
      <c r="U783" s="48">
        <f>IFERROR(__xludf.DUMMYFUNCTION("""COMPUTED_VALUE"""),8.23)</f>
        <v>8.23</v>
      </c>
      <c r="V783" s="48">
        <f>IFERROR(__xludf.DUMMYFUNCTION("""COMPUTED_VALUE"""),8.22)</f>
        <v>8.22</v>
      </c>
      <c r="W783" s="14">
        <f>IFERROR(__xludf.DUMMYFUNCTION("""COMPUTED_VALUE"""),8.14)</f>
        <v>8.14</v>
      </c>
      <c r="X783" s="14">
        <f>IFERROR(__xludf.DUMMYFUNCTION("""COMPUTED_VALUE"""),20.5)</f>
        <v>20.5</v>
      </c>
      <c r="Y783" s="14">
        <f>IFERROR(__xludf.DUMMYFUNCTION("""COMPUTED_VALUE"""),21.4)</f>
        <v>21.4</v>
      </c>
      <c r="Z783" s="14">
        <f>IFERROR(__xludf.DUMMYFUNCTION("""COMPUTED_VALUE"""),21.6)</f>
        <v>21.6</v>
      </c>
      <c r="AA783" s="14">
        <f>IFERROR(__xludf.DUMMYFUNCTION("""COMPUTED_VALUE"""),23.1)</f>
        <v>23.1</v>
      </c>
      <c r="AB783" s="14">
        <f>IFERROR(__xludf.DUMMYFUNCTION("""COMPUTED_VALUE"""),22.1)</f>
        <v>22.1</v>
      </c>
      <c r="AC783" s="14">
        <f>IFERROR(__xludf.DUMMYFUNCTION("""COMPUTED_VALUE"""),21.74)</f>
        <v>21.74</v>
      </c>
      <c r="AD783" s="48">
        <f>IFERROR(__xludf.DUMMYFUNCTION("""COMPUTED_VALUE"""),520.0)</f>
        <v>520</v>
      </c>
      <c r="AE783" s="48">
        <f>IFERROR(__xludf.DUMMYFUNCTION("""COMPUTED_VALUE"""),550.0)</f>
        <v>550</v>
      </c>
      <c r="AF783" s="48">
        <f>IFERROR(__xludf.DUMMYFUNCTION("""COMPUTED_VALUE"""),554.0)</f>
        <v>554</v>
      </c>
      <c r="AG783" s="48">
        <f>IFERROR(__xludf.DUMMYFUNCTION("""COMPUTED_VALUE"""),635.0)</f>
        <v>635</v>
      </c>
      <c r="AH783" s="48">
        <f>IFERROR(__xludf.DUMMYFUNCTION("""COMPUTED_VALUE"""),662.0)</f>
        <v>662</v>
      </c>
      <c r="AI783" s="14">
        <f>IFERROR(__xludf.DUMMYFUNCTION("""COMPUTED_VALUE"""),584.2)</f>
        <v>584.2</v>
      </c>
      <c r="AJ783" s="14">
        <f>IFERROR(__xludf.DUMMYFUNCTION("""COMPUTED_VALUE"""),2.0)</f>
        <v>2</v>
      </c>
      <c r="AK783" s="14">
        <f>IFERROR(__xludf.DUMMYFUNCTION("""COMPUTED_VALUE"""),2.3)</f>
        <v>2.3</v>
      </c>
      <c r="AL783" s="14">
        <f>IFERROR(__xludf.DUMMYFUNCTION("""COMPUTED_VALUE"""),2.1)</f>
        <v>2.1</v>
      </c>
      <c r="AM783" s="14">
        <f>IFERROR(__xludf.DUMMYFUNCTION("""COMPUTED_VALUE"""),1.6)</f>
        <v>1.6</v>
      </c>
      <c r="AN783" s="14">
        <f>IFERROR(__xludf.DUMMYFUNCTION("""COMPUTED_VALUE"""),1.7)</f>
        <v>1.7</v>
      </c>
      <c r="AO783" s="14">
        <f>IFERROR(__xludf.DUMMYFUNCTION("""COMPUTED_VALUE"""),1.94)</f>
        <v>1.94</v>
      </c>
      <c r="AP783" s="14">
        <f>IFERROR(__xludf.DUMMYFUNCTION("""COMPUTED_VALUE"""),67.0)</f>
        <v>67</v>
      </c>
      <c r="AQ783" s="14">
        <f>IFERROR(__xludf.DUMMYFUNCTION("""COMPUTED_VALUE"""),102.0)</f>
        <v>102</v>
      </c>
      <c r="AR783" s="14">
        <f>IFERROR(__xludf.DUMMYFUNCTION("""COMPUTED_VALUE"""),72.0)</f>
        <v>72</v>
      </c>
      <c r="AS783" s="14">
        <f>IFERROR(__xludf.DUMMYFUNCTION("""COMPUTED_VALUE"""),21.0)</f>
        <v>21</v>
      </c>
      <c r="AT783" s="14">
        <f>IFERROR(__xludf.DUMMYFUNCTION("""COMPUTED_VALUE"""),1.49)</f>
        <v>1.49</v>
      </c>
      <c r="AU783" s="14">
        <f>IFERROR(__xludf.DUMMYFUNCTION("""COMPUTED_VALUE"""),1.382E7)</f>
        <v>13820000</v>
      </c>
      <c r="AV783" s="14">
        <f>IFERROR(__xludf.DUMMYFUNCTION("""COMPUTED_VALUE"""),2.49)</f>
        <v>2.49</v>
      </c>
      <c r="AW783" s="14">
        <f>IFERROR(__xludf.DUMMYFUNCTION("""COMPUTED_VALUE"""),21.3)</f>
        <v>21.3</v>
      </c>
      <c r="AX783" s="14">
        <f>IFERROR(__xludf.DUMMYFUNCTION("""COMPUTED_VALUE"""),1339000.0)</f>
        <v>1339000</v>
      </c>
      <c r="AY783" s="14">
        <f>IFERROR(__xludf.DUMMYFUNCTION("""COMPUTED_VALUE"""),0.8)</f>
        <v>0.8</v>
      </c>
      <c r="AZ783" s="14">
        <f>IFERROR(__xludf.DUMMYFUNCTION("""COMPUTED_VALUE"""),0.007)</f>
        <v>0.007</v>
      </c>
      <c r="BA783" s="14">
        <f t="shared" si="1"/>
        <v>22.107</v>
      </c>
    </row>
    <row r="784" ht="14.25" customHeight="1">
      <c r="A784" s="10" t="str">
        <f>IFERROR(__xludf.DUMMYFUNCTION("""COMPUTED_VALUE"""),"230223MP03")</f>
        <v>230223MP03</v>
      </c>
      <c r="B784" s="12" t="str">
        <f>IFERROR(__xludf.DUMMYFUNCTION("""COMPUTED_VALUE"""),"QLI-Villa del Diamante")</f>
        <v>QLI-Villa del Diamante</v>
      </c>
      <c r="C784" s="12"/>
      <c r="D784" s="12"/>
      <c r="E784" s="44">
        <f>IFERROR(__xludf.DUMMYFUNCTION("""COMPUTED_VALUE"""),44980.0)</f>
        <v>44980</v>
      </c>
      <c r="F784" s="12" t="str">
        <f>IFERROR(__xludf.DUMMYFUNCTION("""COMPUTED_VALUE"""),"TIPO I")</f>
        <v>TIPO I</v>
      </c>
      <c r="G784" s="12" t="str">
        <f>IFERROR(__xludf.DUMMYFUNCTION("""COMPUTED_VALUE"""),"Se observó color y material flotante, se percibió olor.")</f>
        <v>Se observó color y material flotante, se percibió olor.</v>
      </c>
      <c r="H784" s="45">
        <f>IFERROR(__xludf.DUMMYFUNCTION("""COMPUTED_VALUE"""),0.5)</f>
        <v>0.5</v>
      </c>
      <c r="I784" s="45">
        <f>IFERROR(__xludf.DUMMYFUNCTION("""COMPUTED_VALUE"""),0.5833333333321207)</f>
        <v>0.5833333333</v>
      </c>
      <c r="J784" s="12">
        <f>IFERROR(__xludf.DUMMYFUNCTION("""COMPUTED_VALUE"""),1.8)</f>
        <v>1.8</v>
      </c>
      <c r="K784" s="12">
        <f>IFERROR(__xludf.DUMMYFUNCTION("""COMPUTED_VALUE"""),0.09)</f>
        <v>0.09</v>
      </c>
      <c r="L784" s="14">
        <f>IFERROR(__xludf.DUMMYFUNCTION("""COMPUTED_VALUE"""),41.09)</f>
        <v>41.09</v>
      </c>
      <c r="M784" s="14">
        <f>IFERROR(__xludf.DUMMYFUNCTION("""COMPUTED_VALUE"""),42.793)</f>
        <v>42.793</v>
      </c>
      <c r="N784" s="14">
        <f>IFERROR(__xludf.DUMMYFUNCTION("""COMPUTED_VALUE"""),45.062)</f>
        <v>45.062</v>
      </c>
      <c r="O784" s="14">
        <f>IFERROR(__xludf.DUMMYFUNCTION("""COMPUTED_VALUE"""),45.934)</f>
        <v>45.934</v>
      </c>
      <c r="P784" s="14">
        <f>IFERROR(__xludf.DUMMYFUNCTION("""COMPUTED_VALUE"""),46.831)</f>
        <v>46.831</v>
      </c>
      <c r="Q784" s="14">
        <f>IFERROR(__xludf.DUMMYFUNCTION("""COMPUTED_VALUE"""),44.342)</f>
        <v>44.342</v>
      </c>
      <c r="R784" s="48">
        <f>IFERROR(__xludf.DUMMYFUNCTION("""COMPUTED_VALUE"""),7.97)</f>
        <v>7.97</v>
      </c>
      <c r="S784" s="48">
        <f>IFERROR(__xludf.DUMMYFUNCTION("""COMPUTED_VALUE"""),8.02)</f>
        <v>8.02</v>
      </c>
      <c r="T784" s="48">
        <f>IFERROR(__xludf.DUMMYFUNCTION("""COMPUTED_VALUE"""),8.03)</f>
        <v>8.03</v>
      </c>
      <c r="U784" s="48">
        <f>IFERROR(__xludf.DUMMYFUNCTION("""COMPUTED_VALUE"""),7.91)</f>
        <v>7.91</v>
      </c>
      <c r="V784" s="48">
        <f>IFERROR(__xludf.DUMMYFUNCTION("""COMPUTED_VALUE"""),8.01)</f>
        <v>8.01</v>
      </c>
      <c r="W784" s="14">
        <f>IFERROR(__xludf.DUMMYFUNCTION("""COMPUTED_VALUE"""),7.9879999999999995)</f>
        <v>7.988</v>
      </c>
      <c r="X784" s="14">
        <f>IFERROR(__xludf.DUMMYFUNCTION("""COMPUTED_VALUE"""),20.4)</f>
        <v>20.4</v>
      </c>
      <c r="Y784" s="14">
        <f>IFERROR(__xludf.DUMMYFUNCTION("""COMPUTED_VALUE"""),20.6)</f>
        <v>20.6</v>
      </c>
      <c r="Z784" s="14">
        <f>IFERROR(__xludf.DUMMYFUNCTION("""COMPUTED_VALUE"""),20.8)</f>
        <v>20.8</v>
      </c>
      <c r="AA784" s="14">
        <f>IFERROR(__xludf.DUMMYFUNCTION("""COMPUTED_VALUE"""),20.3)</f>
        <v>20.3</v>
      </c>
      <c r="AB784" s="14">
        <f>IFERROR(__xludf.DUMMYFUNCTION("""COMPUTED_VALUE"""),21.1)</f>
        <v>21.1</v>
      </c>
      <c r="AC784" s="14">
        <f>IFERROR(__xludf.DUMMYFUNCTION("""COMPUTED_VALUE"""),20.639999999999997)</f>
        <v>20.64</v>
      </c>
      <c r="AD784" s="48">
        <f>IFERROR(__xludf.DUMMYFUNCTION("""COMPUTED_VALUE"""),315.0)</f>
        <v>315</v>
      </c>
      <c r="AE784" s="48">
        <f>IFERROR(__xludf.DUMMYFUNCTION("""COMPUTED_VALUE"""),312.0)</f>
        <v>312</v>
      </c>
      <c r="AF784" s="48">
        <f>IFERROR(__xludf.DUMMYFUNCTION("""COMPUTED_VALUE"""),319.0)</f>
        <v>319</v>
      </c>
      <c r="AG784" s="48">
        <f>IFERROR(__xludf.DUMMYFUNCTION("""COMPUTED_VALUE"""),344.0)</f>
        <v>344</v>
      </c>
      <c r="AH784" s="48">
        <f>IFERROR(__xludf.DUMMYFUNCTION("""COMPUTED_VALUE"""),332.0)</f>
        <v>332</v>
      </c>
      <c r="AI784" s="14">
        <f>IFERROR(__xludf.DUMMYFUNCTION("""COMPUTED_VALUE"""),324.4)</f>
        <v>324.4</v>
      </c>
      <c r="AJ784" s="14">
        <f>IFERROR(__xludf.DUMMYFUNCTION("""COMPUTED_VALUE"""),2.3)</f>
        <v>2.3</v>
      </c>
      <c r="AK784" s="14">
        <f>IFERROR(__xludf.DUMMYFUNCTION("""COMPUTED_VALUE"""),2.1)</f>
        <v>2.1</v>
      </c>
      <c r="AL784" s="14">
        <f>IFERROR(__xludf.DUMMYFUNCTION("""COMPUTED_VALUE"""),2.3)</f>
        <v>2.3</v>
      </c>
      <c r="AM784" s="14">
        <f>IFERROR(__xludf.DUMMYFUNCTION("""COMPUTED_VALUE"""),2.2)</f>
        <v>2.2</v>
      </c>
      <c r="AN784" s="14">
        <f>IFERROR(__xludf.DUMMYFUNCTION("""COMPUTED_VALUE"""),2.7)</f>
        <v>2.7</v>
      </c>
      <c r="AO784" s="14">
        <f>IFERROR(__xludf.DUMMYFUNCTION("""COMPUTED_VALUE"""),2.3200000000000003)</f>
        <v>2.32</v>
      </c>
      <c r="AP784" s="14">
        <f>IFERROR(__xludf.DUMMYFUNCTION("""COMPUTED_VALUE"""),21.0)</f>
        <v>21</v>
      </c>
      <c r="AQ784" s="14">
        <f>IFERROR(__xludf.DUMMYFUNCTION("""COMPUTED_VALUE"""),30.0)</f>
        <v>30</v>
      </c>
      <c r="AR784" s="14">
        <f>IFERROR(__xludf.DUMMYFUNCTION("""COMPUTED_VALUE"""),33.0)</f>
        <v>33</v>
      </c>
      <c r="AS784" s="14">
        <f>IFERROR(__xludf.DUMMYFUNCTION("""COMPUTED_VALUE"""),1.2)</f>
        <v>1.2</v>
      </c>
      <c r="AT784" s="14">
        <f>IFERROR(__xludf.DUMMYFUNCTION("""COMPUTED_VALUE"""),0.07)</f>
        <v>0.07</v>
      </c>
      <c r="AU784" s="14">
        <f>IFERROR(__xludf.DUMMYFUNCTION("""COMPUTED_VALUE"""),91000.0)</f>
        <v>91000</v>
      </c>
      <c r="AV784" s="14">
        <f>IFERROR(__xludf.DUMMYFUNCTION("""COMPUTED_VALUE"""),1.53)</f>
        <v>1.53</v>
      </c>
      <c r="AW784" s="14">
        <f>IFERROR(__xludf.DUMMYFUNCTION("""COMPUTED_VALUE"""),10.1)</f>
        <v>10.1</v>
      </c>
      <c r="AX784" s="14">
        <f>IFERROR(__xludf.DUMMYFUNCTION("""COMPUTED_VALUE"""),5610.0)</f>
        <v>5610</v>
      </c>
      <c r="AY784" s="14">
        <f>IFERROR(__xludf.DUMMYFUNCTION("""COMPUTED_VALUE"""),3.3)</f>
        <v>3.3</v>
      </c>
      <c r="AZ784" s="14">
        <f>IFERROR(__xludf.DUMMYFUNCTION("""COMPUTED_VALUE"""),0.329)</f>
        <v>0.329</v>
      </c>
      <c r="BA784" s="14">
        <f t="shared" si="1"/>
        <v>13.729</v>
      </c>
    </row>
    <row r="785" ht="14.25" customHeight="1">
      <c r="A785" s="10" t="str">
        <f>IFERROR(__xludf.DUMMYFUNCTION("""COMPUTED_VALUE"""),"280223MP01")</f>
        <v>280223MP01</v>
      </c>
      <c r="B785" s="12" t="str">
        <f>IFERROR(__xludf.DUMMYFUNCTION("""COMPUTED_VALUE"""),"QZA-Molinos")</f>
        <v>QZA-Molinos</v>
      </c>
      <c r="C785" s="12"/>
      <c r="D785" s="12"/>
      <c r="E785" s="44">
        <f>IFERROR(__xludf.DUMMYFUNCTION("""COMPUTED_VALUE"""),45013.0)</f>
        <v>45013</v>
      </c>
      <c r="F785" s="12" t="str">
        <f>IFERROR(__xludf.DUMMYFUNCTION("""COMPUTED_VALUE"""),"TIPO I")</f>
        <v>TIPO I</v>
      </c>
      <c r="G785" s="12" t="str">
        <f>IFERROR(__xludf.DUMMYFUNCTION("""COMPUTED_VALUE"""),"Estructura del canal natural, el lecho presenta de arena, residuos sólidos y rocas. Se observa color y se percibe olor.")</f>
        <v>Estructura del canal natural, el lecho presenta de arena, residuos sólidos y rocas. Se observa color y se percibe olor.</v>
      </c>
      <c r="H785" s="45">
        <f>IFERROR(__xludf.DUMMYFUNCTION("""COMPUTED_VALUE"""),0.25)</f>
        <v>0.25</v>
      </c>
      <c r="I785" s="45">
        <f>IFERROR(__xludf.DUMMYFUNCTION("""COMPUTED_VALUE"""),0.3333333333321207)</f>
        <v>0.3333333333</v>
      </c>
      <c r="J785" s="12"/>
      <c r="K785" s="12"/>
      <c r="L785" s="14">
        <f>IFERROR(__xludf.DUMMYFUNCTION("""COMPUTED_VALUE"""),236.977)</f>
        <v>236.977</v>
      </c>
      <c r="M785" s="14">
        <f>IFERROR(__xludf.DUMMYFUNCTION("""COMPUTED_VALUE"""),238.929)</f>
        <v>238.929</v>
      </c>
      <c r="N785" s="14">
        <f>IFERROR(__xludf.DUMMYFUNCTION("""COMPUTED_VALUE"""),241.133)</f>
        <v>241.133</v>
      </c>
      <c r="O785" s="14">
        <f>IFERROR(__xludf.DUMMYFUNCTION("""COMPUTED_VALUE"""),242.622)</f>
        <v>242.622</v>
      </c>
      <c r="P785" s="14">
        <f>IFERROR(__xludf.DUMMYFUNCTION("""COMPUTED_VALUE"""),244.244)</f>
        <v>244.244</v>
      </c>
      <c r="Q785" s="14">
        <f>IFERROR(__xludf.DUMMYFUNCTION("""COMPUTED_VALUE"""),240.781)</f>
        <v>240.781</v>
      </c>
      <c r="R785" s="48">
        <f>IFERROR(__xludf.DUMMYFUNCTION("""COMPUTED_VALUE"""),7.75)</f>
        <v>7.75</v>
      </c>
      <c r="S785" s="48">
        <f>IFERROR(__xludf.DUMMYFUNCTION("""COMPUTED_VALUE"""),7.7)</f>
        <v>7.7</v>
      </c>
      <c r="T785" s="48">
        <f>IFERROR(__xludf.DUMMYFUNCTION("""COMPUTED_VALUE"""),7.73)</f>
        <v>7.73</v>
      </c>
      <c r="U785" s="48">
        <f>IFERROR(__xludf.DUMMYFUNCTION("""COMPUTED_VALUE"""),7.79)</f>
        <v>7.79</v>
      </c>
      <c r="V785" s="48">
        <f>IFERROR(__xludf.DUMMYFUNCTION("""COMPUTED_VALUE"""),7.5)</f>
        <v>7.5</v>
      </c>
      <c r="W785" s="14">
        <f>IFERROR(__xludf.DUMMYFUNCTION("""COMPUTED_VALUE"""),7.694)</f>
        <v>7.694</v>
      </c>
      <c r="X785" s="14">
        <f>IFERROR(__xludf.DUMMYFUNCTION("""COMPUTED_VALUE"""),15.1)</f>
        <v>15.1</v>
      </c>
      <c r="Y785" s="14">
        <f>IFERROR(__xludf.DUMMYFUNCTION("""COMPUTED_VALUE"""),14.9)</f>
        <v>14.9</v>
      </c>
      <c r="Z785" s="14">
        <f>IFERROR(__xludf.DUMMYFUNCTION("""COMPUTED_VALUE"""),15.0)</f>
        <v>15</v>
      </c>
      <c r="AA785" s="14">
        <f>IFERROR(__xludf.DUMMYFUNCTION("""COMPUTED_VALUE"""),15.2)</f>
        <v>15.2</v>
      </c>
      <c r="AB785" s="14">
        <f>IFERROR(__xludf.DUMMYFUNCTION("""COMPUTED_VALUE"""),15.3)</f>
        <v>15.3</v>
      </c>
      <c r="AC785" s="14">
        <f>IFERROR(__xludf.DUMMYFUNCTION("""COMPUTED_VALUE"""),15.1)</f>
        <v>15.1</v>
      </c>
      <c r="AD785" s="48">
        <f>IFERROR(__xludf.DUMMYFUNCTION("""COMPUTED_VALUE"""),484.0)</f>
        <v>484</v>
      </c>
      <c r="AE785" s="48">
        <f>IFERROR(__xludf.DUMMYFUNCTION("""COMPUTED_VALUE"""),485.0)</f>
        <v>485</v>
      </c>
      <c r="AF785" s="48">
        <f>IFERROR(__xludf.DUMMYFUNCTION("""COMPUTED_VALUE"""),476.0)</f>
        <v>476</v>
      </c>
      <c r="AG785" s="48">
        <f>IFERROR(__xludf.DUMMYFUNCTION("""COMPUTED_VALUE"""),472.0)</f>
        <v>472</v>
      </c>
      <c r="AH785" s="48">
        <f>IFERROR(__xludf.DUMMYFUNCTION("""COMPUTED_VALUE"""),489.0)</f>
        <v>489</v>
      </c>
      <c r="AI785" s="14">
        <f>IFERROR(__xludf.DUMMYFUNCTION("""COMPUTED_VALUE"""),481.2)</f>
        <v>481.2</v>
      </c>
      <c r="AJ785" s="14">
        <f>IFERROR(__xludf.DUMMYFUNCTION("""COMPUTED_VALUE"""),2.7)</f>
        <v>2.7</v>
      </c>
      <c r="AK785" s="14">
        <f>IFERROR(__xludf.DUMMYFUNCTION("""COMPUTED_VALUE"""),2.9)</f>
        <v>2.9</v>
      </c>
      <c r="AL785" s="14">
        <f>IFERROR(__xludf.DUMMYFUNCTION("""COMPUTED_VALUE"""),3.1)</f>
        <v>3.1</v>
      </c>
      <c r="AM785" s="14">
        <f>IFERROR(__xludf.DUMMYFUNCTION("""COMPUTED_VALUE"""),3.3)</f>
        <v>3.3</v>
      </c>
      <c r="AN785" s="14">
        <f>IFERROR(__xludf.DUMMYFUNCTION("""COMPUTED_VALUE"""),3.0)</f>
        <v>3</v>
      </c>
      <c r="AO785" s="14">
        <f>IFERROR(__xludf.DUMMYFUNCTION("""COMPUTED_VALUE"""),3.0)</f>
        <v>3</v>
      </c>
      <c r="AP785" s="14">
        <f>IFERROR(__xludf.DUMMYFUNCTION("""COMPUTED_VALUE"""),106.0)</f>
        <v>106</v>
      </c>
      <c r="AQ785" s="14">
        <f>IFERROR(__xludf.DUMMYFUNCTION("""COMPUTED_VALUE"""),148.0)</f>
        <v>148</v>
      </c>
      <c r="AR785" s="14">
        <f>IFERROR(__xludf.DUMMYFUNCTION("""COMPUTED_VALUE"""),61.0)</f>
        <v>61</v>
      </c>
      <c r="AS785" s="14">
        <f>IFERROR(__xludf.DUMMYFUNCTION("""COMPUTED_VALUE"""),35.0)</f>
        <v>35</v>
      </c>
      <c r="AT785" s="14">
        <f>IFERROR(__xludf.DUMMYFUNCTION("""COMPUTED_VALUE"""),1.44)</f>
        <v>1.44</v>
      </c>
      <c r="AU785" s="14">
        <f>IFERROR(__xludf.DUMMYFUNCTION("""COMPUTED_VALUE"""),1.16E7)</f>
        <v>11600000</v>
      </c>
      <c r="AV785" s="14">
        <f>IFERROR(__xludf.DUMMYFUNCTION("""COMPUTED_VALUE"""),2.03)</f>
        <v>2.03</v>
      </c>
      <c r="AW785" s="14">
        <f>IFERROR(__xludf.DUMMYFUNCTION("""COMPUTED_VALUE"""),23.8)</f>
        <v>23.8</v>
      </c>
      <c r="AX785" s="14">
        <f>IFERROR(__xludf.DUMMYFUNCTION("""COMPUTED_VALUE"""),888000.0)</f>
        <v>888000</v>
      </c>
      <c r="AY785" s="14">
        <f>IFERROR(__xludf.DUMMYFUNCTION("""COMPUTED_VALUE"""),1.0)</f>
        <v>1</v>
      </c>
      <c r="AZ785" s="14">
        <f>IFERROR(__xludf.DUMMYFUNCTION("""COMPUTED_VALUE"""),0.007)</f>
        <v>0.007</v>
      </c>
      <c r="BA785" s="14">
        <f t="shared" si="1"/>
        <v>24.807</v>
      </c>
    </row>
    <row r="786" ht="14.25" customHeight="1">
      <c r="A786" s="10" t="str">
        <f>IFERROR(__xludf.DUMMYFUNCTION("""COMPUTED_VALUE"""),"210223MP02")</f>
        <v>210223MP02</v>
      </c>
      <c r="B786" s="12" t="str">
        <f>IFERROR(__xludf.DUMMYFUNCTION("""COMPUTED_VALUE"""),"HCO-Los Lagartos")</f>
        <v>HCO-Los Lagartos</v>
      </c>
      <c r="C786" s="12"/>
      <c r="D786" s="12"/>
      <c r="E786" s="44">
        <f>IFERROR(__xludf.DUMMYFUNCTION("""COMPUTED_VALUE"""),44978.0)</f>
        <v>44978</v>
      </c>
      <c r="F786" s="12" t="str">
        <f>IFERROR(__xludf.DUMMYFUNCTION("""COMPUTED_VALUE"""),"TIPO I")</f>
        <v>TIPO I</v>
      </c>
      <c r="G786" s="12" t="str">
        <f>IFERROR(__xludf.DUMMYFUNCTION("""COMPUTED_VALUE"""),"Estructura del canal en concreto, durante el monitoreo se observa color y se percibe olor en el cuerpo de agua, durante la toma de la quinta alícuota se presentan lluvias leves. 
Altitud: 2573 msnm. ")</f>
        <v>Estructura del canal en concreto, durante el monitoreo se observa color y se percibe olor en el cuerpo de agua, durante la toma de la quinta alícuota se presentan lluvias leves. 
Altitud: 2573 msnm. </v>
      </c>
      <c r="H786" s="45">
        <f>IFERROR(__xludf.DUMMYFUNCTION("""COMPUTED_VALUE"""),0.4166666666678793)</f>
        <v>0.4166666667</v>
      </c>
      <c r="I786" s="45">
        <f>IFERROR(__xludf.DUMMYFUNCTION("""COMPUTED_VALUE"""),0.5)</f>
        <v>0.5</v>
      </c>
      <c r="J786" s="12">
        <f>IFERROR(__xludf.DUMMYFUNCTION("""COMPUTED_VALUE"""),10.766)</f>
        <v>10.766</v>
      </c>
      <c r="K786" s="12">
        <f>IFERROR(__xludf.DUMMYFUNCTION("""COMPUTED_VALUE"""),1.035)</f>
        <v>1.035</v>
      </c>
      <c r="L786" s="14">
        <f>IFERROR(__xludf.DUMMYFUNCTION("""COMPUTED_VALUE"""),968.0)</f>
        <v>968</v>
      </c>
      <c r="M786" s="14">
        <f>IFERROR(__xludf.DUMMYFUNCTION("""COMPUTED_VALUE"""),1007.0)</f>
        <v>1007</v>
      </c>
      <c r="N786" s="14">
        <f>IFERROR(__xludf.DUMMYFUNCTION("""COMPUTED_VALUE"""),899.0)</f>
        <v>899</v>
      </c>
      <c r="O786" s="14">
        <f>IFERROR(__xludf.DUMMYFUNCTION("""COMPUTED_VALUE"""),919.0)</f>
        <v>919</v>
      </c>
      <c r="P786" s="14">
        <f>IFERROR(__xludf.DUMMYFUNCTION("""COMPUTED_VALUE"""),903.0)</f>
        <v>903</v>
      </c>
      <c r="Q786" s="14">
        <f>IFERROR(__xludf.DUMMYFUNCTION("""COMPUTED_VALUE"""),939.0)</f>
        <v>939</v>
      </c>
      <c r="R786" s="48">
        <f>IFERROR(__xludf.DUMMYFUNCTION("""COMPUTED_VALUE"""),7.11)</f>
        <v>7.11</v>
      </c>
      <c r="S786" s="48">
        <f>IFERROR(__xludf.DUMMYFUNCTION("""COMPUTED_VALUE"""),7.06)</f>
        <v>7.06</v>
      </c>
      <c r="T786" s="48">
        <f>IFERROR(__xludf.DUMMYFUNCTION("""COMPUTED_VALUE"""),7.02)</f>
        <v>7.02</v>
      </c>
      <c r="U786" s="48">
        <f>IFERROR(__xludf.DUMMYFUNCTION("""COMPUTED_VALUE"""),7.13)</f>
        <v>7.13</v>
      </c>
      <c r="V786" s="48">
        <f>IFERROR(__xludf.DUMMYFUNCTION("""COMPUTED_VALUE"""),7.16)</f>
        <v>7.16</v>
      </c>
      <c r="W786" s="14">
        <f>IFERROR(__xludf.DUMMYFUNCTION("""COMPUTED_VALUE"""),7.095999999999999)</f>
        <v>7.096</v>
      </c>
      <c r="X786" s="14">
        <f>IFERROR(__xludf.DUMMYFUNCTION("""COMPUTED_VALUE"""),18.0)</f>
        <v>18</v>
      </c>
      <c r="Y786" s="14">
        <f>IFERROR(__xludf.DUMMYFUNCTION("""COMPUTED_VALUE"""),18.1)</f>
        <v>18.1</v>
      </c>
      <c r="Z786" s="14">
        <f>IFERROR(__xludf.DUMMYFUNCTION("""COMPUTED_VALUE"""),18.4)</f>
        <v>18.4</v>
      </c>
      <c r="AA786" s="14">
        <f>IFERROR(__xludf.DUMMYFUNCTION("""COMPUTED_VALUE"""),18.6)</f>
        <v>18.6</v>
      </c>
      <c r="AB786" s="14">
        <f>IFERROR(__xludf.DUMMYFUNCTION("""COMPUTED_VALUE"""),18.9)</f>
        <v>18.9</v>
      </c>
      <c r="AC786" s="14">
        <f>IFERROR(__xludf.DUMMYFUNCTION("""COMPUTED_VALUE"""),18.4)</f>
        <v>18.4</v>
      </c>
      <c r="AD786" s="48">
        <f>IFERROR(__xludf.DUMMYFUNCTION("""COMPUTED_VALUE"""),172.6)</f>
        <v>172.6</v>
      </c>
      <c r="AE786" s="48">
        <f>IFERROR(__xludf.DUMMYFUNCTION("""COMPUTED_VALUE"""),176.9)</f>
        <v>176.9</v>
      </c>
      <c r="AF786" s="48">
        <f>IFERROR(__xludf.DUMMYFUNCTION("""COMPUTED_VALUE"""),182.5)</f>
        <v>182.5</v>
      </c>
      <c r="AG786" s="48">
        <f>IFERROR(__xludf.DUMMYFUNCTION("""COMPUTED_VALUE"""),183.5)</f>
        <v>183.5</v>
      </c>
      <c r="AH786" s="48">
        <f>IFERROR(__xludf.DUMMYFUNCTION("""COMPUTED_VALUE"""),186.4)</f>
        <v>186.4</v>
      </c>
      <c r="AI786" s="14">
        <f>IFERROR(__xludf.DUMMYFUNCTION("""COMPUTED_VALUE"""),180.38)</f>
        <v>180.38</v>
      </c>
      <c r="AJ786" s="14">
        <f>IFERROR(__xludf.DUMMYFUNCTION("""COMPUTED_VALUE"""),2.8)</f>
        <v>2.8</v>
      </c>
      <c r="AK786" s="14">
        <f>IFERROR(__xludf.DUMMYFUNCTION("""COMPUTED_VALUE"""),2.7)</f>
        <v>2.7</v>
      </c>
      <c r="AL786" s="14">
        <f>IFERROR(__xludf.DUMMYFUNCTION("""COMPUTED_VALUE"""),2.4)</f>
        <v>2.4</v>
      </c>
      <c r="AM786" s="14">
        <f>IFERROR(__xludf.DUMMYFUNCTION("""COMPUTED_VALUE"""),2.1)</f>
        <v>2.1</v>
      </c>
      <c r="AN786" s="14">
        <f>IFERROR(__xludf.DUMMYFUNCTION("""COMPUTED_VALUE"""),2.0)</f>
        <v>2</v>
      </c>
      <c r="AO786" s="14">
        <f>IFERROR(__xludf.DUMMYFUNCTION("""COMPUTED_VALUE"""),2.4)</f>
        <v>2.4</v>
      </c>
      <c r="AP786" s="14">
        <f>IFERROR(__xludf.DUMMYFUNCTION("""COMPUTED_VALUE"""),22.0)</f>
        <v>22</v>
      </c>
      <c r="AQ786" s="14">
        <f>IFERROR(__xludf.DUMMYFUNCTION("""COMPUTED_VALUE"""),33.0)</f>
        <v>33</v>
      </c>
      <c r="AR786" s="14">
        <f>IFERROR(__xludf.DUMMYFUNCTION("""COMPUTED_VALUE"""),21.0)</f>
        <v>21</v>
      </c>
      <c r="AS786" s="14">
        <f>IFERROR(__xludf.DUMMYFUNCTION("""COMPUTED_VALUE"""),1.2)</f>
        <v>1.2</v>
      </c>
      <c r="AT786" s="14">
        <f>IFERROR(__xludf.DUMMYFUNCTION("""COMPUTED_VALUE"""),0.58)</f>
        <v>0.58</v>
      </c>
      <c r="AU786" s="14">
        <f>IFERROR(__xludf.DUMMYFUNCTION("""COMPUTED_VALUE"""),1439000.0)</f>
        <v>1439000</v>
      </c>
      <c r="AV786" s="14">
        <f>IFERROR(__xludf.DUMMYFUNCTION("""COMPUTED_VALUE"""),0.23)</f>
        <v>0.23</v>
      </c>
      <c r="AW786" s="14">
        <f>IFERROR(__xludf.DUMMYFUNCTION("""COMPUTED_VALUE"""),2.8)</f>
        <v>2.8</v>
      </c>
      <c r="AX786" s="14">
        <f>IFERROR(__xludf.DUMMYFUNCTION("""COMPUTED_VALUE"""),111900.0)</f>
        <v>111900</v>
      </c>
      <c r="AY786" s="14">
        <f>IFERROR(__xludf.DUMMYFUNCTION("""COMPUTED_VALUE"""),1.4)</f>
        <v>1.4</v>
      </c>
      <c r="AZ786" s="14">
        <f>IFERROR(__xludf.DUMMYFUNCTION("""COMPUTED_VALUE"""),0.095)</f>
        <v>0.095</v>
      </c>
      <c r="BA786" s="14">
        <f t="shared" si="1"/>
        <v>4.295</v>
      </c>
    </row>
    <row r="787" ht="14.25" customHeight="1">
      <c r="A787" s="10" t="str">
        <f>IFERROR(__xludf.DUMMYFUNCTION("""COMPUTED_VALUE"""),"230223WI02")</f>
        <v>230223WI02</v>
      </c>
      <c r="B787" s="12" t="str">
        <f>IFERROR(__xludf.DUMMYFUNCTION("""COMPUTED_VALUE"""),"QLI-El Satélite")</f>
        <v>QLI-El Satélite</v>
      </c>
      <c r="C787" s="12"/>
      <c r="D787" s="12"/>
      <c r="E787" s="44">
        <f>IFERROR(__xludf.DUMMYFUNCTION("""COMPUTED_VALUE"""),44980.0)</f>
        <v>44980</v>
      </c>
      <c r="F787" s="12" t="str">
        <f>IFERROR(__xludf.DUMMYFUNCTION("""COMPUTED_VALUE"""),"TIPO I")</f>
        <v>TIPO I</v>
      </c>
      <c r="G787" s="12" t="str">
        <f>IFERROR(__xludf.DUMMYFUNCTION("""COMPUTED_VALUE"""),"Durante el monitoreo se observa color y se percibe olor.
Altitud: 2502 msnm. ")</f>
        <v>Durante el monitoreo se observa color y se percibe olor.
Altitud: 2502 msnm. </v>
      </c>
      <c r="H787" s="45">
        <f>IFERROR(__xludf.DUMMYFUNCTION("""COMPUTED_VALUE"""),0.4166666666678793)</f>
        <v>0.4166666667</v>
      </c>
      <c r="I787" s="45">
        <f>IFERROR(__xludf.DUMMYFUNCTION("""COMPUTED_VALUE"""),0.5)</f>
        <v>0.5</v>
      </c>
      <c r="J787" s="12">
        <f>IFERROR(__xludf.DUMMYFUNCTION("""COMPUTED_VALUE"""),2.6)</f>
        <v>2.6</v>
      </c>
      <c r="K787" s="12">
        <f>IFERROR(__xludf.DUMMYFUNCTION("""COMPUTED_VALUE"""),0.22)</f>
        <v>0.22</v>
      </c>
      <c r="L787" s="14">
        <f>IFERROR(__xludf.DUMMYFUNCTION("""COMPUTED_VALUE"""),132.062)</f>
        <v>132.062</v>
      </c>
      <c r="M787" s="14">
        <f>IFERROR(__xludf.DUMMYFUNCTION("""COMPUTED_VALUE"""),132.359)</f>
        <v>132.359</v>
      </c>
      <c r="N787" s="14">
        <f>IFERROR(__xludf.DUMMYFUNCTION("""COMPUTED_VALUE"""),133.12)</f>
        <v>133.12</v>
      </c>
      <c r="O787" s="14">
        <f>IFERROR(__xludf.DUMMYFUNCTION("""COMPUTED_VALUE"""),128.571)</f>
        <v>128.571</v>
      </c>
      <c r="P787" s="14">
        <f>IFERROR(__xludf.DUMMYFUNCTION("""COMPUTED_VALUE"""),129.388)</f>
        <v>129.388</v>
      </c>
      <c r="Q787" s="14">
        <f>IFERROR(__xludf.DUMMYFUNCTION("""COMPUTED_VALUE"""),131.1)</f>
        <v>131.1</v>
      </c>
      <c r="R787" s="48">
        <f>IFERROR(__xludf.DUMMYFUNCTION("""COMPUTED_VALUE"""),7.71)</f>
        <v>7.71</v>
      </c>
      <c r="S787" s="48">
        <f>IFERROR(__xludf.DUMMYFUNCTION("""COMPUTED_VALUE"""),7.85)</f>
        <v>7.85</v>
      </c>
      <c r="T787" s="48">
        <f>IFERROR(__xludf.DUMMYFUNCTION("""COMPUTED_VALUE"""),7.72)</f>
        <v>7.72</v>
      </c>
      <c r="U787" s="48">
        <f>IFERROR(__xludf.DUMMYFUNCTION("""COMPUTED_VALUE"""),7.8)</f>
        <v>7.8</v>
      </c>
      <c r="V787" s="48">
        <f>IFERROR(__xludf.DUMMYFUNCTION("""COMPUTED_VALUE"""),7.49)</f>
        <v>7.49</v>
      </c>
      <c r="W787" s="14">
        <f>IFERROR(__xludf.DUMMYFUNCTION("""COMPUTED_VALUE"""),7.714)</f>
        <v>7.714</v>
      </c>
      <c r="X787" s="14">
        <f>IFERROR(__xludf.DUMMYFUNCTION("""COMPUTED_VALUE"""),20.1)</f>
        <v>20.1</v>
      </c>
      <c r="Y787" s="14">
        <f>IFERROR(__xludf.DUMMYFUNCTION("""COMPUTED_VALUE"""),19.8)</f>
        <v>19.8</v>
      </c>
      <c r="Z787" s="14">
        <f>IFERROR(__xludf.DUMMYFUNCTION("""COMPUTED_VALUE"""),19.5)</f>
        <v>19.5</v>
      </c>
      <c r="AA787" s="14">
        <f>IFERROR(__xludf.DUMMYFUNCTION("""COMPUTED_VALUE"""),21.1)</f>
        <v>21.1</v>
      </c>
      <c r="AB787" s="14">
        <f>IFERROR(__xludf.DUMMYFUNCTION("""COMPUTED_VALUE"""),21.2)</f>
        <v>21.2</v>
      </c>
      <c r="AC787" s="14">
        <f>IFERROR(__xludf.DUMMYFUNCTION("""COMPUTED_VALUE"""),20.34)</f>
        <v>20.34</v>
      </c>
      <c r="AD787" s="48">
        <f>IFERROR(__xludf.DUMMYFUNCTION("""COMPUTED_VALUE"""),643.0)</f>
        <v>643</v>
      </c>
      <c r="AE787" s="48">
        <f>IFERROR(__xludf.DUMMYFUNCTION("""COMPUTED_VALUE"""),647.0)</f>
        <v>647</v>
      </c>
      <c r="AF787" s="48">
        <f>IFERROR(__xludf.DUMMYFUNCTION("""COMPUTED_VALUE"""),687.0)</f>
        <v>687</v>
      </c>
      <c r="AG787" s="48">
        <f>IFERROR(__xludf.DUMMYFUNCTION("""COMPUTED_VALUE"""),692.0)</f>
        <v>692</v>
      </c>
      <c r="AH787" s="48">
        <f>IFERROR(__xludf.DUMMYFUNCTION("""COMPUTED_VALUE"""),631.0)</f>
        <v>631</v>
      </c>
      <c r="AI787" s="14">
        <f>IFERROR(__xludf.DUMMYFUNCTION("""COMPUTED_VALUE"""),660.0)</f>
        <v>660</v>
      </c>
      <c r="AJ787" s="14">
        <f>IFERROR(__xludf.DUMMYFUNCTION("""COMPUTED_VALUE"""),3.57)</f>
        <v>3.57</v>
      </c>
      <c r="AK787" s="14">
        <f>IFERROR(__xludf.DUMMYFUNCTION("""COMPUTED_VALUE"""),3.64)</f>
        <v>3.64</v>
      </c>
      <c r="AL787" s="14">
        <f>IFERROR(__xludf.DUMMYFUNCTION("""COMPUTED_VALUE"""),3.91)</f>
        <v>3.91</v>
      </c>
      <c r="AM787" s="14">
        <f>IFERROR(__xludf.DUMMYFUNCTION("""COMPUTED_VALUE"""),3.7)</f>
        <v>3.7</v>
      </c>
      <c r="AN787" s="14">
        <f>IFERROR(__xludf.DUMMYFUNCTION("""COMPUTED_VALUE"""),3.16)</f>
        <v>3.16</v>
      </c>
      <c r="AO787" s="14">
        <f>IFERROR(__xludf.DUMMYFUNCTION("""COMPUTED_VALUE"""),3.596)</f>
        <v>3.596</v>
      </c>
      <c r="AP787" s="14">
        <f>IFERROR(__xludf.DUMMYFUNCTION("""COMPUTED_VALUE"""),115.0)</f>
        <v>115</v>
      </c>
      <c r="AQ787" s="14">
        <f>IFERROR(__xludf.DUMMYFUNCTION("""COMPUTED_VALUE"""),162.0)</f>
        <v>162</v>
      </c>
      <c r="AR787" s="14">
        <f>IFERROR(__xludf.DUMMYFUNCTION("""COMPUTED_VALUE"""),125.0)</f>
        <v>125</v>
      </c>
      <c r="AS787" s="14">
        <f>IFERROR(__xludf.DUMMYFUNCTION("""COMPUTED_VALUE"""),21.0)</f>
        <v>21</v>
      </c>
      <c r="AT787" s="14">
        <f>IFERROR(__xludf.DUMMYFUNCTION("""COMPUTED_VALUE"""),2.92)</f>
        <v>2.92</v>
      </c>
      <c r="AU787" s="14">
        <f>IFERROR(__xludf.DUMMYFUNCTION("""COMPUTED_VALUE"""),9590000.0)</f>
        <v>9590000</v>
      </c>
      <c r="AV787" s="14">
        <f>IFERROR(__xludf.DUMMYFUNCTION("""COMPUTED_VALUE"""),4.27)</f>
        <v>4.27</v>
      </c>
      <c r="AW787" s="14">
        <f>IFERROR(__xludf.DUMMYFUNCTION("""COMPUTED_VALUE"""),33.6)</f>
        <v>33.6</v>
      </c>
      <c r="AX787" s="14">
        <f>IFERROR(__xludf.DUMMYFUNCTION("""COMPUTED_VALUE"""),759000.0)</f>
        <v>759000</v>
      </c>
      <c r="AY787" s="14">
        <f>IFERROR(__xludf.DUMMYFUNCTION("""COMPUTED_VALUE"""),0.9)</f>
        <v>0.9</v>
      </c>
      <c r="AZ787" s="14">
        <f>IFERROR(__xludf.DUMMYFUNCTION("""COMPUTED_VALUE"""),0.007)</f>
        <v>0.007</v>
      </c>
      <c r="BA787" s="14">
        <f t="shared" si="1"/>
        <v>34.507</v>
      </c>
    </row>
    <row r="788" ht="14.25" customHeight="1">
      <c r="A788" s="10" t="str">
        <f>IFERROR(__xludf.DUMMYFUNCTION("""COMPUTED_VALUE"""),"230223MP01")</f>
        <v>230223MP01</v>
      </c>
      <c r="B788" s="12" t="str">
        <f>IFERROR(__xludf.DUMMYFUNCTION("""COMPUTED_VALUE"""),"QLI-Bella Flor")</f>
        <v>QLI-Bella Flor</v>
      </c>
      <c r="C788" s="12"/>
      <c r="D788" s="12"/>
      <c r="E788" s="44">
        <f>IFERROR(__xludf.DUMMYFUNCTION("""COMPUTED_VALUE"""),44980.0)</f>
        <v>44980</v>
      </c>
      <c r="F788" s="12" t="str">
        <f>IFERROR(__xludf.DUMMYFUNCTION("""COMPUTED_VALUE"""),"TIPO I")</f>
        <v>TIPO I</v>
      </c>
      <c r="G788" s="12" t="str">
        <f>IFERROR(__xludf.DUMMYFUNCTION("""COMPUTED_VALUE"""),"Estructura de canal natural. Presencia de color, olor y material flotante. Se observa sedimentos en el lecho. Presencia de residuos sólidos en la ribera del canal.")</f>
        <v>Estructura de canal natural. Presencia de color, olor y material flotante. Se observa sedimentos en el lecho. Presencia de residuos sólidos en la ribera del canal.</v>
      </c>
      <c r="H788" s="45">
        <f>IFERROR(__xludf.DUMMYFUNCTION("""COMPUTED_VALUE"""),0.3333333333321207)</f>
        <v>0.3333333333</v>
      </c>
      <c r="I788" s="45">
        <f>IFERROR(__xludf.DUMMYFUNCTION("""COMPUTED_VALUE"""),0.4166666666678793)</f>
        <v>0.4166666667</v>
      </c>
      <c r="J788" s="12">
        <f>IFERROR(__xludf.DUMMYFUNCTION("""COMPUTED_VALUE"""),1.0)</f>
        <v>1</v>
      </c>
      <c r="K788" s="12">
        <f>IFERROR(__xludf.DUMMYFUNCTION("""COMPUTED_VALUE"""),0.29)</f>
        <v>0.29</v>
      </c>
      <c r="L788" s="14">
        <f>IFERROR(__xludf.DUMMYFUNCTION("""COMPUTED_VALUE"""),34.402)</f>
        <v>34.402</v>
      </c>
      <c r="M788" s="14">
        <f>IFERROR(__xludf.DUMMYFUNCTION("""COMPUTED_VALUE"""),35.1)</f>
        <v>35.1</v>
      </c>
      <c r="N788" s="14">
        <f>IFERROR(__xludf.DUMMYFUNCTION("""COMPUTED_VALUE"""),35.578)</f>
        <v>35.578</v>
      </c>
      <c r="O788" s="14">
        <f>IFERROR(__xludf.DUMMYFUNCTION("""COMPUTED_VALUE"""),36.366)</f>
        <v>36.366</v>
      </c>
      <c r="P788" s="14">
        <f>IFERROR(__xludf.DUMMYFUNCTION("""COMPUTED_VALUE"""),37.043)</f>
        <v>37.043</v>
      </c>
      <c r="Q788" s="14">
        <f>IFERROR(__xludf.DUMMYFUNCTION("""COMPUTED_VALUE"""),35.698)</f>
        <v>35.698</v>
      </c>
      <c r="R788" s="48">
        <f>IFERROR(__xludf.DUMMYFUNCTION("""COMPUTED_VALUE"""),7.77)</f>
        <v>7.77</v>
      </c>
      <c r="S788" s="48">
        <f>IFERROR(__xludf.DUMMYFUNCTION("""COMPUTED_VALUE"""),7.85)</f>
        <v>7.85</v>
      </c>
      <c r="T788" s="48">
        <f>IFERROR(__xludf.DUMMYFUNCTION("""COMPUTED_VALUE"""),7.81)</f>
        <v>7.81</v>
      </c>
      <c r="U788" s="48">
        <f>IFERROR(__xludf.DUMMYFUNCTION("""COMPUTED_VALUE"""),7.76)</f>
        <v>7.76</v>
      </c>
      <c r="V788" s="48">
        <f>IFERROR(__xludf.DUMMYFUNCTION("""COMPUTED_VALUE"""),7.83)</f>
        <v>7.83</v>
      </c>
      <c r="W788" s="14">
        <f>IFERROR(__xludf.DUMMYFUNCTION("""COMPUTED_VALUE"""),7.803999999999999)</f>
        <v>7.804</v>
      </c>
      <c r="X788" s="14">
        <f>IFERROR(__xludf.DUMMYFUNCTION("""COMPUTED_VALUE"""),14.1)</f>
        <v>14.1</v>
      </c>
      <c r="Y788" s="14">
        <f>IFERROR(__xludf.DUMMYFUNCTION("""COMPUTED_VALUE"""),14.4)</f>
        <v>14.4</v>
      </c>
      <c r="Z788" s="14">
        <f>IFERROR(__xludf.DUMMYFUNCTION("""COMPUTED_VALUE"""),15.4)</f>
        <v>15.4</v>
      </c>
      <c r="AA788" s="14">
        <f>IFERROR(__xludf.DUMMYFUNCTION("""COMPUTED_VALUE"""),15.5)</f>
        <v>15.5</v>
      </c>
      <c r="AB788" s="14">
        <f>IFERROR(__xludf.DUMMYFUNCTION("""COMPUTED_VALUE"""),15.7)</f>
        <v>15.7</v>
      </c>
      <c r="AC788" s="14">
        <f>IFERROR(__xludf.DUMMYFUNCTION("""COMPUTED_VALUE"""),15.02)</f>
        <v>15.02</v>
      </c>
      <c r="AD788" s="48">
        <f>IFERROR(__xludf.DUMMYFUNCTION("""COMPUTED_VALUE"""),425.0)</f>
        <v>425</v>
      </c>
      <c r="AE788" s="48">
        <f>IFERROR(__xludf.DUMMYFUNCTION("""COMPUTED_VALUE"""),423.0)</f>
        <v>423</v>
      </c>
      <c r="AF788" s="48">
        <f>IFERROR(__xludf.DUMMYFUNCTION("""COMPUTED_VALUE"""),433.0)</f>
        <v>433</v>
      </c>
      <c r="AG788" s="48">
        <f>IFERROR(__xludf.DUMMYFUNCTION("""COMPUTED_VALUE"""),465.0)</f>
        <v>465</v>
      </c>
      <c r="AH788" s="48">
        <f>IFERROR(__xludf.DUMMYFUNCTION("""COMPUTED_VALUE"""),462.0)</f>
        <v>462</v>
      </c>
      <c r="AI788" s="14">
        <f>IFERROR(__xludf.DUMMYFUNCTION("""COMPUTED_VALUE"""),441.6)</f>
        <v>441.6</v>
      </c>
      <c r="AJ788" s="14">
        <f>IFERROR(__xludf.DUMMYFUNCTION("""COMPUTED_VALUE"""),2.7)</f>
        <v>2.7</v>
      </c>
      <c r="AK788" s="14">
        <f>IFERROR(__xludf.DUMMYFUNCTION("""COMPUTED_VALUE"""),2.4)</f>
        <v>2.4</v>
      </c>
      <c r="AL788" s="14">
        <f>IFERROR(__xludf.DUMMYFUNCTION("""COMPUTED_VALUE"""),3.0)</f>
        <v>3</v>
      </c>
      <c r="AM788" s="14">
        <f>IFERROR(__xludf.DUMMYFUNCTION("""COMPUTED_VALUE"""),2.6)</f>
        <v>2.6</v>
      </c>
      <c r="AN788" s="14">
        <f>IFERROR(__xludf.DUMMYFUNCTION("""COMPUTED_VALUE"""),2.8)</f>
        <v>2.8</v>
      </c>
      <c r="AO788" s="14">
        <f>IFERROR(__xludf.DUMMYFUNCTION("""COMPUTED_VALUE"""),2.7)</f>
        <v>2.7</v>
      </c>
      <c r="AP788" s="14">
        <f>IFERROR(__xludf.DUMMYFUNCTION("""COMPUTED_VALUE"""),40.0)</f>
        <v>40</v>
      </c>
      <c r="AQ788" s="14">
        <f>IFERROR(__xludf.DUMMYFUNCTION("""COMPUTED_VALUE"""),56.0)</f>
        <v>56</v>
      </c>
      <c r="AR788" s="14">
        <f>IFERROR(__xludf.DUMMYFUNCTION("""COMPUTED_VALUE"""),34.0)</f>
        <v>34</v>
      </c>
      <c r="AS788" s="14">
        <f>IFERROR(__xludf.DUMMYFUNCTION("""COMPUTED_VALUE"""),4.4)</f>
        <v>4.4</v>
      </c>
      <c r="AT788" s="14">
        <f>IFERROR(__xludf.DUMMYFUNCTION("""COMPUTED_VALUE"""),0.45)</f>
        <v>0.45</v>
      </c>
      <c r="AU788" s="14">
        <f>IFERROR(__xludf.DUMMYFUNCTION("""COMPUTED_VALUE"""),633000.0)</f>
        <v>633000</v>
      </c>
      <c r="AV788" s="14">
        <f>IFERROR(__xludf.DUMMYFUNCTION("""COMPUTED_VALUE"""),2.1)</f>
        <v>2.1</v>
      </c>
      <c r="AW788" s="14">
        <f>IFERROR(__xludf.DUMMYFUNCTION("""COMPUTED_VALUE"""),20.4)</f>
        <v>20.4</v>
      </c>
      <c r="AX788" s="14">
        <f>IFERROR(__xludf.DUMMYFUNCTION("""COMPUTED_VALUE"""),431000.0)</f>
        <v>431000</v>
      </c>
      <c r="AY788" s="14">
        <f>IFERROR(__xludf.DUMMYFUNCTION("""COMPUTED_VALUE"""),1.0)</f>
        <v>1</v>
      </c>
      <c r="AZ788" s="14">
        <f>IFERROR(__xludf.DUMMYFUNCTION("""COMPUTED_VALUE"""),0.038)</f>
        <v>0.038</v>
      </c>
      <c r="BA788" s="14">
        <f t="shared" si="1"/>
        <v>21.438</v>
      </c>
    </row>
    <row r="789" ht="14.25" customHeight="1">
      <c r="A789" s="10" t="str">
        <f>IFERROR(__xludf.DUMMYFUNCTION("""COMPUTED_VALUE"""),"280223MP03")</f>
        <v>280223MP03</v>
      </c>
      <c r="B789" s="12" t="str">
        <f>IFERROR(__xludf.DUMMYFUNCTION("""COMPUTED_VALUE"""),"QZA-Meissen")</f>
        <v>QZA-Meissen</v>
      </c>
      <c r="C789" s="12"/>
      <c r="D789" s="12"/>
      <c r="E789" s="44">
        <f>IFERROR(__xludf.DUMMYFUNCTION("""COMPUTED_VALUE"""),44985.0)</f>
        <v>44985</v>
      </c>
      <c r="F789" s="12" t="str">
        <f>IFERROR(__xludf.DUMMYFUNCTION("""COMPUTED_VALUE"""),"TIPO I")</f>
        <v>TIPO I</v>
      </c>
      <c r="G789" s="12" t="str">
        <f>IFERROR(__xludf.DUMMYFUNCTION("""COMPUTED_VALUE"""),"Estructura del canal en concreto, Presencia de residuos sólidos, material sedimentable y rocas en el lecho")</f>
        <v>Estructura del canal en concreto, Presencia de residuos sólidos, material sedimentable y rocas en el lecho</v>
      </c>
      <c r="H789" s="45">
        <f>IFERROR(__xludf.DUMMYFUNCTION("""COMPUTED_VALUE"""),0.4166666666678793)</f>
        <v>0.4166666667</v>
      </c>
      <c r="I789" s="45">
        <f>IFERROR(__xludf.DUMMYFUNCTION("""COMPUTED_VALUE"""),0.5)</f>
        <v>0.5</v>
      </c>
      <c r="J789" s="12">
        <f>IFERROR(__xludf.DUMMYFUNCTION("""COMPUTED_VALUE"""),12.0)</f>
        <v>12</v>
      </c>
      <c r="K789" s="12">
        <f>IFERROR(__xludf.DUMMYFUNCTION("""COMPUTED_VALUE"""),0.09)</f>
        <v>0.09</v>
      </c>
      <c r="L789" s="14">
        <f>IFERROR(__xludf.DUMMYFUNCTION("""COMPUTED_VALUE"""),473.459)</f>
        <v>473.459</v>
      </c>
      <c r="M789" s="14">
        <f>IFERROR(__xludf.DUMMYFUNCTION("""COMPUTED_VALUE"""),474.044)</f>
        <v>474.044</v>
      </c>
      <c r="N789" s="14">
        <f>IFERROR(__xludf.DUMMYFUNCTION("""COMPUTED_VALUE"""),475.021)</f>
        <v>475.021</v>
      </c>
      <c r="O789" s="14">
        <f>IFERROR(__xludf.DUMMYFUNCTION("""COMPUTED_VALUE"""),476.327)</f>
        <v>476.327</v>
      </c>
      <c r="P789" s="14">
        <f>IFERROR(__xludf.DUMMYFUNCTION("""COMPUTED_VALUE"""),479.226)</f>
        <v>479.226</v>
      </c>
      <c r="Q789" s="14">
        <f>IFERROR(__xludf.DUMMYFUNCTION("""COMPUTED_VALUE"""),475.615)</f>
        <v>475.615</v>
      </c>
      <c r="R789" s="48">
        <f>IFERROR(__xludf.DUMMYFUNCTION("""COMPUTED_VALUE"""),7.77)</f>
        <v>7.77</v>
      </c>
      <c r="S789" s="48">
        <f>IFERROR(__xludf.DUMMYFUNCTION("""COMPUTED_VALUE"""),7.79)</f>
        <v>7.79</v>
      </c>
      <c r="T789" s="48">
        <f>IFERROR(__xludf.DUMMYFUNCTION("""COMPUTED_VALUE"""),7.82)</f>
        <v>7.82</v>
      </c>
      <c r="U789" s="48">
        <f>IFERROR(__xludf.DUMMYFUNCTION("""COMPUTED_VALUE"""),7.75)</f>
        <v>7.75</v>
      </c>
      <c r="V789" s="48">
        <f>IFERROR(__xludf.DUMMYFUNCTION("""COMPUTED_VALUE"""),7.78)</f>
        <v>7.78</v>
      </c>
      <c r="W789" s="14">
        <f>IFERROR(__xludf.DUMMYFUNCTION("""COMPUTED_VALUE"""),7.781999999999999)</f>
        <v>7.782</v>
      </c>
      <c r="X789" s="14">
        <f>IFERROR(__xludf.DUMMYFUNCTION("""COMPUTED_VALUE"""),21.2)</f>
        <v>21.2</v>
      </c>
      <c r="Y789" s="14">
        <f>IFERROR(__xludf.DUMMYFUNCTION("""COMPUTED_VALUE"""),21.8)</f>
        <v>21.8</v>
      </c>
      <c r="Z789" s="14">
        <f>IFERROR(__xludf.DUMMYFUNCTION("""COMPUTED_VALUE"""),22.2)</f>
        <v>22.2</v>
      </c>
      <c r="AA789" s="14">
        <f>IFERROR(__xludf.DUMMYFUNCTION("""COMPUTED_VALUE"""),22.8)</f>
        <v>22.8</v>
      </c>
      <c r="AB789" s="14">
        <f>IFERROR(__xludf.DUMMYFUNCTION("""COMPUTED_VALUE"""),23.1)</f>
        <v>23.1</v>
      </c>
      <c r="AC789" s="14">
        <f>IFERROR(__xludf.DUMMYFUNCTION("""COMPUTED_VALUE"""),22.22)</f>
        <v>22.22</v>
      </c>
      <c r="AD789" s="48">
        <f>IFERROR(__xludf.DUMMYFUNCTION("""COMPUTED_VALUE"""),672.0)</f>
        <v>672</v>
      </c>
      <c r="AE789" s="48">
        <f>IFERROR(__xludf.DUMMYFUNCTION("""COMPUTED_VALUE"""),742.0)</f>
        <v>742</v>
      </c>
      <c r="AF789" s="48">
        <f>IFERROR(__xludf.DUMMYFUNCTION("""COMPUTED_VALUE"""),757.0)</f>
        <v>757</v>
      </c>
      <c r="AG789" s="48">
        <f>IFERROR(__xludf.DUMMYFUNCTION("""COMPUTED_VALUE"""),744.0)</f>
        <v>744</v>
      </c>
      <c r="AH789" s="48">
        <f>IFERROR(__xludf.DUMMYFUNCTION("""COMPUTED_VALUE"""),739.0)</f>
        <v>739</v>
      </c>
      <c r="AI789" s="14">
        <f>IFERROR(__xludf.DUMMYFUNCTION("""COMPUTED_VALUE"""),730.8)</f>
        <v>730.8</v>
      </c>
      <c r="AJ789" s="14">
        <f>IFERROR(__xludf.DUMMYFUNCTION("""COMPUTED_VALUE"""),1.04)</f>
        <v>1.04</v>
      </c>
      <c r="AK789" s="14">
        <f>IFERROR(__xludf.DUMMYFUNCTION("""COMPUTED_VALUE"""),1.12)</f>
        <v>1.12</v>
      </c>
      <c r="AL789" s="14">
        <f>IFERROR(__xludf.DUMMYFUNCTION("""COMPUTED_VALUE"""),1.02)</f>
        <v>1.02</v>
      </c>
      <c r="AM789" s="14">
        <f>IFERROR(__xludf.DUMMYFUNCTION("""COMPUTED_VALUE"""),0.99)</f>
        <v>0.99</v>
      </c>
      <c r="AN789" s="14">
        <f>IFERROR(__xludf.DUMMYFUNCTION("""COMPUTED_VALUE"""),1.0)</f>
        <v>1</v>
      </c>
      <c r="AO789" s="14">
        <f>IFERROR(__xludf.DUMMYFUNCTION("""COMPUTED_VALUE"""),1.034)</f>
        <v>1.034</v>
      </c>
      <c r="AP789" s="14">
        <f>IFERROR(__xludf.DUMMYFUNCTION("""COMPUTED_VALUE"""),232.0)</f>
        <v>232</v>
      </c>
      <c r="AQ789" s="14">
        <f>IFERROR(__xludf.DUMMYFUNCTION("""COMPUTED_VALUE"""),322.0)</f>
        <v>322</v>
      </c>
      <c r="AR789" s="14">
        <f>IFERROR(__xludf.DUMMYFUNCTION("""COMPUTED_VALUE"""),203.0)</f>
        <v>203</v>
      </c>
      <c r="AS789" s="14">
        <f>IFERROR(__xludf.DUMMYFUNCTION("""COMPUTED_VALUE"""),99.0)</f>
        <v>99</v>
      </c>
      <c r="AT789" s="14">
        <f>IFERROR(__xludf.DUMMYFUNCTION("""COMPUTED_VALUE"""),2.33)</f>
        <v>2.33</v>
      </c>
      <c r="AU789" s="14">
        <f>IFERROR(__xludf.DUMMYFUNCTION("""COMPUTED_VALUE"""),9830000.0)</f>
        <v>9830000</v>
      </c>
      <c r="AV789" s="14">
        <f>IFERROR(__xludf.DUMMYFUNCTION("""COMPUTED_VALUE"""),6.0)</f>
        <v>6</v>
      </c>
      <c r="AW789" s="14">
        <f>IFERROR(__xludf.DUMMYFUNCTION("""COMPUTED_VALUE"""),37.5)</f>
        <v>37.5</v>
      </c>
      <c r="AX789" s="14">
        <f>IFERROR(__xludf.DUMMYFUNCTION("""COMPUTED_VALUE"""),959000.0)</f>
        <v>959000</v>
      </c>
      <c r="AY789" s="14">
        <f>IFERROR(__xludf.DUMMYFUNCTION("""COMPUTED_VALUE"""),2.0)</f>
        <v>2</v>
      </c>
      <c r="AZ789" s="14">
        <f>IFERROR(__xludf.DUMMYFUNCTION("""COMPUTED_VALUE"""),0.007)</f>
        <v>0.007</v>
      </c>
      <c r="BA789" s="14">
        <f t="shared" si="1"/>
        <v>39.507</v>
      </c>
    </row>
    <row r="790" ht="14.25" customHeight="1">
      <c r="A790" s="10" t="str">
        <f>IFERROR(__xludf.DUMMYFUNCTION("""COMPUTED_VALUE"""),"280223FE01")</f>
        <v>280223FE01</v>
      </c>
      <c r="B790" s="12" t="str">
        <f>IFERROR(__xludf.DUMMYFUNCTION("""COMPUTED_VALUE"""),"QZA-Quindío")</f>
        <v>QZA-Quindío</v>
      </c>
      <c r="C790" s="12"/>
      <c r="D790" s="12"/>
      <c r="E790" s="44">
        <f>IFERROR(__xludf.DUMMYFUNCTION("""COMPUTED_VALUE"""),44985.0)</f>
        <v>44985</v>
      </c>
      <c r="F790" s="12" t="str">
        <f>IFERROR(__xludf.DUMMYFUNCTION("""COMPUTED_VALUE"""),"TIPO I")</f>
        <v>TIPO I</v>
      </c>
      <c r="G790" s="12" t="str">
        <f>IFERROR(__xludf.DUMMYFUNCTION("""COMPUTED_VALUE"""),"Lecho rocoso, Arenoso, se observa presencia de vegetación, no presenta olor ni se percibe olor")</f>
        <v>Lecho rocoso, Arenoso, se observa presencia de vegetación, no presenta olor ni se percibe olor</v>
      </c>
      <c r="H790" s="45">
        <f>IFERROR(__xludf.DUMMYFUNCTION("""COMPUTED_VALUE"""),0.25)</f>
        <v>0.25</v>
      </c>
      <c r="I790" s="45">
        <f>IFERROR(__xludf.DUMMYFUNCTION("""COMPUTED_VALUE"""),0.3333333333321207)</f>
        <v>0.3333333333</v>
      </c>
      <c r="J790" s="12">
        <f>IFERROR(__xludf.DUMMYFUNCTION("""COMPUTED_VALUE"""),1.5)</f>
        <v>1.5</v>
      </c>
      <c r="K790" s="12">
        <f>IFERROR(__xludf.DUMMYFUNCTION("""COMPUTED_VALUE"""),0.15)</f>
        <v>0.15</v>
      </c>
      <c r="L790" s="14">
        <f>IFERROR(__xludf.DUMMYFUNCTION("""COMPUTED_VALUE"""),13.144)</f>
        <v>13.144</v>
      </c>
      <c r="M790" s="14">
        <f>IFERROR(__xludf.DUMMYFUNCTION("""COMPUTED_VALUE"""),13.372)</f>
        <v>13.372</v>
      </c>
      <c r="N790" s="14">
        <f>IFERROR(__xludf.DUMMYFUNCTION("""COMPUTED_VALUE"""),13.894)</f>
        <v>13.894</v>
      </c>
      <c r="O790" s="14">
        <f>IFERROR(__xludf.DUMMYFUNCTION("""COMPUTED_VALUE"""),13.38)</f>
        <v>13.38</v>
      </c>
      <c r="P790" s="14">
        <f>IFERROR(__xludf.DUMMYFUNCTION("""COMPUTED_VALUE"""),14.973)</f>
        <v>14.973</v>
      </c>
      <c r="Q790" s="14">
        <f>IFERROR(__xludf.DUMMYFUNCTION("""COMPUTED_VALUE"""),13.753)</f>
        <v>13.753</v>
      </c>
      <c r="R790" s="48">
        <f>IFERROR(__xludf.DUMMYFUNCTION("""COMPUTED_VALUE"""),7.51)</f>
        <v>7.51</v>
      </c>
      <c r="S790" s="48">
        <f>IFERROR(__xludf.DUMMYFUNCTION("""COMPUTED_VALUE"""),7.67)</f>
        <v>7.67</v>
      </c>
      <c r="T790" s="48">
        <f>IFERROR(__xludf.DUMMYFUNCTION("""COMPUTED_VALUE"""),7.29)</f>
        <v>7.29</v>
      </c>
      <c r="U790" s="48">
        <f>IFERROR(__xludf.DUMMYFUNCTION("""COMPUTED_VALUE"""),7.02)</f>
        <v>7.02</v>
      </c>
      <c r="V790" s="48">
        <f>IFERROR(__xludf.DUMMYFUNCTION("""COMPUTED_VALUE"""),6.89)</f>
        <v>6.89</v>
      </c>
      <c r="W790" s="14">
        <f>IFERROR(__xludf.DUMMYFUNCTION("""COMPUTED_VALUE"""),7.275999999999999)</f>
        <v>7.276</v>
      </c>
      <c r="X790" s="14">
        <f>IFERROR(__xludf.DUMMYFUNCTION("""COMPUTED_VALUE"""),14.2)</f>
        <v>14.2</v>
      </c>
      <c r="Y790" s="14">
        <f>IFERROR(__xludf.DUMMYFUNCTION("""COMPUTED_VALUE"""),13.7)</f>
        <v>13.7</v>
      </c>
      <c r="Z790" s="14">
        <f>IFERROR(__xludf.DUMMYFUNCTION("""COMPUTED_VALUE"""),13.8)</f>
        <v>13.8</v>
      </c>
      <c r="AA790" s="14">
        <f>IFERROR(__xludf.DUMMYFUNCTION("""COMPUTED_VALUE"""),14.0)</f>
        <v>14</v>
      </c>
      <c r="AB790" s="14">
        <f>IFERROR(__xludf.DUMMYFUNCTION("""COMPUTED_VALUE"""),13.9)</f>
        <v>13.9</v>
      </c>
      <c r="AC790" s="14">
        <f>IFERROR(__xludf.DUMMYFUNCTION("""COMPUTED_VALUE"""),13.920000000000002)</f>
        <v>13.92</v>
      </c>
      <c r="AD790" s="48">
        <f>IFERROR(__xludf.DUMMYFUNCTION("""COMPUTED_VALUE"""),134.7)</f>
        <v>134.7</v>
      </c>
      <c r="AE790" s="48">
        <f>IFERROR(__xludf.DUMMYFUNCTION("""COMPUTED_VALUE"""),100.7)</f>
        <v>100.7</v>
      </c>
      <c r="AF790" s="48">
        <f>IFERROR(__xludf.DUMMYFUNCTION("""COMPUTED_VALUE"""),92.0)</f>
        <v>92</v>
      </c>
      <c r="AG790" s="48">
        <f>IFERROR(__xludf.DUMMYFUNCTION("""COMPUTED_VALUE"""),96.5)</f>
        <v>96.5</v>
      </c>
      <c r="AH790" s="48">
        <f>IFERROR(__xludf.DUMMYFUNCTION("""COMPUTED_VALUE"""),91.4)</f>
        <v>91.4</v>
      </c>
      <c r="AI790" s="14">
        <f>IFERROR(__xludf.DUMMYFUNCTION("""COMPUTED_VALUE"""),103.05999999999999)</f>
        <v>103.06</v>
      </c>
      <c r="AJ790" s="14">
        <f>IFERROR(__xludf.DUMMYFUNCTION("""COMPUTED_VALUE"""),6.17)</f>
        <v>6.17</v>
      </c>
      <c r="AK790" s="14">
        <f>IFERROR(__xludf.DUMMYFUNCTION("""COMPUTED_VALUE"""),6.6)</f>
        <v>6.6</v>
      </c>
      <c r="AL790" s="14">
        <f>IFERROR(__xludf.DUMMYFUNCTION("""COMPUTED_VALUE"""),6.23)</f>
        <v>6.23</v>
      </c>
      <c r="AM790" s="14">
        <f>IFERROR(__xludf.DUMMYFUNCTION("""COMPUTED_VALUE"""),6.88)</f>
        <v>6.88</v>
      </c>
      <c r="AN790" s="14">
        <f>IFERROR(__xludf.DUMMYFUNCTION("""COMPUTED_VALUE"""),6.25)</f>
        <v>6.25</v>
      </c>
      <c r="AO790" s="14">
        <f>IFERROR(__xludf.DUMMYFUNCTION("""COMPUTED_VALUE"""),6.425999999999999)</f>
        <v>6.426</v>
      </c>
      <c r="AP790" s="14">
        <f>IFERROR(__xludf.DUMMYFUNCTION("""COMPUTED_VALUE"""),8.0)</f>
        <v>8</v>
      </c>
      <c r="AQ790" s="14">
        <f>IFERROR(__xludf.DUMMYFUNCTION("""COMPUTED_VALUE"""),12.0)</f>
        <v>12</v>
      </c>
      <c r="AR790" s="14">
        <f>IFERROR(__xludf.DUMMYFUNCTION("""COMPUTED_VALUE"""),5.0)</f>
        <v>5</v>
      </c>
      <c r="AS790" s="14">
        <f>IFERROR(__xludf.DUMMYFUNCTION("""COMPUTED_VALUE"""),1.2)</f>
        <v>1.2</v>
      </c>
      <c r="AT790" s="14">
        <f>IFERROR(__xludf.DUMMYFUNCTION("""COMPUTED_VALUE"""),0.07)</f>
        <v>0.07</v>
      </c>
      <c r="AU790" s="14">
        <f>IFERROR(__xludf.DUMMYFUNCTION("""COMPUTED_VALUE"""),87900.0)</f>
        <v>87900</v>
      </c>
      <c r="AV790" s="14">
        <f>IFERROR(__xludf.DUMMYFUNCTION("""COMPUTED_VALUE"""),0.08)</f>
        <v>0.08</v>
      </c>
      <c r="AW790" s="14">
        <f>IFERROR(__xludf.DUMMYFUNCTION("""COMPUTED_VALUE"""),1.0)</f>
        <v>1</v>
      </c>
      <c r="AX790" s="14">
        <f>IFERROR(__xludf.DUMMYFUNCTION("""COMPUTED_VALUE"""),97.7)</f>
        <v>97.7</v>
      </c>
      <c r="AY790" s="14">
        <f>IFERROR(__xludf.DUMMYFUNCTION("""COMPUTED_VALUE"""),2.0)</f>
        <v>2</v>
      </c>
      <c r="AZ790" s="14">
        <f>IFERROR(__xludf.DUMMYFUNCTION("""COMPUTED_VALUE"""),0.023)</f>
        <v>0.023</v>
      </c>
      <c r="BA790" s="14">
        <f t="shared" si="1"/>
        <v>3.023</v>
      </c>
    </row>
    <row r="791" ht="14.25" customHeight="1">
      <c r="A791" s="10" t="str">
        <f>IFERROR(__xludf.DUMMYFUNCTION("""COMPUTED_VALUE"""),"030323WI01")</f>
        <v>030323WI01</v>
      </c>
      <c r="B791" s="12" t="str">
        <f>IFERROR(__xludf.DUMMYFUNCTION("""COMPUTED_VALUE"""),"CRN-La Castellana")</f>
        <v>CRN-La Castellana</v>
      </c>
      <c r="C791" s="12"/>
      <c r="D791" s="12"/>
      <c r="E791" s="44">
        <f>IFERROR(__xludf.DUMMYFUNCTION("""COMPUTED_VALUE"""),44988.0)</f>
        <v>44988</v>
      </c>
      <c r="F791" s="12" t="str">
        <f>IFERROR(__xludf.DUMMYFUNCTION("""COMPUTED_VALUE"""),"TIPO I")</f>
        <v>TIPO I</v>
      </c>
      <c r="G791" s="12" t="str">
        <f>IFERROR(__xludf.DUMMYFUNCTION("""COMPUTED_VALUE"""),"Presenta color, olor y material flotante.")</f>
        <v>Presenta color, olor y material flotante.</v>
      </c>
      <c r="H791" s="45">
        <f>IFERROR(__xludf.DUMMYFUNCTION("""COMPUTED_VALUE"""),0.3333333333321207)</f>
        <v>0.3333333333</v>
      </c>
      <c r="I791" s="45">
        <f>IFERROR(__xludf.DUMMYFUNCTION("""COMPUTED_VALUE"""),0.4166666666678793)</f>
        <v>0.4166666667</v>
      </c>
      <c r="J791" s="12">
        <f>IFERROR(__xludf.DUMMYFUNCTION("""COMPUTED_VALUE"""),5.7)</f>
        <v>5.7</v>
      </c>
      <c r="K791" s="12">
        <f>IFERROR(__xludf.DUMMYFUNCTION("""COMPUTED_VALUE"""),0.23)</f>
        <v>0.23</v>
      </c>
      <c r="L791" s="14">
        <f>IFERROR(__xludf.DUMMYFUNCTION("""COMPUTED_VALUE"""),327.356)</f>
        <v>327.356</v>
      </c>
      <c r="M791" s="14">
        <f>IFERROR(__xludf.DUMMYFUNCTION("""COMPUTED_VALUE"""),327.688)</f>
        <v>327.688</v>
      </c>
      <c r="N791" s="14">
        <f>IFERROR(__xludf.DUMMYFUNCTION("""COMPUTED_VALUE"""),329.874)</f>
        <v>329.874</v>
      </c>
      <c r="O791" s="14">
        <f>IFERROR(__xludf.DUMMYFUNCTION("""COMPUTED_VALUE"""),332.642)</f>
        <v>332.642</v>
      </c>
      <c r="P791" s="14">
        <f>IFERROR(__xludf.DUMMYFUNCTION("""COMPUTED_VALUE"""),348.237)</f>
        <v>348.237</v>
      </c>
      <c r="Q791" s="14">
        <f>IFERROR(__xludf.DUMMYFUNCTION("""COMPUTED_VALUE"""),333.159)</f>
        <v>333.159</v>
      </c>
      <c r="R791" s="48">
        <f>IFERROR(__xludf.DUMMYFUNCTION("""COMPUTED_VALUE"""),8.26)</f>
        <v>8.26</v>
      </c>
      <c r="S791" s="48">
        <f>IFERROR(__xludf.DUMMYFUNCTION("""COMPUTED_VALUE"""),7.73)</f>
        <v>7.73</v>
      </c>
      <c r="T791" s="48">
        <f>IFERROR(__xludf.DUMMYFUNCTION("""COMPUTED_VALUE"""),7.95)</f>
        <v>7.95</v>
      </c>
      <c r="U791" s="48">
        <f>IFERROR(__xludf.DUMMYFUNCTION("""COMPUTED_VALUE"""),7.58)</f>
        <v>7.58</v>
      </c>
      <c r="V791" s="48">
        <f>IFERROR(__xludf.DUMMYFUNCTION("""COMPUTED_VALUE"""),8.02)</f>
        <v>8.02</v>
      </c>
      <c r="W791" s="14">
        <f>IFERROR(__xludf.DUMMYFUNCTION("""COMPUTED_VALUE"""),7.908000000000001)</f>
        <v>7.908</v>
      </c>
      <c r="X791" s="14">
        <f>IFERROR(__xludf.DUMMYFUNCTION("""COMPUTED_VALUE"""),20.9)</f>
        <v>20.9</v>
      </c>
      <c r="Y791" s="14">
        <f>IFERROR(__xludf.DUMMYFUNCTION("""COMPUTED_VALUE"""),21.4)</f>
        <v>21.4</v>
      </c>
      <c r="Z791" s="14">
        <f>IFERROR(__xludf.DUMMYFUNCTION("""COMPUTED_VALUE"""),21.3)</f>
        <v>21.3</v>
      </c>
      <c r="AA791" s="14">
        <f>IFERROR(__xludf.DUMMYFUNCTION("""COMPUTED_VALUE"""),21.1)</f>
        <v>21.1</v>
      </c>
      <c r="AB791" s="14">
        <f>IFERROR(__xludf.DUMMYFUNCTION("""COMPUTED_VALUE"""),21.8)</f>
        <v>21.8</v>
      </c>
      <c r="AC791" s="14">
        <f>IFERROR(__xludf.DUMMYFUNCTION("""COMPUTED_VALUE"""),21.299999999999997)</f>
        <v>21.3</v>
      </c>
      <c r="AD791" s="48">
        <f>IFERROR(__xludf.DUMMYFUNCTION("""COMPUTED_VALUE"""),476.0)</f>
        <v>476</v>
      </c>
      <c r="AE791" s="48">
        <f>IFERROR(__xludf.DUMMYFUNCTION("""COMPUTED_VALUE"""),489.0)</f>
        <v>489</v>
      </c>
      <c r="AF791" s="48">
        <f>IFERROR(__xludf.DUMMYFUNCTION("""COMPUTED_VALUE"""),432.0)</f>
        <v>432</v>
      </c>
      <c r="AG791" s="48">
        <f>IFERROR(__xludf.DUMMYFUNCTION("""COMPUTED_VALUE"""),482.0)</f>
        <v>482</v>
      </c>
      <c r="AH791" s="48">
        <f>IFERROR(__xludf.DUMMYFUNCTION("""COMPUTED_VALUE"""),477.0)</f>
        <v>477</v>
      </c>
      <c r="AI791" s="14">
        <f>IFERROR(__xludf.DUMMYFUNCTION("""COMPUTED_VALUE"""),471.2)</f>
        <v>471.2</v>
      </c>
      <c r="AJ791" s="14">
        <f>IFERROR(__xludf.DUMMYFUNCTION("""COMPUTED_VALUE"""),1.63)</f>
        <v>1.63</v>
      </c>
      <c r="AK791" s="14">
        <f>IFERROR(__xludf.DUMMYFUNCTION("""COMPUTED_VALUE"""),1.21)</f>
        <v>1.21</v>
      </c>
      <c r="AL791" s="14">
        <f>IFERROR(__xludf.DUMMYFUNCTION("""COMPUTED_VALUE"""),1.28)</f>
        <v>1.28</v>
      </c>
      <c r="AM791" s="14">
        <f>IFERROR(__xludf.DUMMYFUNCTION("""COMPUTED_VALUE"""),1.0)</f>
        <v>1</v>
      </c>
      <c r="AN791" s="14">
        <f>IFERROR(__xludf.DUMMYFUNCTION("""COMPUTED_VALUE"""),1.15)</f>
        <v>1.15</v>
      </c>
      <c r="AO791" s="14">
        <f>IFERROR(__xludf.DUMMYFUNCTION("""COMPUTED_VALUE"""),1.254)</f>
        <v>1.254</v>
      </c>
      <c r="AP791" s="14">
        <f>IFERROR(__xludf.DUMMYFUNCTION("""COMPUTED_VALUE"""),114.0)</f>
        <v>114</v>
      </c>
      <c r="AQ791" s="14">
        <f>IFERROR(__xludf.DUMMYFUNCTION("""COMPUTED_VALUE"""),161.0)</f>
        <v>161</v>
      </c>
      <c r="AR791" s="14">
        <f>IFERROR(__xludf.DUMMYFUNCTION("""COMPUTED_VALUE"""),225.0)</f>
        <v>225</v>
      </c>
      <c r="AS791" s="14">
        <f>IFERROR(__xludf.DUMMYFUNCTION("""COMPUTED_VALUE"""),67.0)</f>
        <v>67</v>
      </c>
      <c r="AT791" s="14">
        <f>IFERROR(__xludf.DUMMYFUNCTION("""COMPUTED_VALUE"""),2.06)</f>
        <v>2.06</v>
      </c>
      <c r="AU791" s="14">
        <f>IFERROR(__xludf.DUMMYFUNCTION("""COMPUTED_VALUE"""),1.811E8)</f>
        <v>181100000</v>
      </c>
      <c r="AV791" s="14">
        <f>IFERROR(__xludf.DUMMYFUNCTION("""COMPUTED_VALUE"""),5.02)</f>
        <v>5.02</v>
      </c>
      <c r="AW791" s="14">
        <f>IFERROR(__xludf.DUMMYFUNCTION("""COMPUTED_VALUE"""),17.4)</f>
        <v>17.4</v>
      </c>
      <c r="AX791" s="14">
        <f>IFERROR(__xludf.DUMMYFUNCTION("""COMPUTED_VALUE"""),1.213E7)</f>
        <v>12130000</v>
      </c>
      <c r="AY791" s="14">
        <f>IFERROR(__xludf.DUMMYFUNCTION("""COMPUTED_VALUE"""),1.5)</f>
        <v>1.5</v>
      </c>
      <c r="AZ791" s="14">
        <f>IFERROR(__xludf.DUMMYFUNCTION("""COMPUTED_VALUE"""),0.007)</f>
        <v>0.007</v>
      </c>
      <c r="BA791" s="14">
        <f t="shared" si="1"/>
        <v>18.907</v>
      </c>
    </row>
    <row r="792" ht="14.25" customHeight="1">
      <c r="A792" s="10" t="str">
        <f>IFERROR(__xludf.DUMMYFUNCTION("""COMPUTED_VALUE"""),"030323WI04")</f>
        <v>030323WI04</v>
      </c>
      <c r="B792" s="12" t="str">
        <f>IFERROR(__xludf.DUMMYFUNCTION("""COMPUTED_VALUE"""),"CRN-Entre Ríos")</f>
        <v>CRN-Entre Ríos</v>
      </c>
      <c r="C792" s="12"/>
      <c r="D792" s="12"/>
      <c r="E792" s="44">
        <f>IFERROR(__xludf.DUMMYFUNCTION("""COMPUTED_VALUE"""),44988.0)</f>
        <v>44988</v>
      </c>
      <c r="F792" s="12" t="str">
        <f>IFERROR(__xludf.DUMMYFUNCTION("""COMPUTED_VALUE"""),"TIPO I")</f>
        <v>TIPO I</v>
      </c>
      <c r="G792" s="12" t="str">
        <f>IFERROR(__xludf.DUMMYFUNCTION("""COMPUTED_VALUE"""),"Presenta color, olor y material flotante.")</f>
        <v>Presenta color, olor y material flotante.</v>
      </c>
      <c r="H792" s="45">
        <f>IFERROR(__xludf.DUMMYFUNCTION("""COMPUTED_VALUE"""),0.5)</f>
        <v>0.5</v>
      </c>
      <c r="I792" s="45">
        <f>IFERROR(__xludf.DUMMYFUNCTION("""COMPUTED_VALUE"""),0.5833333333321207)</f>
        <v>0.5833333333</v>
      </c>
      <c r="J792" s="12">
        <f>IFERROR(__xludf.DUMMYFUNCTION("""COMPUTED_VALUE"""),7.2)</f>
        <v>7.2</v>
      </c>
      <c r="K792" s="12">
        <f>IFERROR(__xludf.DUMMYFUNCTION("""COMPUTED_VALUE"""),0.22)</f>
        <v>0.22</v>
      </c>
      <c r="L792" s="14">
        <f>IFERROR(__xludf.DUMMYFUNCTION("""COMPUTED_VALUE"""),484.338)</f>
        <v>484.338</v>
      </c>
      <c r="M792" s="14">
        <f>IFERROR(__xludf.DUMMYFUNCTION("""COMPUTED_VALUE"""),483.043)</f>
        <v>483.043</v>
      </c>
      <c r="N792" s="14">
        <f>IFERROR(__xludf.DUMMYFUNCTION("""COMPUTED_VALUE"""),490.547)</f>
        <v>490.547</v>
      </c>
      <c r="O792" s="14">
        <f>IFERROR(__xludf.DUMMYFUNCTION("""COMPUTED_VALUE"""),506.52)</f>
        <v>506.52</v>
      </c>
      <c r="P792" s="14">
        <f>IFERROR(__xludf.DUMMYFUNCTION("""COMPUTED_VALUE"""),500.465)</f>
        <v>500.465</v>
      </c>
      <c r="Q792" s="14">
        <f>IFERROR(__xludf.DUMMYFUNCTION("""COMPUTED_VALUE"""),492.983)</f>
        <v>492.983</v>
      </c>
      <c r="R792" s="48">
        <f>IFERROR(__xludf.DUMMYFUNCTION("""COMPUTED_VALUE"""),7.88)</f>
        <v>7.88</v>
      </c>
      <c r="S792" s="48">
        <f>IFERROR(__xludf.DUMMYFUNCTION("""COMPUTED_VALUE"""),7.96)</f>
        <v>7.96</v>
      </c>
      <c r="T792" s="48">
        <f>IFERROR(__xludf.DUMMYFUNCTION("""COMPUTED_VALUE"""),8.01)</f>
        <v>8.01</v>
      </c>
      <c r="U792" s="48">
        <f>IFERROR(__xludf.DUMMYFUNCTION("""COMPUTED_VALUE"""),8.06)</f>
        <v>8.06</v>
      </c>
      <c r="V792" s="48">
        <f>IFERROR(__xludf.DUMMYFUNCTION("""COMPUTED_VALUE"""),7.93)</f>
        <v>7.93</v>
      </c>
      <c r="W792" s="14">
        <f>IFERROR(__xludf.DUMMYFUNCTION("""COMPUTED_VALUE"""),7.968000000000001)</f>
        <v>7.968</v>
      </c>
      <c r="X792" s="14">
        <f>IFERROR(__xludf.DUMMYFUNCTION("""COMPUTED_VALUE"""),24.4)</f>
        <v>24.4</v>
      </c>
      <c r="Y792" s="14">
        <f>IFERROR(__xludf.DUMMYFUNCTION("""COMPUTED_VALUE"""),24.8)</f>
        <v>24.8</v>
      </c>
      <c r="Z792" s="14">
        <f>IFERROR(__xludf.DUMMYFUNCTION("""COMPUTED_VALUE"""),22.5)</f>
        <v>22.5</v>
      </c>
      <c r="AA792" s="14">
        <f>IFERROR(__xludf.DUMMYFUNCTION("""COMPUTED_VALUE"""),22.3)</f>
        <v>22.3</v>
      </c>
      <c r="AB792" s="14">
        <f>IFERROR(__xludf.DUMMYFUNCTION("""COMPUTED_VALUE"""),22.5)</f>
        <v>22.5</v>
      </c>
      <c r="AC792" s="14">
        <f>IFERROR(__xludf.DUMMYFUNCTION("""COMPUTED_VALUE"""),23.3)</f>
        <v>23.3</v>
      </c>
      <c r="AD792" s="48">
        <f>IFERROR(__xludf.DUMMYFUNCTION("""COMPUTED_VALUE"""),580.0)</f>
        <v>580</v>
      </c>
      <c r="AE792" s="48">
        <f>IFERROR(__xludf.DUMMYFUNCTION("""COMPUTED_VALUE"""),563.0)</f>
        <v>563</v>
      </c>
      <c r="AF792" s="48">
        <f>IFERROR(__xludf.DUMMYFUNCTION("""COMPUTED_VALUE"""),573.0)</f>
        <v>573</v>
      </c>
      <c r="AG792" s="48">
        <f>IFERROR(__xludf.DUMMYFUNCTION("""COMPUTED_VALUE"""),537.0)</f>
        <v>537</v>
      </c>
      <c r="AH792" s="48">
        <f>IFERROR(__xludf.DUMMYFUNCTION("""COMPUTED_VALUE"""),529.0)</f>
        <v>529</v>
      </c>
      <c r="AI792" s="14">
        <f>IFERROR(__xludf.DUMMYFUNCTION("""COMPUTED_VALUE"""),556.4)</f>
        <v>556.4</v>
      </c>
      <c r="AJ792" s="14">
        <f>IFERROR(__xludf.DUMMYFUNCTION("""COMPUTED_VALUE"""),1.12)</f>
        <v>1.12</v>
      </c>
      <c r="AK792" s="14">
        <f>IFERROR(__xludf.DUMMYFUNCTION("""COMPUTED_VALUE"""),1.07)</f>
        <v>1.07</v>
      </c>
      <c r="AL792" s="14">
        <f>IFERROR(__xludf.DUMMYFUNCTION("""COMPUTED_VALUE"""),1.18)</f>
        <v>1.18</v>
      </c>
      <c r="AM792" s="14">
        <f>IFERROR(__xludf.DUMMYFUNCTION("""COMPUTED_VALUE"""),1.29)</f>
        <v>1.29</v>
      </c>
      <c r="AN792" s="14">
        <f>IFERROR(__xludf.DUMMYFUNCTION("""COMPUTED_VALUE"""),1.15)</f>
        <v>1.15</v>
      </c>
      <c r="AO792" s="14">
        <f>IFERROR(__xludf.DUMMYFUNCTION("""COMPUTED_VALUE"""),1.1620000000000001)</f>
        <v>1.162</v>
      </c>
      <c r="AP792" s="14">
        <f>IFERROR(__xludf.DUMMYFUNCTION("""COMPUTED_VALUE"""),187.0)</f>
        <v>187</v>
      </c>
      <c r="AQ792" s="14">
        <f>IFERROR(__xludf.DUMMYFUNCTION("""COMPUTED_VALUE"""),260.0)</f>
        <v>260</v>
      </c>
      <c r="AR792" s="14">
        <f>IFERROR(__xludf.DUMMYFUNCTION("""COMPUTED_VALUE"""),217.0)</f>
        <v>217</v>
      </c>
      <c r="AS792" s="14">
        <f>IFERROR(__xludf.DUMMYFUNCTION("""COMPUTED_VALUE"""),43.0)</f>
        <v>43</v>
      </c>
      <c r="AT792" s="14">
        <f>IFERROR(__xludf.DUMMYFUNCTION("""COMPUTED_VALUE"""),10.82)</f>
        <v>10.82</v>
      </c>
      <c r="AU792" s="14">
        <f>IFERROR(__xludf.DUMMYFUNCTION("""COMPUTED_VALUE"""),1.299E8)</f>
        <v>129900000</v>
      </c>
      <c r="AV792" s="14">
        <f>IFERROR(__xludf.DUMMYFUNCTION("""COMPUTED_VALUE"""),3.18)</f>
        <v>3.18</v>
      </c>
      <c r="AW792" s="14">
        <f>IFERROR(__xludf.DUMMYFUNCTION("""COMPUTED_VALUE"""),33.3)</f>
        <v>33.3</v>
      </c>
      <c r="AX792" s="14">
        <f>IFERROR(__xludf.DUMMYFUNCTION("""COMPUTED_VALUE"""),1.189E7)</f>
        <v>11890000</v>
      </c>
      <c r="AY792" s="14">
        <f>IFERROR(__xludf.DUMMYFUNCTION("""COMPUTED_VALUE"""),1.8)</f>
        <v>1.8</v>
      </c>
      <c r="AZ792" s="14">
        <f>IFERROR(__xludf.DUMMYFUNCTION("""COMPUTED_VALUE"""),0.007)</f>
        <v>0.007</v>
      </c>
      <c r="BA792" s="14">
        <f t="shared" si="1"/>
        <v>35.107</v>
      </c>
    </row>
    <row r="793" ht="14.25" customHeight="1">
      <c r="A793" s="10" t="str">
        <f>IFERROR(__xludf.DUMMYFUNCTION("""COMPUTED_VALUE"""),"280223FE02")</f>
        <v>280223FE02</v>
      </c>
      <c r="B793" s="12" t="str">
        <f>IFERROR(__xludf.DUMMYFUNCTION("""COMPUTED_VALUE"""),"QZA-Entre Nubes")</f>
        <v>QZA-Entre Nubes</v>
      </c>
      <c r="C793" s="12"/>
      <c r="D793" s="12"/>
      <c r="E793" s="44">
        <f>IFERROR(__xludf.DUMMYFUNCTION("""COMPUTED_VALUE"""),44985.0)</f>
        <v>44985</v>
      </c>
      <c r="F793" s="12" t="str">
        <f>IFERROR(__xludf.DUMMYFUNCTION("""COMPUTED_VALUE"""),"TIPO I")</f>
        <v>TIPO I</v>
      </c>
      <c r="G793" s="12" t="str">
        <f>IFERROR(__xludf.DUMMYFUNCTION("""COMPUTED_VALUE"""),"Presenta coloración se perciben olores y se observa material flotante")</f>
        <v>Presenta coloración se perciben olores y se observa material flotante</v>
      </c>
      <c r="H793" s="45">
        <f>IFERROR(__xludf.DUMMYFUNCTION("""COMPUTED_VALUE"""),0.4166666666678793)</f>
        <v>0.4166666667</v>
      </c>
      <c r="I793" s="45">
        <f>IFERROR(__xludf.DUMMYFUNCTION("""COMPUTED_VALUE"""),0.5)</f>
        <v>0.5</v>
      </c>
      <c r="J793" s="12">
        <f>IFERROR(__xludf.DUMMYFUNCTION("""COMPUTED_VALUE"""),4.6)</f>
        <v>4.6</v>
      </c>
      <c r="K793" s="12">
        <f>IFERROR(__xludf.DUMMYFUNCTION("""COMPUTED_VALUE"""),0.1)</f>
        <v>0.1</v>
      </c>
      <c r="L793" s="14">
        <f>IFERROR(__xludf.DUMMYFUNCTION("""COMPUTED_VALUE"""),78.878)</f>
        <v>78.878</v>
      </c>
      <c r="M793" s="14">
        <f>IFERROR(__xludf.DUMMYFUNCTION("""COMPUTED_VALUE"""),75.762)</f>
        <v>75.762</v>
      </c>
      <c r="N793" s="14">
        <f>IFERROR(__xludf.DUMMYFUNCTION("""COMPUTED_VALUE"""),76.09)</f>
        <v>76.09</v>
      </c>
      <c r="O793" s="14">
        <f>IFERROR(__xludf.DUMMYFUNCTION("""COMPUTED_VALUE"""),75.698)</f>
        <v>75.698</v>
      </c>
      <c r="P793" s="14">
        <f>IFERROR(__xludf.DUMMYFUNCTION("""COMPUTED_VALUE"""),77.124)</f>
        <v>77.124</v>
      </c>
      <c r="Q793" s="14">
        <f>IFERROR(__xludf.DUMMYFUNCTION("""COMPUTED_VALUE"""),76.71)</f>
        <v>76.71</v>
      </c>
      <c r="R793" s="48">
        <f>IFERROR(__xludf.DUMMYFUNCTION("""COMPUTED_VALUE"""),7.92)</f>
        <v>7.92</v>
      </c>
      <c r="S793" s="48">
        <f>IFERROR(__xludf.DUMMYFUNCTION("""COMPUTED_VALUE"""),7.86)</f>
        <v>7.86</v>
      </c>
      <c r="T793" s="48">
        <f>IFERROR(__xludf.DUMMYFUNCTION("""COMPUTED_VALUE"""),7.8)</f>
        <v>7.8</v>
      </c>
      <c r="U793" s="48">
        <f>IFERROR(__xludf.DUMMYFUNCTION("""COMPUTED_VALUE"""),7.66)</f>
        <v>7.66</v>
      </c>
      <c r="V793" s="48">
        <f>IFERROR(__xludf.DUMMYFUNCTION("""COMPUTED_VALUE"""),7.7)</f>
        <v>7.7</v>
      </c>
      <c r="W793" s="14">
        <f>IFERROR(__xludf.DUMMYFUNCTION("""COMPUTED_VALUE"""),7.788000000000001)</f>
        <v>7.788</v>
      </c>
      <c r="X793" s="14">
        <f>IFERROR(__xludf.DUMMYFUNCTION("""COMPUTED_VALUE"""),18.1)</f>
        <v>18.1</v>
      </c>
      <c r="Y793" s="14">
        <f>IFERROR(__xludf.DUMMYFUNCTION("""COMPUTED_VALUE"""),17.7)</f>
        <v>17.7</v>
      </c>
      <c r="Z793" s="14">
        <f>IFERROR(__xludf.DUMMYFUNCTION("""COMPUTED_VALUE"""),18.2)</f>
        <v>18.2</v>
      </c>
      <c r="AA793" s="14">
        <f>IFERROR(__xludf.DUMMYFUNCTION("""COMPUTED_VALUE"""),18.1)</f>
        <v>18.1</v>
      </c>
      <c r="AB793" s="14">
        <f>IFERROR(__xludf.DUMMYFUNCTION("""COMPUTED_VALUE"""),18.3)</f>
        <v>18.3</v>
      </c>
      <c r="AC793" s="14">
        <f>IFERROR(__xludf.DUMMYFUNCTION("""COMPUTED_VALUE"""),18.08)</f>
        <v>18.08</v>
      </c>
      <c r="AD793" s="48">
        <f>IFERROR(__xludf.DUMMYFUNCTION("""COMPUTED_VALUE"""),815.0)</f>
        <v>815</v>
      </c>
      <c r="AE793" s="48">
        <f>IFERROR(__xludf.DUMMYFUNCTION("""COMPUTED_VALUE"""),808.0)</f>
        <v>808</v>
      </c>
      <c r="AF793" s="48">
        <f>IFERROR(__xludf.DUMMYFUNCTION("""COMPUTED_VALUE"""),790.0)</f>
        <v>790</v>
      </c>
      <c r="AG793" s="48">
        <f>IFERROR(__xludf.DUMMYFUNCTION("""COMPUTED_VALUE"""),723.0)</f>
        <v>723</v>
      </c>
      <c r="AH793" s="48">
        <f>IFERROR(__xludf.DUMMYFUNCTION("""COMPUTED_VALUE"""),742.0)</f>
        <v>742</v>
      </c>
      <c r="AI793" s="14">
        <f>IFERROR(__xludf.DUMMYFUNCTION("""COMPUTED_VALUE"""),775.6)</f>
        <v>775.6</v>
      </c>
      <c r="AJ793" s="14">
        <f>IFERROR(__xludf.DUMMYFUNCTION("""COMPUTED_VALUE"""),3.04)</f>
        <v>3.04</v>
      </c>
      <c r="AK793" s="14">
        <f>IFERROR(__xludf.DUMMYFUNCTION("""COMPUTED_VALUE"""),2.92)</f>
        <v>2.92</v>
      </c>
      <c r="AL793" s="14">
        <f>IFERROR(__xludf.DUMMYFUNCTION("""COMPUTED_VALUE"""),3.12)</f>
        <v>3.12</v>
      </c>
      <c r="AM793" s="14">
        <f>IFERROR(__xludf.DUMMYFUNCTION("""COMPUTED_VALUE"""),2.3)</f>
        <v>2.3</v>
      </c>
      <c r="AN793" s="14">
        <f>IFERROR(__xludf.DUMMYFUNCTION("""COMPUTED_VALUE"""),2.45)</f>
        <v>2.45</v>
      </c>
      <c r="AO793" s="14">
        <f>IFERROR(__xludf.DUMMYFUNCTION("""COMPUTED_VALUE"""),2.7659999999999996)</f>
        <v>2.766</v>
      </c>
      <c r="AP793" s="14">
        <f>IFERROR(__xludf.DUMMYFUNCTION("""COMPUTED_VALUE"""),235.0)</f>
        <v>235</v>
      </c>
      <c r="AQ793" s="14">
        <f>IFERROR(__xludf.DUMMYFUNCTION("""COMPUTED_VALUE"""),346.0)</f>
        <v>346</v>
      </c>
      <c r="AR793" s="14">
        <f>IFERROR(__xludf.DUMMYFUNCTION("""COMPUTED_VALUE"""),214.0)</f>
        <v>214</v>
      </c>
      <c r="AS793" s="14">
        <f>IFERROR(__xludf.DUMMYFUNCTION("""COMPUTED_VALUE"""),81.0)</f>
        <v>81</v>
      </c>
      <c r="AT793" s="14">
        <f>IFERROR(__xludf.DUMMYFUNCTION("""COMPUTED_VALUE"""),4.01)</f>
        <v>4.01</v>
      </c>
      <c r="AU793" s="14">
        <f>IFERROR(__xludf.DUMMYFUNCTION("""COMPUTED_VALUE"""),1.395E7)</f>
        <v>13950000</v>
      </c>
      <c r="AV793" s="14">
        <f>IFERROR(__xludf.DUMMYFUNCTION("""COMPUTED_VALUE"""),4.82)</f>
        <v>4.82</v>
      </c>
      <c r="AW793" s="14">
        <f>IFERROR(__xludf.DUMMYFUNCTION("""COMPUTED_VALUE"""),51.5)</f>
        <v>51.5</v>
      </c>
      <c r="AX793" s="14">
        <f>IFERROR(__xludf.DUMMYFUNCTION("""COMPUTED_VALUE"""),1158000.0)</f>
        <v>1158000</v>
      </c>
      <c r="AY793" s="14">
        <f>IFERROR(__xludf.DUMMYFUNCTION("""COMPUTED_VALUE"""),2.0)</f>
        <v>2</v>
      </c>
      <c r="AZ793" s="14">
        <f>IFERROR(__xludf.DUMMYFUNCTION("""COMPUTED_VALUE"""),0.007)</f>
        <v>0.007</v>
      </c>
      <c r="BA793" s="14">
        <f t="shared" si="1"/>
        <v>53.507</v>
      </c>
    </row>
    <row r="794" ht="14.25" customHeight="1">
      <c r="A794" s="10" t="str">
        <f>IFERROR(__xludf.DUMMYFUNCTION("""COMPUTED_VALUE"""),"230223WI01")</f>
        <v>230223WI01</v>
      </c>
      <c r="B794" s="12" t="str">
        <f>IFERROR(__xludf.DUMMYFUNCTION("""COMPUTED_VALUE"""),"QLI-San Francisco")</f>
        <v>QLI-San Francisco</v>
      </c>
      <c r="C794" s="12"/>
      <c r="D794" s="12"/>
      <c r="E794" s="44">
        <f>IFERROR(__xludf.DUMMYFUNCTION("""COMPUTED_VALUE"""),44980.0)</f>
        <v>44980</v>
      </c>
      <c r="F794" s="12" t="str">
        <f>IFERROR(__xludf.DUMMYFUNCTION("""COMPUTED_VALUE"""),"TIPO I")</f>
        <v>TIPO I</v>
      </c>
      <c r="G794" s="12" t="str">
        <f>IFERROR(__xludf.DUMMYFUNCTION("""COMPUTED_VALUE"""),"Canal natural lecho rocoso - arenoso, durante el monitoreo se observa color y se percibe olor.
Altitud: 2591 msnm ")</f>
        <v>Canal natural lecho rocoso - arenoso, durante el monitoreo se observa color y se percibe olor.
Altitud: 2591 msnm </v>
      </c>
      <c r="H794" s="45">
        <f>IFERROR(__xludf.DUMMYFUNCTION("""COMPUTED_VALUE"""),0.25)</f>
        <v>0.25</v>
      </c>
      <c r="I794" s="45">
        <f>IFERROR(__xludf.DUMMYFUNCTION("""COMPUTED_VALUE"""),0.3333333333321207)</f>
        <v>0.3333333333</v>
      </c>
      <c r="J794" s="12">
        <f>IFERROR(__xludf.DUMMYFUNCTION("""COMPUTED_VALUE"""),1.8)</f>
        <v>1.8</v>
      </c>
      <c r="K794" s="12">
        <f>IFERROR(__xludf.DUMMYFUNCTION("""COMPUTED_VALUE"""),0.31)</f>
        <v>0.31</v>
      </c>
      <c r="L794" s="14">
        <f>IFERROR(__xludf.DUMMYFUNCTION("""COMPUTED_VALUE"""),87.167)</f>
        <v>87.167</v>
      </c>
      <c r="M794" s="14">
        <f>IFERROR(__xludf.DUMMYFUNCTION("""COMPUTED_VALUE"""),87.328)</f>
        <v>87.328</v>
      </c>
      <c r="N794" s="14">
        <f>IFERROR(__xludf.DUMMYFUNCTION("""COMPUTED_VALUE"""),88.544)</f>
        <v>88.544</v>
      </c>
      <c r="O794" s="14">
        <f>IFERROR(__xludf.DUMMYFUNCTION("""COMPUTED_VALUE"""),90.921)</f>
        <v>90.921</v>
      </c>
      <c r="P794" s="14">
        <f>IFERROR(__xludf.DUMMYFUNCTION("""COMPUTED_VALUE"""),91.161)</f>
        <v>91.161</v>
      </c>
      <c r="Q794" s="14">
        <f>IFERROR(__xludf.DUMMYFUNCTION("""COMPUTED_VALUE"""),89.024)</f>
        <v>89.024</v>
      </c>
      <c r="R794" s="48">
        <f>IFERROR(__xludf.DUMMYFUNCTION("""COMPUTED_VALUE"""),7.25)</f>
        <v>7.25</v>
      </c>
      <c r="S794" s="48">
        <f>IFERROR(__xludf.DUMMYFUNCTION("""COMPUTED_VALUE"""),7.64)</f>
        <v>7.64</v>
      </c>
      <c r="T794" s="48">
        <f>IFERROR(__xludf.DUMMYFUNCTION("""COMPUTED_VALUE"""),7.51)</f>
        <v>7.51</v>
      </c>
      <c r="U794" s="48">
        <f>IFERROR(__xludf.DUMMYFUNCTION("""COMPUTED_VALUE"""),7.66)</f>
        <v>7.66</v>
      </c>
      <c r="V794" s="48">
        <f>IFERROR(__xludf.DUMMYFUNCTION("""COMPUTED_VALUE"""),7.59)</f>
        <v>7.59</v>
      </c>
      <c r="W794" s="14">
        <f>IFERROR(__xludf.DUMMYFUNCTION("""COMPUTED_VALUE"""),7.529999999999999)</f>
        <v>7.53</v>
      </c>
      <c r="X794" s="14">
        <f>IFERROR(__xludf.DUMMYFUNCTION("""COMPUTED_VALUE"""),14.7)</f>
        <v>14.7</v>
      </c>
      <c r="Y794" s="14">
        <f>IFERROR(__xludf.DUMMYFUNCTION("""COMPUTED_VALUE"""),14.6)</f>
        <v>14.6</v>
      </c>
      <c r="Z794" s="14">
        <f>IFERROR(__xludf.DUMMYFUNCTION("""COMPUTED_VALUE"""),15.1)</f>
        <v>15.1</v>
      </c>
      <c r="AA794" s="14">
        <f>IFERROR(__xludf.DUMMYFUNCTION("""COMPUTED_VALUE"""),14.9)</f>
        <v>14.9</v>
      </c>
      <c r="AB794" s="14">
        <f>IFERROR(__xludf.DUMMYFUNCTION("""COMPUTED_VALUE"""),17.0)</f>
        <v>17</v>
      </c>
      <c r="AC794" s="14">
        <f>IFERROR(__xludf.DUMMYFUNCTION("""COMPUTED_VALUE"""),15.26)</f>
        <v>15.26</v>
      </c>
      <c r="AD794" s="48">
        <f>IFERROR(__xludf.DUMMYFUNCTION("""COMPUTED_VALUE"""),332.0)</f>
        <v>332</v>
      </c>
      <c r="AE794" s="48">
        <f>IFERROR(__xludf.DUMMYFUNCTION("""COMPUTED_VALUE"""),322.0)</f>
        <v>322</v>
      </c>
      <c r="AF794" s="48">
        <f>IFERROR(__xludf.DUMMYFUNCTION("""COMPUTED_VALUE"""),329.0)</f>
        <v>329</v>
      </c>
      <c r="AG794" s="48">
        <f>IFERROR(__xludf.DUMMYFUNCTION("""COMPUTED_VALUE"""),313.0)</f>
        <v>313</v>
      </c>
      <c r="AH794" s="48">
        <f>IFERROR(__xludf.DUMMYFUNCTION("""COMPUTED_VALUE"""),320.0)</f>
        <v>320</v>
      </c>
      <c r="AI794" s="14">
        <f>IFERROR(__xludf.DUMMYFUNCTION("""COMPUTED_VALUE"""),323.2)</f>
        <v>323.2</v>
      </c>
      <c r="AJ794" s="14">
        <f>IFERROR(__xludf.DUMMYFUNCTION("""COMPUTED_VALUE"""),4.85)</f>
        <v>4.85</v>
      </c>
      <c r="AK794" s="14">
        <f>IFERROR(__xludf.DUMMYFUNCTION("""COMPUTED_VALUE"""),4.8)</f>
        <v>4.8</v>
      </c>
      <c r="AL794" s="14">
        <f>IFERROR(__xludf.DUMMYFUNCTION("""COMPUTED_VALUE"""),4.77)</f>
        <v>4.77</v>
      </c>
      <c r="AM794" s="14">
        <f>IFERROR(__xludf.DUMMYFUNCTION("""COMPUTED_VALUE"""),4.28)</f>
        <v>4.28</v>
      </c>
      <c r="AN794" s="14">
        <f>IFERROR(__xludf.DUMMYFUNCTION("""COMPUTED_VALUE"""),4.01)</f>
        <v>4.01</v>
      </c>
      <c r="AO794" s="14">
        <f>IFERROR(__xludf.DUMMYFUNCTION("""COMPUTED_VALUE"""),4.542)</f>
        <v>4.542</v>
      </c>
      <c r="AP794" s="14">
        <f>IFERROR(__xludf.DUMMYFUNCTION("""COMPUTED_VALUE"""),24.0)</f>
        <v>24</v>
      </c>
      <c r="AQ794" s="14">
        <f>IFERROR(__xludf.DUMMYFUNCTION("""COMPUTED_VALUE"""),35.0)</f>
        <v>35</v>
      </c>
      <c r="AR794" s="14">
        <f>IFERROR(__xludf.DUMMYFUNCTION("""COMPUTED_VALUE"""),17.0)</f>
        <v>17</v>
      </c>
      <c r="AS794" s="14">
        <f>IFERROR(__xludf.DUMMYFUNCTION("""COMPUTED_VALUE"""),1.2)</f>
        <v>1.2</v>
      </c>
      <c r="AT794" s="14">
        <f>IFERROR(__xludf.DUMMYFUNCTION("""COMPUTED_VALUE"""),0.07)</f>
        <v>0.07</v>
      </c>
      <c r="AU794" s="14">
        <f>IFERROR(__xludf.DUMMYFUNCTION("""COMPUTED_VALUE"""),101200.0)</f>
        <v>101200</v>
      </c>
      <c r="AV794" s="14">
        <f>IFERROR(__xludf.DUMMYFUNCTION("""COMPUTED_VALUE"""),1.39)</f>
        <v>1.39</v>
      </c>
      <c r="AW794" s="14">
        <f>IFERROR(__xludf.DUMMYFUNCTION("""COMPUTED_VALUE"""),10.1)</f>
        <v>10.1</v>
      </c>
      <c r="AX794" s="14">
        <f>IFERROR(__xludf.DUMMYFUNCTION("""COMPUTED_VALUE"""),7800.0)</f>
        <v>7800</v>
      </c>
      <c r="AY794" s="14">
        <f>IFERROR(__xludf.DUMMYFUNCTION("""COMPUTED_VALUE"""),2.7)</f>
        <v>2.7</v>
      </c>
      <c r="AZ794" s="14">
        <f>IFERROR(__xludf.DUMMYFUNCTION("""COMPUTED_VALUE"""),0.26)</f>
        <v>0.26</v>
      </c>
      <c r="BA794" s="14">
        <f t="shared" si="1"/>
        <v>13.06</v>
      </c>
    </row>
    <row r="795" ht="14.25" customHeight="1">
      <c r="A795" s="10" t="str">
        <f>IFERROR(__xludf.DUMMYFUNCTION("""COMPUTED_VALUE"""),"030323FE01")</f>
        <v>030323FE01</v>
      </c>
      <c r="B795" s="12" t="str">
        <f>IFERROR(__xludf.DUMMYFUNCTION("""COMPUTED_VALUE"""),"CRN-Quebrada Chicó")</f>
        <v>CRN-Quebrada Chicó</v>
      </c>
      <c r="C795" s="12"/>
      <c r="D795" s="12"/>
      <c r="E795" s="44">
        <f>IFERROR(__xludf.DUMMYFUNCTION("""COMPUTED_VALUE"""),44988.0)</f>
        <v>44988</v>
      </c>
      <c r="F795" s="12" t="str">
        <f>IFERROR(__xludf.DUMMYFUNCTION("""COMPUTED_VALUE"""),"TIPO I")</f>
        <v>TIPO I</v>
      </c>
      <c r="G795" s="12" t="str">
        <f>IFERROR(__xludf.DUMMYFUNCTION("""COMPUTED_VALUE"""),"Estructura del canal en tuberia, presencia de residuos solidos, inoloro.
Altitud: 2619 msnm.  ")</f>
        <v>Estructura del canal en tuberia, presencia de residuos solidos, inoloro.
Altitud: 2619 msnm.  </v>
      </c>
      <c r="H795" s="45">
        <f>IFERROR(__xludf.DUMMYFUNCTION("""COMPUTED_VALUE"""),0.3333333333321207)</f>
        <v>0.3333333333</v>
      </c>
      <c r="I795" s="45">
        <f>IFERROR(__xludf.DUMMYFUNCTION("""COMPUTED_VALUE"""),0.4166666666678793)</f>
        <v>0.4166666667</v>
      </c>
      <c r="J795" s="12"/>
      <c r="K795" s="12"/>
      <c r="L795" s="14">
        <f>IFERROR(__xludf.DUMMYFUNCTION("""COMPUTED_VALUE"""),2.986)</f>
        <v>2.986</v>
      </c>
      <c r="M795" s="14">
        <f>IFERROR(__xludf.DUMMYFUNCTION("""COMPUTED_VALUE"""),2.772)</f>
        <v>2.772</v>
      </c>
      <c r="N795" s="14">
        <f>IFERROR(__xludf.DUMMYFUNCTION("""COMPUTED_VALUE"""),2.919)</f>
        <v>2.919</v>
      </c>
      <c r="O795" s="14">
        <f>IFERROR(__xludf.DUMMYFUNCTION("""COMPUTED_VALUE"""),2.53)</f>
        <v>2.53</v>
      </c>
      <c r="P795" s="14">
        <f>IFERROR(__xludf.DUMMYFUNCTION("""COMPUTED_VALUE"""),2.289)</f>
        <v>2.289</v>
      </c>
      <c r="Q795" s="14">
        <f>IFERROR(__xludf.DUMMYFUNCTION("""COMPUTED_VALUE"""),2.699)</f>
        <v>2.699</v>
      </c>
      <c r="R795" s="48">
        <f>IFERROR(__xludf.DUMMYFUNCTION("""COMPUTED_VALUE"""),7.42)</f>
        <v>7.42</v>
      </c>
      <c r="S795" s="48">
        <f>IFERROR(__xludf.DUMMYFUNCTION("""COMPUTED_VALUE"""),7.38)</f>
        <v>7.38</v>
      </c>
      <c r="T795" s="48">
        <f>IFERROR(__xludf.DUMMYFUNCTION("""COMPUTED_VALUE"""),7.47)</f>
        <v>7.47</v>
      </c>
      <c r="U795" s="48">
        <f>IFERROR(__xludf.DUMMYFUNCTION("""COMPUTED_VALUE"""),7.58)</f>
        <v>7.58</v>
      </c>
      <c r="V795" s="48">
        <f>IFERROR(__xludf.DUMMYFUNCTION("""COMPUTED_VALUE"""),7.49)</f>
        <v>7.49</v>
      </c>
      <c r="W795" s="14">
        <f>IFERROR(__xludf.DUMMYFUNCTION("""COMPUTED_VALUE"""),7.468000000000001)</f>
        <v>7.468</v>
      </c>
      <c r="X795" s="14">
        <f>IFERROR(__xludf.DUMMYFUNCTION("""COMPUTED_VALUE"""),14.7)</f>
        <v>14.7</v>
      </c>
      <c r="Y795" s="14">
        <f>IFERROR(__xludf.DUMMYFUNCTION("""COMPUTED_VALUE"""),14.9)</f>
        <v>14.9</v>
      </c>
      <c r="Z795" s="14">
        <f>IFERROR(__xludf.DUMMYFUNCTION("""COMPUTED_VALUE"""),15.2)</f>
        <v>15.2</v>
      </c>
      <c r="AA795" s="14">
        <f>IFERROR(__xludf.DUMMYFUNCTION("""COMPUTED_VALUE"""),15.0)</f>
        <v>15</v>
      </c>
      <c r="AB795" s="14">
        <f>IFERROR(__xludf.DUMMYFUNCTION("""COMPUTED_VALUE"""),14.9)</f>
        <v>14.9</v>
      </c>
      <c r="AC795" s="14">
        <f>IFERROR(__xludf.DUMMYFUNCTION("""COMPUTED_VALUE"""),14.940000000000001)</f>
        <v>14.94</v>
      </c>
      <c r="AD795" s="48">
        <f>IFERROR(__xludf.DUMMYFUNCTION("""COMPUTED_VALUE"""),74.2)</f>
        <v>74.2</v>
      </c>
      <c r="AE795" s="48">
        <f>IFERROR(__xludf.DUMMYFUNCTION("""COMPUTED_VALUE"""),80.9)</f>
        <v>80.9</v>
      </c>
      <c r="AF795" s="48">
        <f>IFERROR(__xludf.DUMMYFUNCTION("""COMPUTED_VALUE"""),94.7)</f>
        <v>94.7</v>
      </c>
      <c r="AG795" s="48">
        <f>IFERROR(__xludf.DUMMYFUNCTION("""COMPUTED_VALUE"""),94.1)</f>
        <v>94.1</v>
      </c>
      <c r="AH795" s="48">
        <f>IFERROR(__xludf.DUMMYFUNCTION("""COMPUTED_VALUE"""),84.8)</f>
        <v>84.8</v>
      </c>
      <c r="AI795" s="14">
        <f>IFERROR(__xludf.DUMMYFUNCTION("""COMPUTED_VALUE"""),85.74)</f>
        <v>85.74</v>
      </c>
      <c r="AJ795" s="14">
        <f>IFERROR(__xludf.DUMMYFUNCTION("""COMPUTED_VALUE"""),4.1)</f>
        <v>4.1</v>
      </c>
      <c r="AK795" s="14">
        <f>IFERROR(__xludf.DUMMYFUNCTION("""COMPUTED_VALUE"""),4.7)</f>
        <v>4.7</v>
      </c>
      <c r="AL795" s="14">
        <f>IFERROR(__xludf.DUMMYFUNCTION("""COMPUTED_VALUE"""),4.5)</f>
        <v>4.5</v>
      </c>
      <c r="AM795" s="14">
        <f>IFERROR(__xludf.DUMMYFUNCTION("""COMPUTED_VALUE"""),4.4)</f>
        <v>4.4</v>
      </c>
      <c r="AN795" s="14">
        <f>IFERROR(__xludf.DUMMYFUNCTION("""COMPUTED_VALUE"""),4.6)</f>
        <v>4.6</v>
      </c>
      <c r="AO795" s="14">
        <f>IFERROR(__xludf.DUMMYFUNCTION("""COMPUTED_VALUE"""),4.460000000000001)</f>
        <v>4.46</v>
      </c>
      <c r="AP795" s="14">
        <f>IFERROR(__xludf.DUMMYFUNCTION("""COMPUTED_VALUE"""),6.0)</f>
        <v>6</v>
      </c>
      <c r="AQ795" s="14">
        <f>IFERROR(__xludf.DUMMYFUNCTION("""COMPUTED_VALUE"""),10.0)</f>
        <v>10</v>
      </c>
      <c r="AR795" s="14">
        <f>IFERROR(__xludf.DUMMYFUNCTION("""COMPUTED_VALUE"""),26.0)</f>
        <v>26</v>
      </c>
      <c r="AS795" s="14">
        <f>IFERROR(__xludf.DUMMYFUNCTION("""COMPUTED_VALUE"""),15.0)</f>
        <v>15</v>
      </c>
      <c r="AT795" s="14">
        <f>IFERROR(__xludf.DUMMYFUNCTION("""COMPUTED_VALUE"""),0.42)</f>
        <v>0.42</v>
      </c>
      <c r="AU795" s="14">
        <f>IFERROR(__xludf.DUMMYFUNCTION("""COMPUTED_VALUE"""),1.442E8)</f>
        <v>144200000</v>
      </c>
      <c r="AV795" s="14">
        <f>IFERROR(__xludf.DUMMYFUNCTION("""COMPUTED_VALUE"""),0.34)</f>
        <v>0.34</v>
      </c>
      <c r="AW795" s="14">
        <f>IFERROR(__xludf.DUMMYFUNCTION("""COMPUTED_VALUE"""),2.84)</f>
        <v>2.84</v>
      </c>
      <c r="AX795" s="14">
        <f>IFERROR(__xludf.DUMMYFUNCTION("""COMPUTED_VALUE"""),1.73E7)</f>
        <v>17300000</v>
      </c>
      <c r="AY795" s="14">
        <f>IFERROR(__xludf.DUMMYFUNCTION("""COMPUTED_VALUE"""),1.9)</f>
        <v>1.9</v>
      </c>
      <c r="AZ795" s="14">
        <f>IFERROR(__xludf.DUMMYFUNCTION("""COMPUTED_VALUE"""),0.05)</f>
        <v>0.05</v>
      </c>
      <c r="BA795" s="14">
        <f t="shared" si="1"/>
        <v>4.79</v>
      </c>
    </row>
    <row r="796" ht="14.25" customHeight="1">
      <c r="A796" s="10" t="str">
        <f>IFERROR(__xludf.DUMMYFUNCTION("""COMPUTED_VALUE"""),"030323FE02")</f>
        <v>030323FE02</v>
      </c>
      <c r="B796" s="12" t="str">
        <f>IFERROR(__xludf.DUMMYFUNCTION("""COMPUTED_VALUE"""),"CRN-El Virrey")</f>
        <v>CRN-El Virrey</v>
      </c>
      <c r="C796" s="12"/>
      <c r="D796" s="12"/>
      <c r="E796" s="44">
        <f>IFERROR(__xludf.DUMMYFUNCTION("""COMPUTED_VALUE"""),44988.0)</f>
        <v>44988</v>
      </c>
      <c r="F796" s="12" t="str">
        <f>IFERROR(__xludf.DUMMYFUNCTION("""COMPUTED_VALUE"""),"TIPO I")</f>
        <v>TIPO I</v>
      </c>
      <c r="G796" s="12" t="str">
        <f>IFERROR(__xludf.DUMMYFUNCTION("""COMPUTED_VALUE"""),"Estructura del canal en mamposteria, durante el monitoreo se observa color y material fotante, se percibe olor en el cuerpo de agua. Presencia de residuos sólidos en el lecho.
Altitud: 2581 msnm. ")</f>
        <v>Estructura del canal en mamposteria, durante el monitoreo se observa color y material fotante, se percibe olor en el cuerpo de agua. Presencia de residuos sólidos en el lecho.
Altitud: 2581 msnm. </v>
      </c>
      <c r="H796" s="45">
        <f>IFERROR(__xludf.DUMMYFUNCTION("""COMPUTED_VALUE"""),0.5)</f>
        <v>0.5</v>
      </c>
      <c r="I796" s="45">
        <f>IFERROR(__xludf.DUMMYFUNCTION("""COMPUTED_VALUE"""),0.5833333333321207)</f>
        <v>0.5833333333</v>
      </c>
      <c r="J796" s="12">
        <f>IFERROR(__xludf.DUMMYFUNCTION("""COMPUTED_VALUE"""),2.3)</f>
        <v>2.3</v>
      </c>
      <c r="K796" s="12">
        <f>IFERROR(__xludf.DUMMYFUNCTION("""COMPUTED_VALUE"""),0.24)</f>
        <v>0.24</v>
      </c>
      <c r="L796" s="14">
        <f>IFERROR(__xludf.DUMMYFUNCTION("""COMPUTED_VALUE"""),240.682)</f>
        <v>240.682</v>
      </c>
      <c r="M796" s="14">
        <f>IFERROR(__xludf.DUMMYFUNCTION("""COMPUTED_VALUE"""),241.693)</f>
        <v>241.693</v>
      </c>
      <c r="N796" s="14">
        <f>IFERROR(__xludf.DUMMYFUNCTION("""COMPUTED_VALUE"""),242.957)</f>
        <v>242.957</v>
      </c>
      <c r="O796" s="14">
        <f>IFERROR(__xludf.DUMMYFUNCTION("""COMPUTED_VALUE"""),244.819)</f>
        <v>244.819</v>
      </c>
      <c r="P796" s="14">
        <f>IFERROR(__xludf.DUMMYFUNCTION("""COMPUTED_VALUE"""),246.259)</f>
        <v>246.259</v>
      </c>
      <c r="Q796" s="14">
        <f>IFERROR(__xludf.DUMMYFUNCTION("""COMPUTED_VALUE"""),243.282)</f>
        <v>243.282</v>
      </c>
      <c r="R796" s="48">
        <f>IFERROR(__xludf.DUMMYFUNCTION("""COMPUTED_VALUE"""),8.3)</f>
        <v>8.3</v>
      </c>
      <c r="S796" s="48">
        <f>IFERROR(__xludf.DUMMYFUNCTION("""COMPUTED_VALUE"""),8.62)</f>
        <v>8.62</v>
      </c>
      <c r="T796" s="48">
        <f>IFERROR(__xludf.DUMMYFUNCTION("""COMPUTED_VALUE"""),8.58)</f>
        <v>8.58</v>
      </c>
      <c r="U796" s="48">
        <f>IFERROR(__xludf.DUMMYFUNCTION("""COMPUTED_VALUE"""),8.6)</f>
        <v>8.6</v>
      </c>
      <c r="V796" s="48">
        <f>IFERROR(__xludf.DUMMYFUNCTION("""COMPUTED_VALUE"""),8.52)</f>
        <v>8.52</v>
      </c>
      <c r="W796" s="14">
        <f>IFERROR(__xludf.DUMMYFUNCTION("""COMPUTED_VALUE"""),8.524000000000001)</f>
        <v>8.524</v>
      </c>
      <c r="X796" s="14">
        <f>IFERROR(__xludf.DUMMYFUNCTION("""COMPUTED_VALUE"""),19.5)</f>
        <v>19.5</v>
      </c>
      <c r="Y796" s="14">
        <f>IFERROR(__xludf.DUMMYFUNCTION("""COMPUTED_VALUE"""),19.6)</f>
        <v>19.6</v>
      </c>
      <c r="Z796" s="14">
        <f>IFERROR(__xludf.DUMMYFUNCTION("""COMPUTED_VALUE"""),19.3)</f>
        <v>19.3</v>
      </c>
      <c r="AA796" s="14">
        <f>IFERROR(__xludf.DUMMYFUNCTION("""COMPUTED_VALUE"""),19.1)</f>
        <v>19.1</v>
      </c>
      <c r="AB796" s="14">
        <f>IFERROR(__xludf.DUMMYFUNCTION("""COMPUTED_VALUE"""),19.4)</f>
        <v>19.4</v>
      </c>
      <c r="AC796" s="14">
        <f>IFERROR(__xludf.DUMMYFUNCTION("""COMPUTED_VALUE"""),19.380000000000003)</f>
        <v>19.38</v>
      </c>
      <c r="AD796" s="48">
        <f>IFERROR(__xludf.DUMMYFUNCTION("""COMPUTED_VALUE"""),596.0)</f>
        <v>596</v>
      </c>
      <c r="AE796" s="48">
        <f>IFERROR(__xludf.DUMMYFUNCTION("""COMPUTED_VALUE"""),494.0)</f>
        <v>494</v>
      </c>
      <c r="AF796" s="48">
        <f>IFERROR(__xludf.DUMMYFUNCTION("""COMPUTED_VALUE"""),486.0)</f>
        <v>486</v>
      </c>
      <c r="AG796" s="48">
        <f>IFERROR(__xludf.DUMMYFUNCTION("""COMPUTED_VALUE"""),488.0)</f>
        <v>488</v>
      </c>
      <c r="AH796" s="48">
        <f>IFERROR(__xludf.DUMMYFUNCTION("""COMPUTED_VALUE"""),502.0)</f>
        <v>502</v>
      </c>
      <c r="AI796" s="14">
        <f>IFERROR(__xludf.DUMMYFUNCTION("""COMPUTED_VALUE"""),513.2)</f>
        <v>513.2</v>
      </c>
      <c r="AJ796" s="14">
        <f>IFERROR(__xludf.DUMMYFUNCTION("""COMPUTED_VALUE"""),2.1)</f>
        <v>2.1</v>
      </c>
      <c r="AK796" s="14">
        <f>IFERROR(__xludf.DUMMYFUNCTION("""COMPUTED_VALUE"""),1.6)</f>
        <v>1.6</v>
      </c>
      <c r="AL796" s="14">
        <f>IFERROR(__xludf.DUMMYFUNCTION("""COMPUTED_VALUE"""),1.8)</f>
        <v>1.8</v>
      </c>
      <c r="AM796" s="14">
        <f>IFERROR(__xludf.DUMMYFUNCTION("""COMPUTED_VALUE"""),1.6)</f>
        <v>1.6</v>
      </c>
      <c r="AN796" s="14">
        <f>IFERROR(__xludf.DUMMYFUNCTION("""COMPUTED_VALUE"""),1.3)</f>
        <v>1.3</v>
      </c>
      <c r="AO796" s="14">
        <f>IFERROR(__xludf.DUMMYFUNCTION("""COMPUTED_VALUE"""),1.6800000000000002)</f>
        <v>1.68</v>
      </c>
      <c r="AP796" s="14">
        <f>IFERROR(__xludf.DUMMYFUNCTION("""COMPUTED_VALUE"""),224.0)</f>
        <v>224</v>
      </c>
      <c r="AQ796" s="14">
        <f>IFERROR(__xludf.DUMMYFUNCTION("""COMPUTED_VALUE"""),311.0)</f>
        <v>311</v>
      </c>
      <c r="AR796" s="14">
        <f>IFERROR(__xludf.DUMMYFUNCTION("""COMPUTED_VALUE"""),249.0)</f>
        <v>249</v>
      </c>
      <c r="AS796" s="14">
        <f>IFERROR(__xludf.DUMMYFUNCTION("""COMPUTED_VALUE"""),75.0)</f>
        <v>75</v>
      </c>
      <c r="AT796" s="14">
        <f>IFERROR(__xludf.DUMMYFUNCTION("""COMPUTED_VALUE"""),10.15)</f>
        <v>10.15</v>
      </c>
      <c r="AU796" s="14">
        <f>IFERROR(__xludf.DUMMYFUNCTION("""COMPUTED_VALUE"""),9850000.0)</f>
        <v>9850000</v>
      </c>
      <c r="AV796" s="14">
        <f>IFERROR(__xludf.DUMMYFUNCTION("""COMPUTED_VALUE"""),2.57)</f>
        <v>2.57</v>
      </c>
      <c r="AW796" s="14">
        <f>IFERROR(__xludf.DUMMYFUNCTION("""COMPUTED_VALUE"""),24.4)</f>
        <v>24.4</v>
      </c>
      <c r="AX796" s="14">
        <f>IFERROR(__xludf.DUMMYFUNCTION("""COMPUTED_VALUE"""),620000.0)</f>
        <v>620000</v>
      </c>
      <c r="AY796" s="14">
        <f>IFERROR(__xludf.DUMMYFUNCTION("""COMPUTED_VALUE"""),1.3)</f>
        <v>1.3</v>
      </c>
      <c r="AZ796" s="14">
        <f>IFERROR(__xludf.DUMMYFUNCTION("""COMPUTED_VALUE"""),0.007)</f>
        <v>0.007</v>
      </c>
      <c r="BA796" s="14">
        <f t="shared" si="1"/>
        <v>25.707</v>
      </c>
    </row>
    <row r="797" ht="14.25" customHeight="1">
      <c r="A797" s="10" t="str">
        <f>IFERROR(__xludf.DUMMYFUNCTION("""COMPUTED_VALUE"""),"060323DU01")</f>
        <v>060323DU01</v>
      </c>
      <c r="B797" s="12" t="str">
        <f>IFERROR(__xludf.DUMMYFUNCTION("""COMPUTED_VALUE"""),"QCH-La Orquídea")</f>
        <v>QCH-La Orquídea</v>
      </c>
      <c r="C797" s="12"/>
      <c r="D797" s="12"/>
      <c r="E797" s="44">
        <f>IFERROR(__xludf.DUMMYFUNCTION("""COMPUTED_VALUE"""),44991.0)</f>
        <v>44991</v>
      </c>
      <c r="F797" s="12" t="str">
        <f>IFERROR(__xludf.DUMMYFUNCTION("""COMPUTED_VALUE"""),"TIPO I")</f>
        <v>TIPO I</v>
      </c>
      <c r="G797" s="12" t="str">
        <f>IFERROR(__xludf.DUMMYFUNCTION("""COMPUTED_VALUE"""),"Lecho rocoso arenoso, vegetación aledaña, no presenta color ni olor; se realiza aforo volumétrico. ")</f>
        <v>Lecho rocoso arenoso, vegetación aledaña, no presenta color ni olor; se realiza aforo volumétrico. </v>
      </c>
      <c r="H797" s="45">
        <f>IFERROR(__xludf.DUMMYFUNCTION("""COMPUTED_VALUE"""),0.3333333333321207)</f>
        <v>0.3333333333</v>
      </c>
      <c r="I797" s="45">
        <f>IFERROR(__xludf.DUMMYFUNCTION("""COMPUTED_VALUE"""),0.4166666666678793)</f>
        <v>0.4166666667</v>
      </c>
      <c r="J797" s="12">
        <f>IFERROR(__xludf.DUMMYFUNCTION("""COMPUTED_VALUE"""),0.45)</f>
        <v>0.45</v>
      </c>
      <c r="K797" s="12">
        <f>IFERROR(__xludf.DUMMYFUNCTION("""COMPUTED_VALUE"""),0.04)</f>
        <v>0.04</v>
      </c>
      <c r="L797" s="14">
        <f>IFERROR(__xludf.DUMMYFUNCTION("""COMPUTED_VALUE"""),0.545)</f>
        <v>0.545</v>
      </c>
      <c r="M797" s="14">
        <f>IFERROR(__xludf.DUMMYFUNCTION("""COMPUTED_VALUE"""),0.548)</f>
        <v>0.548</v>
      </c>
      <c r="N797" s="14">
        <f>IFERROR(__xludf.DUMMYFUNCTION("""COMPUTED_VALUE"""),0.547)</f>
        <v>0.547</v>
      </c>
      <c r="O797" s="14">
        <f>IFERROR(__xludf.DUMMYFUNCTION("""COMPUTED_VALUE"""),0.526)</f>
        <v>0.526</v>
      </c>
      <c r="P797" s="14">
        <f>IFERROR(__xludf.DUMMYFUNCTION("""COMPUTED_VALUE"""),0.553)</f>
        <v>0.553</v>
      </c>
      <c r="Q797" s="14">
        <f>IFERROR(__xludf.DUMMYFUNCTION("""COMPUTED_VALUE"""),0.544)</f>
        <v>0.544</v>
      </c>
      <c r="R797" s="48">
        <f>IFERROR(__xludf.DUMMYFUNCTION("""COMPUTED_VALUE"""),7.58)</f>
        <v>7.58</v>
      </c>
      <c r="S797" s="48">
        <f>IFERROR(__xludf.DUMMYFUNCTION("""COMPUTED_VALUE"""),7.96)</f>
        <v>7.96</v>
      </c>
      <c r="T797" s="48">
        <f>IFERROR(__xludf.DUMMYFUNCTION("""COMPUTED_VALUE"""),7.91)</f>
        <v>7.91</v>
      </c>
      <c r="U797" s="48">
        <f>IFERROR(__xludf.DUMMYFUNCTION("""COMPUTED_VALUE"""),7.89)</f>
        <v>7.89</v>
      </c>
      <c r="V797" s="48">
        <f>IFERROR(__xludf.DUMMYFUNCTION("""COMPUTED_VALUE"""),7.96)</f>
        <v>7.96</v>
      </c>
      <c r="W797" s="14">
        <f>IFERROR(__xludf.DUMMYFUNCTION("""COMPUTED_VALUE"""),7.859999999999999)</f>
        <v>7.86</v>
      </c>
      <c r="X797" s="14">
        <f>IFERROR(__xludf.DUMMYFUNCTION("""COMPUTED_VALUE"""),17.7)</f>
        <v>17.7</v>
      </c>
      <c r="Y797" s="14">
        <f>IFERROR(__xludf.DUMMYFUNCTION("""COMPUTED_VALUE"""),17.2)</f>
        <v>17.2</v>
      </c>
      <c r="Z797" s="14">
        <f>IFERROR(__xludf.DUMMYFUNCTION("""COMPUTED_VALUE"""),17.3)</f>
        <v>17.3</v>
      </c>
      <c r="AA797" s="14">
        <f>IFERROR(__xludf.DUMMYFUNCTION("""COMPUTED_VALUE"""),17.4)</f>
        <v>17.4</v>
      </c>
      <c r="AB797" s="14">
        <f>IFERROR(__xludf.DUMMYFUNCTION("""COMPUTED_VALUE"""),17.5)</f>
        <v>17.5</v>
      </c>
      <c r="AC797" s="14">
        <f>IFERROR(__xludf.DUMMYFUNCTION("""COMPUTED_VALUE"""),17.419999999999998)</f>
        <v>17.42</v>
      </c>
      <c r="AD797" s="48">
        <f>IFERROR(__xludf.DUMMYFUNCTION("""COMPUTED_VALUE"""),490.0)</f>
        <v>490</v>
      </c>
      <c r="AE797" s="48">
        <f>IFERROR(__xludf.DUMMYFUNCTION("""COMPUTED_VALUE"""),446.0)</f>
        <v>446</v>
      </c>
      <c r="AF797" s="48">
        <f>IFERROR(__xludf.DUMMYFUNCTION("""COMPUTED_VALUE"""),503.0)</f>
        <v>503</v>
      </c>
      <c r="AG797" s="48">
        <f>IFERROR(__xludf.DUMMYFUNCTION("""COMPUTED_VALUE"""),500.0)</f>
        <v>500</v>
      </c>
      <c r="AH797" s="48">
        <f>IFERROR(__xludf.DUMMYFUNCTION("""COMPUTED_VALUE"""),455.0)</f>
        <v>455</v>
      </c>
      <c r="AI797" s="14">
        <f>IFERROR(__xludf.DUMMYFUNCTION("""COMPUTED_VALUE"""),478.8)</f>
        <v>478.8</v>
      </c>
      <c r="AJ797" s="14">
        <f>IFERROR(__xludf.DUMMYFUNCTION("""COMPUTED_VALUE"""),6.16)</f>
        <v>6.16</v>
      </c>
      <c r="AK797" s="14">
        <f>IFERROR(__xludf.DUMMYFUNCTION("""COMPUTED_VALUE"""),6.42)</f>
        <v>6.42</v>
      </c>
      <c r="AL797" s="14">
        <f>IFERROR(__xludf.DUMMYFUNCTION("""COMPUTED_VALUE"""),6.0)</f>
        <v>6</v>
      </c>
      <c r="AM797" s="14">
        <f>IFERROR(__xludf.DUMMYFUNCTION("""COMPUTED_VALUE"""),5.77)</f>
        <v>5.77</v>
      </c>
      <c r="AN797" s="14">
        <f>IFERROR(__xludf.DUMMYFUNCTION("""COMPUTED_VALUE"""),6.16)</f>
        <v>6.16</v>
      </c>
      <c r="AO797" s="14">
        <f>IFERROR(__xludf.DUMMYFUNCTION("""COMPUTED_VALUE"""),6.101999999999999)</f>
        <v>6.102</v>
      </c>
      <c r="AP797" s="14">
        <f>IFERROR(__xludf.DUMMYFUNCTION("""COMPUTED_VALUE"""),21.0)</f>
        <v>21</v>
      </c>
      <c r="AQ797" s="14">
        <f>IFERROR(__xludf.DUMMYFUNCTION("""COMPUTED_VALUE"""),31.0)</f>
        <v>31</v>
      </c>
      <c r="AR797" s="14">
        <f>IFERROR(__xludf.DUMMYFUNCTION("""COMPUTED_VALUE"""),16.0)</f>
        <v>16</v>
      </c>
      <c r="AS797" s="14">
        <f>IFERROR(__xludf.DUMMYFUNCTION("""COMPUTED_VALUE"""),1.2)</f>
        <v>1.2</v>
      </c>
      <c r="AT797" s="14">
        <f>IFERROR(__xludf.DUMMYFUNCTION("""COMPUTED_VALUE"""),0.07)</f>
        <v>0.07</v>
      </c>
      <c r="AU797" s="14">
        <f>IFERROR(__xludf.DUMMYFUNCTION("""COMPUTED_VALUE"""),139600.0)</f>
        <v>139600</v>
      </c>
      <c r="AV797" s="14">
        <f>IFERROR(__xludf.DUMMYFUNCTION("""COMPUTED_VALUE"""),0.05)</f>
        <v>0.05</v>
      </c>
      <c r="AW797" s="14">
        <f>IFERROR(__xludf.DUMMYFUNCTION("""COMPUTED_VALUE"""),4.5)</f>
        <v>4.5</v>
      </c>
      <c r="AX797" s="14">
        <f>IFERROR(__xludf.DUMMYFUNCTION("""COMPUTED_VALUE"""),13110.0)</f>
        <v>13110</v>
      </c>
      <c r="AY797" s="14">
        <f>IFERROR(__xludf.DUMMYFUNCTION("""COMPUTED_VALUE"""),1.3)</f>
        <v>1.3</v>
      </c>
      <c r="AZ797" s="14">
        <f>IFERROR(__xludf.DUMMYFUNCTION("""COMPUTED_VALUE"""),0.716)</f>
        <v>0.716</v>
      </c>
      <c r="BA797" s="14">
        <f t="shared" si="1"/>
        <v>6.516</v>
      </c>
    </row>
    <row r="798" ht="14.25" customHeight="1">
      <c r="A798" s="10" t="str">
        <f>IFERROR(__xludf.DUMMYFUNCTION("""COMPUTED_VALUE"""),"070323WI01")</f>
        <v>070323WI01</v>
      </c>
      <c r="B798" s="12" t="str">
        <f>IFERROR(__xludf.DUMMYFUNCTION("""COMPUTED_VALUE"""),"QYO-Arrayanal")</f>
        <v>QYO-Arrayanal</v>
      </c>
      <c r="C798" s="12"/>
      <c r="D798" s="12"/>
      <c r="E798" s="44">
        <f>IFERROR(__xludf.DUMMYFUNCTION("""COMPUTED_VALUE"""),44992.0)</f>
        <v>44992</v>
      </c>
      <c r="F798" s="12" t="str">
        <f>IFERROR(__xludf.DUMMYFUNCTION("""COMPUTED_VALUE"""),"TIPO I")</f>
        <v>TIPO I</v>
      </c>
      <c r="G798" s="12" t="str">
        <f>IFERROR(__xludf.DUMMYFUNCTION("""COMPUTED_VALUE"""),"Canal natural, presencia de rocas, residuos sólidos y sedimentos en el lecho, durante el monitoreo se observó color y se percibió olor. Se observa residuos sólidos en la ribera.  ")</f>
        <v>Canal natural, presencia de rocas, residuos sólidos y sedimentos en el lecho, durante el monitoreo se observó color y se percibió olor. Se observa residuos sólidos en la ribera.  </v>
      </c>
      <c r="H798" s="45">
        <f>IFERROR(__xludf.DUMMYFUNCTION("""COMPUTED_VALUE"""),0.25)</f>
        <v>0.25</v>
      </c>
      <c r="I798" s="45">
        <f>IFERROR(__xludf.DUMMYFUNCTION("""COMPUTED_VALUE"""),0.3333333333321207)</f>
        <v>0.3333333333</v>
      </c>
      <c r="J798" s="12">
        <f>IFERROR(__xludf.DUMMYFUNCTION("""COMPUTED_VALUE"""),4.0)</f>
        <v>4</v>
      </c>
      <c r="K798" s="12">
        <f>IFERROR(__xludf.DUMMYFUNCTION("""COMPUTED_VALUE"""),0.58)</f>
        <v>0.58</v>
      </c>
      <c r="L798" s="14">
        <f>IFERROR(__xludf.DUMMYFUNCTION("""COMPUTED_VALUE"""),57.658)</f>
        <v>57.658</v>
      </c>
      <c r="M798" s="14">
        <f>IFERROR(__xludf.DUMMYFUNCTION("""COMPUTED_VALUE"""),61.461)</f>
        <v>61.461</v>
      </c>
      <c r="N798" s="14">
        <f>IFERROR(__xludf.DUMMYFUNCTION("""COMPUTED_VALUE"""),59.477)</f>
        <v>59.477</v>
      </c>
      <c r="O798" s="14">
        <f>IFERROR(__xludf.DUMMYFUNCTION("""COMPUTED_VALUE"""),63.445)</f>
        <v>63.445</v>
      </c>
      <c r="P798" s="14">
        <f>IFERROR(__xludf.DUMMYFUNCTION("""COMPUTED_VALUE"""),67.808)</f>
        <v>67.808</v>
      </c>
      <c r="Q798" s="14">
        <f>IFERROR(__xludf.DUMMYFUNCTION("""COMPUTED_VALUE"""),61.97)</f>
        <v>61.97</v>
      </c>
      <c r="R798" s="48">
        <f>IFERROR(__xludf.DUMMYFUNCTION("""COMPUTED_VALUE"""),7.16)</f>
        <v>7.16</v>
      </c>
      <c r="S798" s="48">
        <f>IFERROR(__xludf.DUMMYFUNCTION("""COMPUTED_VALUE"""),7.17)</f>
        <v>7.17</v>
      </c>
      <c r="T798" s="48">
        <f>IFERROR(__xludf.DUMMYFUNCTION("""COMPUTED_VALUE"""),7.16)</f>
        <v>7.16</v>
      </c>
      <c r="U798" s="48">
        <f>IFERROR(__xludf.DUMMYFUNCTION("""COMPUTED_VALUE"""),7.2)</f>
        <v>7.2</v>
      </c>
      <c r="V798" s="48">
        <f>IFERROR(__xludf.DUMMYFUNCTION("""COMPUTED_VALUE"""),7.22)</f>
        <v>7.22</v>
      </c>
      <c r="W798" s="14">
        <f>IFERROR(__xludf.DUMMYFUNCTION("""COMPUTED_VALUE"""),7.182)</f>
        <v>7.182</v>
      </c>
      <c r="X798" s="14">
        <f>IFERROR(__xludf.DUMMYFUNCTION("""COMPUTED_VALUE"""),12.7)</f>
        <v>12.7</v>
      </c>
      <c r="Y798" s="14">
        <f>IFERROR(__xludf.DUMMYFUNCTION("""COMPUTED_VALUE"""),12.7)</f>
        <v>12.7</v>
      </c>
      <c r="Z798" s="14">
        <f>IFERROR(__xludf.DUMMYFUNCTION("""COMPUTED_VALUE"""),12.6)</f>
        <v>12.6</v>
      </c>
      <c r="AA798" s="14">
        <f>IFERROR(__xludf.DUMMYFUNCTION("""COMPUTED_VALUE"""),12.5)</f>
        <v>12.5</v>
      </c>
      <c r="AB798" s="14">
        <f>IFERROR(__xludf.DUMMYFUNCTION("""COMPUTED_VALUE"""),12.3)</f>
        <v>12.3</v>
      </c>
      <c r="AC798" s="14">
        <f>IFERROR(__xludf.DUMMYFUNCTION("""COMPUTED_VALUE"""),12.559999999999999)</f>
        <v>12.56</v>
      </c>
      <c r="AD798" s="48">
        <f>IFERROR(__xludf.DUMMYFUNCTION("""COMPUTED_VALUE"""),159.2)</f>
        <v>159.2</v>
      </c>
      <c r="AE798" s="48">
        <f>IFERROR(__xludf.DUMMYFUNCTION("""COMPUTED_VALUE"""),165.1)</f>
        <v>165.1</v>
      </c>
      <c r="AF798" s="48">
        <f>IFERROR(__xludf.DUMMYFUNCTION("""COMPUTED_VALUE"""),165.7)</f>
        <v>165.7</v>
      </c>
      <c r="AG798" s="48">
        <f>IFERROR(__xludf.DUMMYFUNCTION("""COMPUTED_VALUE"""),163.6)</f>
        <v>163.6</v>
      </c>
      <c r="AH798" s="48">
        <f>IFERROR(__xludf.DUMMYFUNCTION("""COMPUTED_VALUE"""),166.7)</f>
        <v>166.7</v>
      </c>
      <c r="AI798" s="14">
        <f>IFERROR(__xludf.DUMMYFUNCTION("""COMPUTED_VALUE"""),164.06)</f>
        <v>164.06</v>
      </c>
      <c r="AJ798" s="14">
        <f>IFERROR(__xludf.DUMMYFUNCTION("""COMPUTED_VALUE"""),3.7)</f>
        <v>3.7</v>
      </c>
      <c r="AK798" s="14">
        <f>IFERROR(__xludf.DUMMYFUNCTION("""COMPUTED_VALUE"""),4.0)</f>
        <v>4</v>
      </c>
      <c r="AL798" s="14">
        <f>IFERROR(__xludf.DUMMYFUNCTION("""COMPUTED_VALUE"""),3.9)</f>
        <v>3.9</v>
      </c>
      <c r="AM798" s="14">
        <f>IFERROR(__xludf.DUMMYFUNCTION("""COMPUTED_VALUE"""),3.8)</f>
        <v>3.8</v>
      </c>
      <c r="AN798" s="14">
        <f>IFERROR(__xludf.DUMMYFUNCTION("""COMPUTED_VALUE"""),3.5)</f>
        <v>3.5</v>
      </c>
      <c r="AO798" s="14">
        <f>IFERROR(__xludf.DUMMYFUNCTION("""COMPUTED_VALUE"""),3.78)</f>
        <v>3.78</v>
      </c>
      <c r="AP798" s="14">
        <f>IFERROR(__xludf.DUMMYFUNCTION("""COMPUTED_VALUE"""),11.0)</f>
        <v>11</v>
      </c>
      <c r="AQ798" s="14">
        <f>IFERROR(__xludf.DUMMYFUNCTION("""COMPUTED_VALUE"""),17.0)</f>
        <v>17</v>
      </c>
      <c r="AR798" s="14">
        <f>IFERROR(__xludf.DUMMYFUNCTION("""COMPUTED_VALUE"""),25.0)</f>
        <v>25</v>
      </c>
      <c r="AS798" s="14">
        <f>IFERROR(__xludf.DUMMYFUNCTION("""COMPUTED_VALUE"""),1.2)</f>
        <v>1.2</v>
      </c>
      <c r="AT798" s="14">
        <f>IFERROR(__xludf.DUMMYFUNCTION("""COMPUTED_VALUE"""),0.07)</f>
        <v>0.07</v>
      </c>
      <c r="AU798" s="14">
        <f>IFERROR(__xludf.DUMMYFUNCTION("""COMPUTED_VALUE"""),80500.0)</f>
        <v>80500</v>
      </c>
      <c r="AV798" s="14">
        <f>IFERROR(__xludf.DUMMYFUNCTION("""COMPUTED_VALUE"""),0.38)</f>
        <v>0.38</v>
      </c>
      <c r="AW798" s="14">
        <f>IFERROR(__xludf.DUMMYFUNCTION("""COMPUTED_VALUE"""),4.2)</f>
        <v>4.2</v>
      </c>
      <c r="AX798" s="14">
        <f>IFERROR(__xludf.DUMMYFUNCTION("""COMPUTED_VALUE"""),8420.0)</f>
        <v>8420</v>
      </c>
      <c r="AY798" s="14">
        <f>IFERROR(__xludf.DUMMYFUNCTION("""COMPUTED_VALUE"""),2.0)</f>
        <v>2</v>
      </c>
      <c r="AZ798" s="14">
        <f>IFERROR(__xludf.DUMMYFUNCTION("""COMPUTED_VALUE"""),0.076)</f>
        <v>0.076</v>
      </c>
      <c r="BA798" s="14">
        <f t="shared" si="1"/>
        <v>6.276</v>
      </c>
    </row>
    <row r="799" ht="14.25" customHeight="1">
      <c r="A799" s="10" t="str">
        <f>IFERROR(__xludf.DUMMYFUNCTION("""COMPUTED_VALUE"""),"070323WI02")</f>
        <v>070323WI02</v>
      </c>
      <c r="B799" s="12" t="str">
        <f>IFERROR(__xludf.DUMMYFUNCTION("""COMPUTED_VALUE"""),"QYO-Bolonia")</f>
        <v>QYO-Bolonia</v>
      </c>
      <c r="C799" s="12"/>
      <c r="D799" s="12"/>
      <c r="E799" s="44">
        <f>IFERROR(__xludf.DUMMYFUNCTION("""COMPUTED_VALUE"""),44992.0)</f>
        <v>44992</v>
      </c>
      <c r="F799" s="12" t="str">
        <f>IFERROR(__xludf.DUMMYFUNCTION("""COMPUTED_VALUE"""),"TIPO I")</f>
        <v>TIPO I</v>
      </c>
      <c r="G799" s="12" t="str">
        <f>IFERROR(__xludf.DUMMYFUNCTION("""COMPUTED_VALUE"""),"Canal natural, presencia de residuos solidos, lecho rocoso y sedimentos en lecho, durante el monitoreo se observo presencia de color y se percibe olor. ")</f>
        <v>Canal natural, presencia de residuos solidos, lecho rocoso y sedimentos en lecho, durante el monitoreo se observo presencia de color y se percibe olor. </v>
      </c>
      <c r="H799" s="45">
        <f>IFERROR(__xludf.DUMMYFUNCTION("""COMPUTED_VALUE"""),0.4166666666678793)</f>
        <v>0.4166666667</v>
      </c>
      <c r="I799" s="45">
        <f>IFERROR(__xludf.DUMMYFUNCTION("""COMPUTED_VALUE"""),0.5)</f>
        <v>0.5</v>
      </c>
      <c r="J799" s="12">
        <f>IFERROR(__xludf.DUMMYFUNCTION("""COMPUTED_VALUE"""),3.7)</f>
        <v>3.7</v>
      </c>
      <c r="K799" s="12">
        <f>IFERROR(__xludf.DUMMYFUNCTION("""COMPUTED_VALUE"""),0.48)</f>
        <v>0.48</v>
      </c>
      <c r="L799" s="14">
        <f>IFERROR(__xludf.DUMMYFUNCTION("""COMPUTED_VALUE"""),87.651)</f>
        <v>87.651</v>
      </c>
      <c r="M799" s="14">
        <f>IFERROR(__xludf.DUMMYFUNCTION("""COMPUTED_VALUE"""),86.283)</f>
        <v>86.283</v>
      </c>
      <c r="N799" s="14">
        <f>IFERROR(__xludf.DUMMYFUNCTION("""COMPUTED_VALUE"""),88.563)</f>
        <v>88.563</v>
      </c>
      <c r="O799" s="14">
        <f>IFERROR(__xludf.DUMMYFUNCTION("""COMPUTED_VALUE"""),91.238)</f>
        <v>91.238</v>
      </c>
      <c r="P799" s="14">
        <f>IFERROR(__xludf.DUMMYFUNCTION("""COMPUTED_VALUE"""),89.59)</f>
        <v>89.59</v>
      </c>
      <c r="Q799" s="14">
        <f>IFERROR(__xludf.DUMMYFUNCTION("""COMPUTED_VALUE"""),88.665)</f>
        <v>88.665</v>
      </c>
      <c r="R799" s="48">
        <f>IFERROR(__xludf.DUMMYFUNCTION("""COMPUTED_VALUE"""),7.81)</f>
        <v>7.81</v>
      </c>
      <c r="S799" s="48">
        <f>IFERROR(__xludf.DUMMYFUNCTION("""COMPUTED_VALUE"""),7.82)</f>
        <v>7.82</v>
      </c>
      <c r="T799" s="48">
        <f>IFERROR(__xludf.DUMMYFUNCTION("""COMPUTED_VALUE"""),7.73)</f>
        <v>7.73</v>
      </c>
      <c r="U799" s="48">
        <f>IFERROR(__xludf.DUMMYFUNCTION("""COMPUTED_VALUE"""),7.76)</f>
        <v>7.76</v>
      </c>
      <c r="V799" s="48">
        <f>IFERROR(__xludf.DUMMYFUNCTION("""COMPUTED_VALUE"""),7.8)</f>
        <v>7.8</v>
      </c>
      <c r="W799" s="14">
        <f>IFERROR(__xludf.DUMMYFUNCTION("""COMPUTED_VALUE"""),7.783999999999999)</f>
        <v>7.784</v>
      </c>
      <c r="X799" s="14">
        <f>IFERROR(__xludf.DUMMYFUNCTION("""COMPUTED_VALUE"""),14.1)</f>
        <v>14.1</v>
      </c>
      <c r="Y799" s="14">
        <f>IFERROR(__xludf.DUMMYFUNCTION("""COMPUTED_VALUE"""),14.2)</f>
        <v>14.2</v>
      </c>
      <c r="Z799" s="14">
        <f>IFERROR(__xludf.DUMMYFUNCTION("""COMPUTED_VALUE"""),14.3)</f>
        <v>14.3</v>
      </c>
      <c r="AA799" s="14">
        <f>IFERROR(__xludf.DUMMYFUNCTION("""COMPUTED_VALUE"""),14.6)</f>
        <v>14.6</v>
      </c>
      <c r="AB799" s="14">
        <f>IFERROR(__xludf.DUMMYFUNCTION("""COMPUTED_VALUE"""),14.8)</f>
        <v>14.8</v>
      </c>
      <c r="AC799" s="14">
        <f>IFERROR(__xludf.DUMMYFUNCTION("""COMPUTED_VALUE"""),14.4)</f>
        <v>14.4</v>
      </c>
      <c r="AD799" s="48">
        <f>IFERROR(__xludf.DUMMYFUNCTION("""COMPUTED_VALUE"""),257.0)</f>
        <v>257</v>
      </c>
      <c r="AE799" s="48">
        <f>IFERROR(__xludf.DUMMYFUNCTION("""COMPUTED_VALUE"""),255.0)</f>
        <v>255</v>
      </c>
      <c r="AF799" s="48">
        <f>IFERROR(__xludf.DUMMYFUNCTION("""COMPUTED_VALUE"""),259.0)</f>
        <v>259</v>
      </c>
      <c r="AG799" s="48">
        <f>IFERROR(__xludf.DUMMYFUNCTION("""COMPUTED_VALUE"""),261.0)</f>
        <v>261</v>
      </c>
      <c r="AH799" s="48">
        <f>IFERROR(__xludf.DUMMYFUNCTION("""COMPUTED_VALUE"""),253.0)</f>
        <v>253</v>
      </c>
      <c r="AI799" s="14">
        <f>IFERROR(__xludf.DUMMYFUNCTION("""COMPUTED_VALUE"""),257.0)</f>
        <v>257</v>
      </c>
      <c r="AJ799" s="14">
        <f>IFERROR(__xludf.DUMMYFUNCTION("""COMPUTED_VALUE"""),2.6)</f>
        <v>2.6</v>
      </c>
      <c r="AK799" s="14">
        <f>IFERROR(__xludf.DUMMYFUNCTION("""COMPUTED_VALUE"""),2.6)</f>
        <v>2.6</v>
      </c>
      <c r="AL799" s="14">
        <f>IFERROR(__xludf.DUMMYFUNCTION("""COMPUTED_VALUE"""),2.7)</f>
        <v>2.7</v>
      </c>
      <c r="AM799" s="14">
        <f>IFERROR(__xludf.DUMMYFUNCTION("""COMPUTED_VALUE"""),2.3)</f>
        <v>2.3</v>
      </c>
      <c r="AN799" s="14">
        <f>IFERROR(__xludf.DUMMYFUNCTION("""COMPUTED_VALUE"""),2.4)</f>
        <v>2.4</v>
      </c>
      <c r="AO799" s="14">
        <f>IFERROR(__xludf.DUMMYFUNCTION("""COMPUTED_VALUE"""),2.52)</f>
        <v>2.52</v>
      </c>
      <c r="AP799" s="14">
        <f>IFERROR(__xludf.DUMMYFUNCTION("""COMPUTED_VALUE"""),15.0)</f>
        <v>15</v>
      </c>
      <c r="AQ799" s="14">
        <f>IFERROR(__xludf.DUMMYFUNCTION("""COMPUTED_VALUE"""),22.0)</f>
        <v>22</v>
      </c>
      <c r="AR799" s="14">
        <f>IFERROR(__xludf.DUMMYFUNCTION("""COMPUTED_VALUE"""),30.0)</f>
        <v>30</v>
      </c>
      <c r="AS799" s="14">
        <f>IFERROR(__xludf.DUMMYFUNCTION("""COMPUTED_VALUE"""),1.2)</f>
        <v>1.2</v>
      </c>
      <c r="AT799" s="14">
        <f>IFERROR(__xludf.DUMMYFUNCTION("""COMPUTED_VALUE"""),0.07)</f>
        <v>0.07</v>
      </c>
      <c r="AU799" s="14">
        <f>IFERROR(__xludf.DUMMYFUNCTION("""COMPUTED_VALUE"""),124600.0)</f>
        <v>124600</v>
      </c>
      <c r="AV799" s="14">
        <f>IFERROR(__xludf.DUMMYFUNCTION("""COMPUTED_VALUE"""),0.84)</f>
        <v>0.84</v>
      </c>
      <c r="AW799" s="14">
        <f>IFERROR(__xludf.DUMMYFUNCTION("""COMPUTED_VALUE"""),8.7)</f>
        <v>8.7</v>
      </c>
      <c r="AX799" s="14">
        <f>IFERROR(__xludf.DUMMYFUNCTION("""COMPUTED_VALUE"""),82300.0)</f>
        <v>82300</v>
      </c>
      <c r="AY799" s="14">
        <f>IFERROR(__xludf.DUMMYFUNCTION("""COMPUTED_VALUE"""),1.5)</f>
        <v>1.5</v>
      </c>
      <c r="AZ799" s="14">
        <f>IFERROR(__xludf.DUMMYFUNCTION("""COMPUTED_VALUE"""),0.124)</f>
        <v>0.124</v>
      </c>
      <c r="BA799" s="14">
        <f t="shared" si="1"/>
        <v>10.324</v>
      </c>
    </row>
    <row r="800" ht="14.25" customHeight="1">
      <c r="A800" s="10" t="str">
        <f>IFERROR(__xludf.DUMMYFUNCTION("""COMPUTED_VALUE"""),"070323WI03")</f>
        <v>070323WI03</v>
      </c>
      <c r="B800" s="12" t="str">
        <f>IFERROR(__xludf.DUMMYFUNCTION("""COMPUTED_VALUE"""),"QYO-Monte Blanco")</f>
        <v>QYO-Monte Blanco</v>
      </c>
      <c r="C800" s="12"/>
      <c r="D800" s="12"/>
      <c r="E800" s="44">
        <f>IFERROR(__xludf.DUMMYFUNCTION("""COMPUTED_VALUE"""),44992.0)</f>
        <v>44992</v>
      </c>
      <c r="F800" s="12" t="str">
        <f>IFERROR(__xludf.DUMMYFUNCTION("""COMPUTED_VALUE"""),"TIPO I")</f>
        <v>TIPO I</v>
      </c>
      <c r="G800" s="12" t="str">
        <f>IFERROR(__xludf.DUMMYFUNCTION("""COMPUTED_VALUE"""),"Canal natural, presencia de rocas de diferente tamaño, se observan residuos sólidos y sedimentos en el lecho, presencia de residuos sólidos en la ribera del canal. Durante el monitoreo se observa espuma, material flotante y color; se percibe olor.")</f>
        <v>Canal natural, presencia de rocas de diferente tamaño, se observan residuos sólidos y sedimentos en el lecho, presencia de residuos sólidos en la ribera del canal. Durante el monitoreo se observa espuma, material flotante y color; se percibe olor.</v>
      </c>
      <c r="H800" s="45">
        <f>IFERROR(__xludf.DUMMYFUNCTION("""COMPUTED_VALUE"""),0.5833333333321207)</f>
        <v>0.5833333333</v>
      </c>
      <c r="I800" s="45">
        <f>IFERROR(__xludf.DUMMYFUNCTION("""COMPUTED_VALUE"""),0.6666666666678793)</f>
        <v>0.6666666667</v>
      </c>
      <c r="J800" s="12">
        <f>IFERROR(__xludf.DUMMYFUNCTION("""COMPUTED_VALUE"""),1.8)</f>
        <v>1.8</v>
      </c>
      <c r="K800" s="12">
        <f>IFERROR(__xludf.DUMMYFUNCTION("""COMPUTED_VALUE"""),0.44)</f>
        <v>0.44</v>
      </c>
      <c r="L800" s="14">
        <f>IFERROR(__xludf.DUMMYFUNCTION("""COMPUTED_VALUE"""),146.646)</f>
        <v>146.646</v>
      </c>
      <c r="M800" s="14">
        <f>IFERROR(__xludf.DUMMYFUNCTION("""COMPUTED_VALUE"""),149.322)</f>
        <v>149.322</v>
      </c>
      <c r="N800" s="14">
        <f>IFERROR(__xludf.DUMMYFUNCTION("""COMPUTED_VALUE"""),151.522)</f>
        <v>151.522</v>
      </c>
      <c r="O800" s="14">
        <f>IFERROR(__xludf.DUMMYFUNCTION("""COMPUTED_VALUE"""),154.131)</f>
        <v>154.131</v>
      </c>
      <c r="P800" s="14">
        <f>IFERROR(__xludf.DUMMYFUNCTION("""COMPUTED_VALUE"""),153.819)</f>
        <v>153.819</v>
      </c>
      <c r="Q800" s="14">
        <f>IFERROR(__xludf.DUMMYFUNCTION("""COMPUTED_VALUE"""),151.088)</f>
        <v>151.088</v>
      </c>
      <c r="R800" s="48">
        <f>IFERROR(__xludf.DUMMYFUNCTION("""COMPUTED_VALUE"""),7.79)</f>
        <v>7.79</v>
      </c>
      <c r="S800" s="48">
        <f>IFERROR(__xludf.DUMMYFUNCTION("""COMPUTED_VALUE"""),7.82)</f>
        <v>7.82</v>
      </c>
      <c r="T800" s="48">
        <f>IFERROR(__xludf.DUMMYFUNCTION("""COMPUTED_VALUE"""),7.86)</f>
        <v>7.86</v>
      </c>
      <c r="U800" s="48">
        <f>IFERROR(__xludf.DUMMYFUNCTION("""COMPUTED_VALUE"""),7.83)</f>
        <v>7.83</v>
      </c>
      <c r="V800" s="48">
        <f>IFERROR(__xludf.DUMMYFUNCTION("""COMPUTED_VALUE"""),7.8)</f>
        <v>7.8</v>
      </c>
      <c r="W800" s="14">
        <f>IFERROR(__xludf.DUMMYFUNCTION("""COMPUTED_VALUE"""),7.8199999999999985)</f>
        <v>7.82</v>
      </c>
      <c r="X800" s="14">
        <f>IFERROR(__xludf.DUMMYFUNCTION("""COMPUTED_VALUE"""),17.5)</f>
        <v>17.5</v>
      </c>
      <c r="Y800" s="14">
        <f>IFERROR(__xludf.DUMMYFUNCTION("""COMPUTED_VALUE"""),17.7)</f>
        <v>17.7</v>
      </c>
      <c r="Z800" s="14">
        <f>IFERROR(__xludf.DUMMYFUNCTION("""COMPUTED_VALUE"""),17.4)</f>
        <v>17.4</v>
      </c>
      <c r="AA800" s="14">
        <f>IFERROR(__xludf.DUMMYFUNCTION("""COMPUTED_VALUE"""),17.6)</f>
        <v>17.6</v>
      </c>
      <c r="AB800" s="14">
        <f>IFERROR(__xludf.DUMMYFUNCTION("""COMPUTED_VALUE"""),17.5)</f>
        <v>17.5</v>
      </c>
      <c r="AC800" s="14">
        <f>IFERROR(__xludf.DUMMYFUNCTION("""COMPUTED_VALUE"""),17.54)</f>
        <v>17.54</v>
      </c>
      <c r="AD800" s="48">
        <f>IFERROR(__xludf.DUMMYFUNCTION("""COMPUTED_VALUE"""),381.0)</f>
        <v>381</v>
      </c>
      <c r="AE800" s="48">
        <f>IFERROR(__xludf.DUMMYFUNCTION("""COMPUTED_VALUE"""),383.0)</f>
        <v>383</v>
      </c>
      <c r="AF800" s="48">
        <f>IFERROR(__xludf.DUMMYFUNCTION("""COMPUTED_VALUE"""),365.0)</f>
        <v>365</v>
      </c>
      <c r="AG800" s="48">
        <f>IFERROR(__xludf.DUMMYFUNCTION("""COMPUTED_VALUE"""),371.0)</f>
        <v>371</v>
      </c>
      <c r="AH800" s="48">
        <f>IFERROR(__xludf.DUMMYFUNCTION("""COMPUTED_VALUE"""),369.0)</f>
        <v>369</v>
      </c>
      <c r="AI800" s="14">
        <f>IFERROR(__xludf.DUMMYFUNCTION("""COMPUTED_VALUE"""),373.8)</f>
        <v>373.8</v>
      </c>
      <c r="AJ800" s="14">
        <f>IFERROR(__xludf.DUMMYFUNCTION("""COMPUTED_VALUE"""),2.0)</f>
        <v>2</v>
      </c>
      <c r="AK800" s="14">
        <f>IFERROR(__xludf.DUMMYFUNCTION("""COMPUTED_VALUE"""),1.8)</f>
        <v>1.8</v>
      </c>
      <c r="AL800" s="14">
        <f>IFERROR(__xludf.DUMMYFUNCTION("""COMPUTED_VALUE"""),1.9)</f>
        <v>1.9</v>
      </c>
      <c r="AM800" s="14">
        <f>IFERROR(__xludf.DUMMYFUNCTION("""COMPUTED_VALUE"""),2.0)</f>
        <v>2</v>
      </c>
      <c r="AN800" s="14">
        <f>IFERROR(__xludf.DUMMYFUNCTION("""COMPUTED_VALUE"""),2.1)</f>
        <v>2.1</v>
      </c>
      <c r="AO800" s="14">
        <f>IFERROR(__xludf.DUMMYFUNCTION("""COMPUTED_VALUE"""),1.9599999999999997)</f>
        <v>1.96</v>
      </c>
      <c r="AP800" s="14">
        <f>IFERROR(__xludf.DUMMYFUNCTION("""COMPUTED_VALUE"""),28.0)</f>
        <v>28</v>
      </c>
      <c r="AQ800" s="14">
        <f>IFERROR(__xludf.DUMMYFUNCTION("""COMPUTED_VALUE"""),41.0)</f>
        <v>41</v>
      </c>
      <c r="AR800" s="14">
        <f>IFERROR(__xludf.DUMMYFUNCTION("""COMPUTED_VALUE"""),22.0)</f>
        <v>22</v>
      </c>
      <c r="AS800" s="14">
        <f>IFERROR(__xludf.DUMMYFUNCTION("""COMPUTED_VALUE"""),1.2)</f>
        <v>1.2</v>
      </c>
      <c r="AT800" s="14">
        <f>IFERROR(__xludf.DUMMYFUNCTION("""COMPUTED_VALUE"""),0.76)</f>
        <v>0.76</v>
      </c>
      <c r="AU800" s="14">
        <f>IFERROR(__xludf.DUMMYFUNCTION("""COMPUTED_VALUE"""),1.73E8)</f>
        <v>173000000</v>
      </c>
      <c r="AV800" s="14">
        <f>IFERROR(__xludf.DUMMYFUNCTION("""COMPUTED_VALUE"""),1.28)</f>
        <v>1.28</v>
      </c>
      <c r="AW800" s="14">
        <f>IFERROR(__xludf.DUMMYFUNCTION("""COMPUTED_VALUE"""),14.0)</f>
        <v>14</v>
      </c>
      <c r="AX800" s="14">
        <f>IFERROR(__xludf.DUMMYFUNCTION("""COMPUTED_VALUE"""),1.586E7)</f>
        <v>15860000</v>
      </c>
      <c r="AY800" s="14">
        <f>IFERROR(__xludf.DUMMYFUNCTION("""COMPUTED_VALUE"""),1.2)</f>
        <v>1.2</v>
      </c>
      <c r="AZ800" s="14">
        <f>IFERROR(__xludf.DUMMYFUNCTION("""COMPUTED_VALUE"""),0.31)</f>
        <v>0.31</v>
      </c>
      <c r="BA800" s="14">
        <f t="shared" si="1"/>
        <v>15.51</v>
      </c>
    </row>
    <row r="801" ht="14.25" customHeight="1">
      <c r="A801" s="10" t="str">
        <f>IFERROR(__xludf.DUMMYFUNCTION("""COMPUTED_VALUE"""),"090323WI01")</f>
        <v>090323WI01</v>
      </c>
      <c r="B801" s="12" t="str">
        <f>IFERROR(__xludf.DUMMYFUNCTION("""COMPUTED_VALUE"""),"COR-Britalia")</f>
        <v>COR-Britalia</v>
      </c>
      <c r="C801" s="12"/>
      <c r="D801" s="12"/>
      <c r="E801" s="44">
        <f>IFERROR(__xludf.DUMMYFUNCTION("""COMPUTED_VALUE"""),44994.0)</f>
        <v>44994</v>
      </c>
      <c r="F801" s="12" t="str">
        <f>IFERROR(__xludf.DUMMYFUNCTION("""COMPUTED_VALUE"""),"TIPO I")</f>
        <v>TIPO I</v>
      </c>
      <c r="G801" s="12" t="str">
        <f>IFERROR(__xludf.DUMMYFUNCTION("""COMPUTED_VALUE"""),"Estructura del canal en concreto, durante el monitoreo se observa color y se percibe olor, presencia de rocas y sedimentos en el cuerpo de agua, no se realiza la toma de la quinta alicuota por fuertes precipitaciones.
Altitud: 2550 msnm. ")</f>
        <v>Estructura del canal en concreto, durante el monitoreo se observa color y se percibe olor, presencia de rocas y sedimentos en el cuerpo de agua, no se realiza la toma de la quinta alicuota por fuertes precipitaciones.
Altitud: 2550 msnm. </v>
      </c>
      <c r="H801" s="45">
        <f>IFERROR(__xludf.DUMMYFUNCTION("""COMPUTED_VALUE"""),0.25)</f>
        <v>0.25</v>
      </c>
      <c r="I801" s="45">
        <f>IFERROR(__xludf.DUMMYFUNCTION("""COMPUTED_VALUE"""),0.3333333333321207)</f>
        <v>0.3333333333</v>
      </c>
      <c r="J801" s="12">
        <f>IFERROR(__xludf.DUMMYFUNCTION("""COMPUTED_VALUE"""),3.0)</f>
        <v>3</v>
      </c>
      <c r="K801" s="12">
        <f>IFERROR(__xludf.DUMMYFUNCTION("""COMPUTED_VALUE"""),0.08)</f>
        <v>0.08</v>
      </c>
      <c r="L801" s="14">
        <f>IFERROR(__xludf.DUMMYFUNCTION("""COMPUTED_VALUE"""),10.392)</f>
        <v>10.392</v>
      </c>
      <c r="M801" s="14">
        <f>IFERROR(__xludf.DUMMYFUNCTION("""COMPUTED_VALUE"""),11.297)</f>
        <v>11.297</v>
      </c>
      <c r="N801" s="14">
        <f>IFERROR(__xludf.DUMMYFUNCTION("""COMPUTED_VALUE"""),11.956)</f>
        <v>11.956</v>
      </c>
      <c r="O801" s="14">
        <f>IFERROR(__xludf.DUMMYFUNCTION("""COMPUTED_VALUE"""),12.477)</f>
        <v>12.477</v>
      </c>
      <c r="P801" s="14"/>
      <c r="Q801" s="14">
        <f>IFERROR(__xludf.DUMMYFUNCTION("""COMPUTED_VALUE"""),11.531)</f>
        <v>11.531</v>
      </c>
      <c r="R801" s="48">
        <f>IFERROR(__xludf.DUMMYFUNCTION("""COMPUTED_VALUE"""),7.12)</f>
        <v>7.12</v>
      </c>
      <c r="S801" s="48">
        <f>IFERROR(__xludf.DUMMYFUNCTION("""COMPUTED_VALUE"""),7.08)</f>
        <v>7.08</v>
      </c>
      <c r="T801" s="48">
        <f>IFERROR(__xludf.DUMMYFUNCTION("""COMPUTED_VALUE"""),7.1)</f>
        <v>7.1</v>
      </c>
      <c r="U801" s="48">
        <f>IFERROR(__xludf.DUMMYFUNCTION("""COMPUTED_VALUE"""),7.05)</f>
        <v>7.05</v>
      </c>
      <c r="V801" s="48"/>
      <c r="W801" s="14">
        <f>IFERROR(__xludf.DUMMYFUNCTION("""COMPUTED_VALUE"""),7.0874999999999995)</f>
        <v>7.0875</v>
      </c>
      <c r="X801" s="14">
        <f>IFERROR(__xludf.DUMMYFUNCTION("""COMPUTED_VALUE"""),18.8)</f>
        <v>18.8</v>
      </c>
      <c r="Y801" s="14">
        <f>IFERROR(__xludf.DUMMYFUNCTION("""COMPUTED_VALUE"""),18.4)</f>
        <v>18.4</v>
      </c>
      <c r="Z801" s="14">
        <f>IFERROR(__xludf.DUMMYFUNCTION("""COMPUTED_VALUE"""),18.7)</f>
        <v>18.7</v>
      </c>
      <c r="AA801" s="14">
        <f>IFERROR(__xludf.DUMMYFUNCTION("""COMPUTED_VALUE"""),18.4)</f>
        <v>18.4</v>
      </c>
      <c r="AB801" s="14"/>
      <c r="AC801" s="14">
        <f>IFERROR(__xludf.DUMMYFUNCTION("""COMPUTED_VALUE"""),18.575000000000003)</f>
        <v>18.575</v>
      </c>
      <c r="AD801" s="48">
        <f>IFERROR(__xludf.DUMMYFUNCTION("""COMPUTED_VALUE"""),277.0)</f>
        <v>277</v>
      </c>
      <c r="AE801" s="48">
        <f>IFERROR(__xludf.DUMMYFUNCTION("""COMPUTED_VALUE"""),271.0)</f>
        <v>271</v>
      </c>
      <c r="AF801" s="48">
        <f>IFERROR(__xludf.DUMMYFUNCTION("""COMPUTED_VALUE"""),269.0)</f>
        <v>269</v>
      </c>
      <c r="AG801" s="48">
        <f>IFERROR(__xludf.DUMMYFUNCTION("""COMPUTED_VALUE"""),275.0)</f>
        <v>275</v>
      </c>
      <c r="AH801" s="48"/>
      <c r="AI801" s="14">
        <f>IFERROR(__xludf.DUMMYFUNCTION("""COMPUTED_VALUE"""),273.0)</f>
        <v>273</v>
      </c>
      <c r="AJ801" s="14">
        <f>IFERROR(__xludf.DUMMYFUNCTION("""COMPUTED_VALUE"""),2.4)</f>
        <v>2.4</v>
      </c>
      <c r="AK801" s="14">
        <f>IFERROR(__xludf.DUMMYFUNCTION("""COMPUTED_VALUE"""),2.5)</f>
        <v>2.5</v>
      </c>
      <c r="AL801" s="14">
        <f>IFERROR(__xludf.DUMMYFUNCTION("""COMPUTED_VALUE"""),2.2)</f>
        <v>2.2</v>
      </c>
      <c r="AM801" s="14">
        <f>IFERROR(__xludf.DUMMYFUNCTION("""COMPUTED_VALUE"""),2.0)</f>
        <v>2</v>
      </c>
      <c r="AN801" s="14"/>
      <c r="AO801" s="14">
        <f>IFERROR(__xludf.DUMMYFUNCTION("""COMPUTED_VALUE"""),2.2750000000000004)</f>
        <v>2.275</v>
      </c>
      <c r="AP801" s="14">
        <f>IFERROR(__xludf.DUMMYFUNCTION("""COMPUTED_VALUE"""),18.0)</f>
        <v>18</v>
      </c>
      <c r="AQ801" s="14">
        <f>IFERROR(__xludf.DUMMYFUNCTION("""COMPUTED_VALUE"""),26.0)</f>
        <v>26</v>
      </c>
      <c r="AR801" s="14">
        <f>IFERROR(__xludf.DUMMYFUNCTION("""COMPUTED_VALUE"""),17.0)</f>
        <v>17</v>
      </c>
      <c r="AS801" s="14">
        <f>IFERROR(__xludf.DUMMYFUNCTION("""COMPUTED_VALUE"""),1.2)</f>
        <v>1.2</v>
      </c>
      <c r="AT801" s="14">
        <f>IFERROR(__xludf.DUMMYFUNCTION("""COMPUTED_VALUE"""),0.6)</f>
        <v>0.6</v>
      </c>
      <c r="AU801" s="14">
        <f>IFERROR(__xludf.DUMMYFUNCTION("""COMPUTED_VALUE"""),1.494E8)</f>
        <v>149400000</v>
      </c>
      <c r="AV801" s="14">
        <f>IFERROR(__xludf.DUMMYFUNCTION("""COMPUTED_VALUE"""),0.21)</f>
        <v>0.21</v>
      </c>
      <c r="AW801" s="14">
        <f>IFERROR(__xludf.DUMMYFUNCTION("""COMPUTED_VALUE"""),4.2)</f>
        <v>4.2</v>
      </c>
      <c r="AX801" s="14">
        <f>IFERROR(__xludf.DUMMYFUNCTION("""COMPUTED_VALUE"""),1.247E7)</f>
        <v>12470000</v>
      </c>
      <c r="AY801" s="14">
        <f>IFERROR(__xludf.DUMMYFUNCTION("""COMPUTED_VALUE"""),1.2)</f>
        <v>1.2</v>
      </c>
      <c r="AZ801" s="14">
        <f>IFERROR(__xludf.DUMMYFUNCTION("""COMPUTED_VALUE"""),0.113)</f>
        <v>0.113</v>
      </c>
      <c r="BA801" s="14">
        <f t="shared" si="1"/>
        <v>5.513</v>
      </c>
    </row>
    <row r="802" ht="14.25" customHeight="1">
      <c r="A802" s="10" t="str">
        <f>IFERROR(__xludf.DUMMYFUNCTION("""COMPUTED_VALUE"""),"100323MI01")</f>
        <v>100323MI01</v>
      </c>
      <c r="B802" s="12" t="str">
        <f>IFERROR(__xludf.DUMMYFUNCTION("""COMPUTED_VALUE"""),"CMO-Cantón Norte")</f>
        <v>CMO-Cantón Norte</v>
      </c>
      <c r="C802" s="12"/>
      <c r="D802" s="12"/>
      <c r="E802" s="44">
        <f>IFERROR(__xludf.DUMMYFUNCTION("""COMPUTED_VALUE"""),44995.0)</f>
        <v>44995</v>
      </c>
      <c r="F802" s="12" t="str">
        <f>IFERROR(__xludf.DUMMYFUNCTION("""COMPUTED_VALUE"""),"TIPO I")</f>
        <v>TIPO I</v>
      </c>
      <c r="G802" s="12" t="str">
        <f>IFERROR(__xludf.DUMMYFUNCTION("""COMPUTED_VALUE"""),"Estructura del canal en concreto, durante el monitoreo se observa color, no presenta olor, presencia de vegetacion cercana.
Altitud: 2600 msnm. ")</f>
        <v>Estructura del canal en concreto, durante el monitoreo se observa color, no presenta olor, presencia de vegetacion cercana.
Altitud: 2600 msnm. </v>
      </c>
      <c r="H802" s="45">
        <f>IFERROR(__xludf.DUMMYFUNCTION("""COMPUTED_VALUE"""),0.25)</f>
        <v>0.25</v>
      </c>
      <c r="I802" s="45">
        <f>IFERROR(__xludf.DUMMYFUNCTION("""COMPUTED_VALUE"""),0.3333333333321207)</f>
        <v>0.3333333333</v>
      </c>
      <c r="J802" s="12">
        <f>IFERROR(__xludf.DUMMYFUNCTION("""COMPUTED_VALUE"""),2.1)</f>
        <v>2.1</v>
      </c>
      <c r="K802" s="12">
        <f>IFERROR(__xludf.DUMMYFUNCTION("""COMPUTED_VALUE"""),0.24)</f>
        <v>0.24</v>
      </c>
      <c r="L802" s="14">
        <f>IFERROR(__xludf.DUMMYFUNCTION("""COMPUTED_VALUE"""),282.298)</f>
        <v>282.298</v>
      </c>
      <c r="M802" s="14">
        <f>IFERROR(__xludf.DUMMYFUNCTION("""COMPUTED_VALUE"""),287.602)</f>
        <v>287.602</v>
      </c>
      <c r="N802" s="14">
        <f>IFERROR(__xludf.DUMMYFUNCTION("""COMPUTED_VALUE"""),284.653)</f>
        <v>284.653</v>
      </c>
      <c r="O802" s="14">
        <f>IFERROR(__xludf.DUMMYFUNCTION("""COMPUTED_VALUE"""),285.879)</f>
        <v>285.879</v>
      </c>
      <c r="P802" s="14">
        <f>IFERROR(__xludf.DUMMYFUNCTION("""COMPUTED_VALUE"""),290.806)</f>
        <v>290.806</v>
      </c>
      <c r="Q802" s="14">
        <f>IFERROR(__xludf.DUMMYFUNCTION("""COMPUTED_VALUE"""),286.248)</f>
        <v>286.248</v>
      </c>
      <c r="R802" s="48">
        <f>IFERROR(__xludf.DUMMYFUNCTION("""COMPUTED_VALUE"""),7.37)</f>
        <v>7.37</v>
      </c>
      <c r="S802" s="48">
        <f>IFERROR(__xludf.DUMMYFUNCTION("""COMPUTED_VALUE"""),7.63)</f>
        <v>7.63</v>
      </c>
      <c r="T802" s="48">
        <f>IFERROR(__xludf.DUMMYFUNCTION("""COMPUTED_VALUE"""),7.68)</f>
        <v>7.68</v>
      </c>
      <c r="U802" s="48">
        <f>IFERROR(__xludf.DUMMYFUNCTION("""COMPUTED_VALUE"""),7.73)</f>
        <v>7.73</v>
      </c>
      <c r="V802" s="48">
        <f>IFERROR(__xludf.DUMMYFUNCTION("""COMPUTED_VALUE"""),7.63)</f>
        <v>7.63</v>
      </c>
      <c r="W802" s="14">
        <f>IFERROR(__xludf.DUMMYFUNCTION("""COMPUTED_VALUE"""),7.608)</f>
        <v>7.608</v>
      </c>
      <c r="X802" s="14">
        <f>IFERROR(__xludf.DUMMYFUNCTION("""COMPUTED_VALUE"""),15.2)</f>
        <v>15.2</v>
      </c>
      <c r="Y802" s="14">
        <f>IFERROR(__xludf.DUMMYFUNCTION("""COMPUTED_VALUE"""),15.0)</f>
        <v>15</v>
      </c>
      <c r="Z802" s="14">
        <f>IFERROR(__xludf.DUMMYFUNCTION("""COMPUTED_VALUE"""),15.2)</f>
        <v>15.2</v>
      </c>
      <c r="AA802" s="14">
        <f>IFERROR(__xludf.DUMMYFUNCTION("""COMPUTED_VALUE"""),15.4)</f>
        <v>15.4</v>
      </c>
      <c r="AB802" s="14">
        <f>IFERROR(__xludf.DUMMYFUNCTION("""COMPUTED_VALUE"""),15.2)</f>
        <v>15.2</v>
      </c>
      <c r="AC802" s="14">
        <f>IFERROR(__xludf.DUMMYFUNCTION("""COMPUTED_VALUE"""),15.2)</f>
        <v>15.2</v>
      </c>
      <c r="AD802" s="48">
        <f>IFERROR(__xludf.DUMMYFUNCTION("""COMPUTED_VALUE"""),176.8)</f>
        <v>176.8</v>
      </c>
      <c r="AE802" s="48">
        <f>IFERROR(__xludf.DUMMYFUNCTION("""COMPUTED_VALUE"""),166.9)</f>
        <v>166.9</v>
      </c>
      <c r="AF802" s="48">
        <f>IFERROR(__xludf.DUMMYFUNCTION("""COMPUTED_VALUE"""),165.8)</f>
        <v>165.8</v>
      </c>
      <c r="AG802" s="48">
        <f>IFERROR(__xludf.DUMMYFUNCTION("""COMPUTED_VALUE"""),156.0)</f>
        <v>156</v>
      </c>
      <c r="AH802" s="48">
        <f>IFERROR(__xludf.DUMMYFUNCTION("""COMPUTED_VALUE"""),178.9)</f>
        <v>178.9</v>
      </c>
      <c r="AI802" s="14">
        <f>IFERROR(__xludf.DUMMYFUNCTION("""COMPUTED_VALUE"""),168.88)</f>
        <v>168.88</v>
      </c>
      <c r="AJ802" s="14">
        <f>IFERROR(__xludf.DUMMYFUNCTION("""COMPUTED_VALUE"""),6.49)</f>
        <v>6.49</v>
      </c>
      <c r="AK802" s="14">
        <f>IFERROR(__xludf.DUMMYFUNCTION("""COMPUTED_VALUE"""),6.29)</f>
        <v>6.29</v>
      </c>
      <c r="AL802" s="14">
        <f>IFERROR(__xludf.DUMMYFUNCTION("""COMPUTED_VALUE"""),6.0)</f>
        <v>6</v>
      </c>
      <c r="AM802" s="14">
        <f>IFERROR(__xludf.DUMMYFUNCTION("""COMPUTED_VALUE"""),6.08)</f>
        <v>6.08</v>
      </c>
      <c r="AN802" s="14">
        <f>IFERROR(__xludf.DUMMYFUNCTION("""COMPUTED_VALUE"""),6.35)</f>
        <v>6.35</v>
      </c>
      <c r="AO802" s="14">
        <f>IFERROR(__xludf.DUMMYFUNCTION("""COMPUTED_VALUE"""),6.242)</f>
        <v>6.242</v>
      </c>
      <c r="AP802" s="14">
        <f>IFERROR(__xludf.DUMMYFUNCTION("""COMPUTED_VALUE"""),10.0)</f>
        <v>10</v>
      </c>
      <c r="AQ802" s="14">
        <f>IFERROR(__xludf.DUMMYFUNCTION("""COMPUTED_VALUE"""),14.0)</f>
        <v>14</v>
      </c>
      <c r="AR802" s="14">
        <f>IFERROR(__xludf.DUMMYFUNCTION("""COMPUTED_VALUE"""),9.0)</f>
        <v>9</v>
      </c>
      <c r="AS802" s="14">
        <f>IFERROR(__xludf.DUMMYFUNCTION("""COMPUTED_VALUE"""),1.2)</f>
        <v>1.2</v>
      </c>
      <c r="AT802" s="14">
        <f>IFERROR(__xludf.DUMMYFUNCTION("""COMPUTED_VALUE"""),0.07)</f>
        <v>0.07</v>
      </c>
      <c r="AU802" s="14">
        <f>IFERROR(__xludf.DUMMYFUNCTION("""COMPUTED_VALUE"""),1.494E7)</f>
        <v>14940000</v>
      </c>
      <c r="AV802" s="14">
        <f>IFERROR(__xludf.DUMMYFUNCTION("""COMPUTED_VALUE"""),0.18)</f>
        <v>0.18</v>
      </c>
      <c r="AW802" s="14">
        <f>IFERROR(__xludf.DUMMYFUNCTION("""COMPUTED_VALUE"""),3.4)</f>
        <v>3.4</v>
      </c>
      <c r="AX802" s="14">
        <f>IFERROR(__xludf.DUMMYFUNCTION("""COMPUTED_VALUE"""),1.311E7)</f>
        <v>13110000</v>
      </c>
      <c r="AY802" s="14">
        <f>IFERROR(__xludf.DUMMYFUNCTION("""COMPUTED_VALUE"""),2.0)</f>
        <v>2</v>
      </c>
      <c r="AZ802" s="14">
        <f>IFERROR(__xludf.DUMMYFUNCTION("""COMPUTED_VALUE"""),0.157)</f>
        <v>0.157</v>
      </c>
      <c r="BA802" s="14">
        <f t="shared" si="1"/>
        <v>5.557</v>
      </c>
    </row>
    <row r="803" ht="14.25" customHeight="1">
      <c r="A803" s="10" t="str">
        <f>IFERROR(__xludf.DUMMYFUNCTION("""COMPUTED_VALUE"""),"100323DU02")</f>
        <v>100323DU02</v>
      </c>
      <c r="B803" s="12" t="str">
        <f>IFERROR(__xludf.DUMMYFUNCTION("""COMPUTED_VALUE"""),"CMO-Alhambra")</f>
        <v>CMO-Alhambra</v>
      </c>
      <c r="C803" s="12"/>
      <c r="D803" s="12"/>
      <c r="E803" s="44">
        <f>IFERROR(__xludf.DUMMYFUNCTION("""COMPUTED_VALUE"""),44995.0)</f>
        <v>44995</v>
      </c>
      <c r="F803" s="12" t="str">
        <f>IFERROR(__xludf.DUMMYFUNCTION("""COMPUTED_VALUE"""),"TIPO I")</f>
        <v>TIPO I</v>
      </c>
      <c r="G803" s="12" t="str">
        <f>IFERROR(__xludf.DUMMYFUNCTION("""COMPUTED_VALUE"""),"Estructura del canal en concreto, durante el monitoreo se observa color y presencia de material flotante, se percibe olor en el cuerpo de agua. 
Altitud: 2581 msnm")</f>
        <v>Estructura del canal en concreto, durante el monitoreo se observa color y presencia de material flotante, se percibe olor en el cuerpo de agua. 
Altitud: 2581 msnm</v>
      </c>
      <c r="H803" s="45">
        <f>IFERROR(__xludf.DUMMYFUNCTION("""COMPUTED_VALUE"""),0.4166666666678793)</f>
        <v>0.4166666667</v>
      </c>
      <c r="I803" s="45">
        <f>IFERROR(__xludf.DUMMYFUNCTION("""COMPUTED_VALUE"""),0.5)</f>
        <v>0.5</v>
      </c>
      <c r="J803" s="12">
        <f>IFERROR(__xludf.DUMMYFUNCTION("""COMPUTED_VALUE"""),7.1)</f>
        <v>7.1</v>
      </c>
      <c r="K803" s="12">
        <f>IFERROR(__xludf.DUMMYFUNCTION("""COMPUTED_VALUE"""),0.27)</f>
        <v>0.27</v>
      </c>
      <c r="L803" s="14">
        <f>IFERROR(__xludf.DUMMYFUNCTION("""COMPUTED_VALUE"""),457.957)</f>
        <v>457.957</v>
      </c>
      <c r="M803" s="14">
        <f>IFERROR(__xludf.DUMMYFUNCTION("""COMPUTED_VALUE"""),455.92)</f>
        <v>455.92</v>
      </c>
      <c r="N803" s="14">
        <f>IFERROR(__xludf.DUMMYFUNCTION("""COMPUTED_VALUE"""),459.191)</f>
        <v>459.191</v>
      </c>
      <c r="O803" s="14">
        <f>IFERROR(__xludf.DUMMYFUNCTION("""COMPUTED_VALUE"""),461.653)</f>
        <v>461.653</v>
      </c>
      <c r="P803" s="14">
        <f>IFERROR(__xludf.DUMMYFUNCTION("""COMPUTED_VALUE"""),463.746)</f>
        <v>463.746</v>
      </c>
      <c r="Q803" s="14">
        <f>IFERROR(__xludf.DUMMYFUNCTION("""COMPUTED_VALUE"""),459.694)</f>
        <v>459.694</v>
      </c>
      <c r="R803" s="48">
        <f>IFERROR(__xludf.DUMMYFUNCTION("""COMPUTED_VALUE"""),7.54)</f>
        <v>7.54</v>
      </c>
      <c r="S803" s="48">
        <f>IFERROR(__xludf.DUMMYFUNCTION("""COMPUTED_VALUE"""),7.53)</f>
        <v>7.53</v>
      </c>
      <c r="T803" s="48">
        <f>IFERROR(__xludf.DUMMYFUNCTION("""COMPUTED_VALUE"""),7.63)</f>
        <v>7.63</v>
      </c>
      <c r="U803" s="48">
        <f>IFERROR(__xludf.DUMMYFUNCTION("""COMPUTED_VALUE"""),7.57)</f>
        <v>7.57</v>
      </c>
      <c r="V803" s="48">
        <f>IFERROR(__xludf.DUMMYFUNCTION("""COMPUTED_VALUE"""),7.53)</f>
        <v>7.53</v>
      </c>
      <c r="W803" s="14">
        <f>IFERROR(__xludf.DUMMYFUNCTION("""COMPUTED_VALUE"""),7.56)</f>
        <v>7.56</v>
      </c>
      <c r="X803" s="14">
        <f>IFERROR(__xludf.DUMMYFUNCTION("""COMPUTED_VALUE"""),17.7)</f>
        <v>17.7</v>
      </c>
      <c r="Y803" s="14">
        <f>IFERROR(__xludf.DUMMYFUNCTION("""COMPUTED_VALUE"""),18.0)</f>
        <v>18</v>
      </c>
      <c r="Z803" s="14">
        <f>IFERROR(__xludf.DUMMYFUNCTION("""COMPUTED_VALUE"""),18.6)</f>
        <v>18.6</v>
      </c>
      <c r="AA803" s="14">
        <f>IFERROR(__xludf.DUMMYFUNCTION("""COMPUTED_VALUE"""),18.9)</f>
        <v>18.9</v>
      </c>
      <c r="AB803" s="14">
        <f>IFERROR(__xludf.DUMMYFUNCTION("""COMPUTED_VALUE"""),19.3)</f>
        <v>19.3</v>
      </c>
      <c r="AC803" s="14">
        <f>IFERROR(__xludf.DUMMYFUNCTION("""COMPUTED_VALUE"""),18.5)</f>
        <v>18.5</v>
      </c>
      <c r="AD803" s="48">
        <f>IFERROR(__xludf.DUMMYFUNCTION("""COMPUTED_VALUE"""),263.0)</f>
        <v>263</v>
      </c>
      <c r="AE803" s="48">
        <f>IFERROR(__xludf.DUMMYFUNCTION("""COMPUTED_VALUE"""),263.0)</f>
        <v>263</v>
      </c>
      <c r="AF803" s="48">
        <f>IFERROR(__xludf.DUMMYFUNCTION("""COMPUTED_VALUE"""),287.0)</f>
        <v>287</v>
      </c>
      <c r="AG803" s="48">
        <f>IFERROR(__xludf.DUMMYFUNCTION("""COMPUTED_VALUE"""),279.0)</f>
        <v>279</v>
      </c>
      <c r="AH803" s="48">
        <f>IFERROR(__xludf.DUMMYFUNCTION("""COMPUTED_VALUE"""),283.0)</f>
        <v>283</v>
      </c>
      <c r="AI803" s="14">
        <f>IFERROR(__xludf.DUMMYFUNCTION("""COMPUTED_VALUE"""),275.0)</f>
        <v>275</v>
      </c>
      <c r="AJ803" s="14">
        <f>IFERROR(__xludf.DUMMYFUNCTION("""COMPUTED_VALUE"""),1.6)</f>
        <v>1.6</v>
      </c>
      <c r="AK803" s="14">
        <f>IFERROR(__xludf.DUMMYFUNCTION("""COMPUTED_VALUE"""),1.3)</f>
        <v>1.3</v>
      </c>
      <c r="AL803" s="14">
        <f>IFERROR(__xludf.DUMMYFUNCTION("""COMPUTED_VALUE"""),1.2)</f>
        <v>1.2</v>
      </c>
      <c r="AM803" s="14">
        <f>IFERROR(__xludf.DUMMYFUNCTION("""COMPUTED_VALUE"""),1.5)</f>
        <v>1.5</v>
      </c>
      <c r="AN803" s="14">
        <f>IFERROR(__xludf.DUMMYFUNCTION("""COMPUTED_VALUE"""),1.9)</f>
        <v>1.9</v>
      </c>
      <c r="AO803" s="14">
        <f>IFERROR(__xludf.DUMMYFUNCTION("""COMPUTED_VALUE"""),1.5)</f>
        <v>1.5</v>
      </c>
      <c r="AP803" s="14">
        <f>IFERROR(__xludf.DUMMYFUNCTION("""COMPUTED_VALUE"""),25.0)</f>
        <v>25</v>
      </c>
      <c r="AQ803" s="14">
        <f>IFERROR(__xludf.DUMMYFUNCTION("""COMPUTED_VALUE"""),36.0)</f>
        <v>36</v>
      </c>
      <c r="AR803" s="14">
        <f>IFERROR(__xludf.DUMMYFUNCTION("""COMPUTED_VALUE"""),46.0)</f>
        <v>46</v>
      </c>
      <c r="AS803" s="14">
        <f>IFERROR(__xludf.DUMMYFUNCTION("""COMPUTED_VALUE"""),28.0)</f>
        <v>28</v>
      </c>
      <c r="AT803" s="14">
        <f>IFERROR(__xludf.DUMMYFUNCTION("""COMPUTED_VALUE"""),0.44)</f>
        <v>0.44</v>
      </c>
      <c r="AU803" s="14">
        <f>IFERROR(__xludf.DUMMYFUNCTION("""COMPUTED_VALUE"""),1.691E7)</f>
        <v>16910000</v>
      </c>
      <c r="AV803" s="14">
        <f>IFERROR(__xludf.DUMMYFUNCTION("""COMPUTED_VALUE"""),0.95)</f>
        <v>0.95</v>
      </c>
      <c r="AW803" s="14">
        <f>IFERROR(__xludf.DUMMYFUNCTION("""COMPUTED_VALUE"""),6.7)</f>
        <v>6.7</v>
      </c>
      <c r="AX803" s="14">
        <f>IFERROR(__xludf.DUMMYFUNCTION("""COMPUTED_VALUE"""),143000.0)</f>
        <v>143000</v>
      </c>
      <c r="AY803" s="14">
        <f>IFERROR(__xludf.DUMMYFUNCTION("""COMPUTED_VALUE"""),0.6)</f>
        <v>0.6</v>
      </c>
      <c r="AZ803" s="14">
        <f>IFERROR(__xludf.DUMMYFUNCTION("""COMPUTED_VALUE"""),0.007)</f>
        <v>0.007</v>
      </c>
      <c r="BA803" s="14">
        <f t="shared" si="1"/>
        <v>7.307</v>
      </c>
    </row>
    <row r="804" ht="14.25" customHeight="1">
      <c r="A804" s="10" t="str">
        <f>IFERROR(__xludf.DUMMYFUNCTION("""COMPUTED_VALUE"""),"060323DU03")</f>
        <v>060323DU03</v>
      </c>
      <c r="B804" s="12" t="str">
        <f>IFERROR(__xludf.DUMMYFUNCTION("""COMPUTED_VALUE"""),"QCH-Cantarrana")</f>
        <v>QCH-Cantarrana</v>
      </c>
      <c r="C804" s="12"/>
      <c r="D804" s="12"/>
      <c r="E804" s="44">
        <f>IFERROR(__xludf.DUMMYFUNCTION("""COMPUTED_VALUE"""),44991.0)</f>
        <v>44991</v>
      </c>
      <c r="F804" s="12" t="str">
        <f>IFERROR(__xludf.DUMMYFUNCTION("""COMPUTED_VALUE"""),"TIPO I")</f>
        <v>TIPO I</v>
      </c>
      <c r="G804" s="12" t="str">
        <f>IFERROR(__xludf.DUMMYFUNCTION("""COMPUTED_VALUE"""),"Lecho rocoso arenoso, presenta color, olor, material flotante y vegetación aledaña.")</f>
        <v>Lecho rocoso arenoso, presenta color, olor, material flotante y vegetación aledaña.</v>
      </c>
      <c r="H804" s="45">
        <f>IFERROR(__xludf.DUMMYFUNCTION("""COMPUTED_VALUE"""),0.5)</f>
        <v>0.5</v>
      </c>
      <c r="I804" s="45">
        <f>IFERROR(__xludf.DUMMYFUNCTION("""COMPUTED_VALUE"""),0.5833333333321207)</f>
        <v>0.5833333333</v>
      </c>
      <c r="J804" s="12">
        <f>IFERROR(__xludf.DUMMYFUNCTION("""COMPUTED_VALUE"""),0.8)</f>
        <v>0.8</v>
      </c>
      <c r="K804" s="12">
        <f>IFERROR(__xludf.DUMMYFUNCTION("""COMPUTED_VALUE"""),0.43)</f>
        <v>0.43</v>
      </c>
      <c r="L804" s="14">
        <f>IFERROR(__xludf.DUMMYFUNCTION("""COMPUTED_VALUE"""),36.397)</f>
        <v>36.397</v>
      </c>
      <c r="M804" s="14">
        <f>IFERROR(__xludf.DUMMYFUNCTION("""COMPUTED_VALUE"""),36.187)</f>
        <v>36.187</v>
      </c>
      <c r="N804" s="14">
        <f>IFERROR(__xludf.DUMMYFUNCTION("""COMPUTED_VALUE"""),37.801)</f>
        <v>37.801</v>
      </c>
      <c r="O804" s="14">
        <f>IFERROR(__xludf.DUMMYFUNCTION("""COMPUTED_VALUE"""),38.987)</f>
        <v>38.987</v>
      </c>
      <c r="P804" s="14">
        <f>IFERROR(__xludf.DUMMYFUNCTION("""COMPUTED_VALUE"""),37.544)</f>
        <v>37.544</v>
      </c>
      <c r="Q804" s="14">
        <f>IFERROR(__xludf.DUMMYFUNCTION("""COMPUTED_VALUE"""),37.383)</f>
        <v>37.383</v>
      </c>
      <c r="R804" s="48">
        <f>IFERROR(__xludf.DUMMYFUNCTION("""COMPUTED_VALUE"""),7.61)</f>
        <v>7.61</v>
      </c>
      <c r="S804" s="48">
        <f>IFERROR(__xludf.DUMMYFUNCTION("""COMPUTED_VALUE"""),7.67)</f>
        <v>7.67</v>
      </c>
      <c r="T804" s="48">
        <f>IFERROR(__xludf.DUMMYFUNCTION("""COMPUTED_VALUE"""),7.74)</f>
        <v>7.74</v>
      </c>
      <c r="U804" s="48">
        <f>IFERROR(__xludf.DUMMYFUNCTION("""COMPUTED_VALUE"""),7.53)</f>
        <v>7.53</v>
      </c>
      <c r="V804" s="48">
        <f>IFERROR(__xludf.DUMMYFUNCTION("""COMPUTED_VALUE"""),7.84)</f>
        <v>7.84</v>
      </c>
      <c r="W804" s="14">
        <f>IFERROR(__xludf.DUMMYFUNCTION("""COMPUTED_VALUE"""),7.678)</f>
        <v>7.678</v>
      </c>
      <c r="X804" s="14">
        <f>IFERROR(__xludf.DUMMYFUNCTION("""COMPUTED_VALUE"""),20.8)</f>
        <v>20.8</v>
      </c>
      <c r="Y804" s="14">
        <f>IFERROR(__xludf.DUMMYFUNCTION("""COMPUTED_VALUE"""),20.6)</f>
        <v>20.6</v>
      </c>
      <c r="Z804" s="14">
        <f>IFERROR(__xludf.DUMMYFUNCTION("""COMPUTED_VALUE"""),20.8)</f>
        <v>20.8</v>
      </c>
      <c r="AA804" s="14">
        <f>IFERROR(__xludf.DUMMYFUNCTION("""COMPUTED_VALUE"""),20.9)</f>
        <v>20.9</v>
      </c>
      <c r="AB804" s="14">
        <f>IFERROR(__xludf.DUMMYFUNCTION("""COMPUTED_VALUE"""),20.6)</f>
        <v>20.6</v>
      </c>
      <c r="AC804" s="14">
        <f>IFERROR(__xludf.DUMMYFUNCTION("""COMPUTED_VALUE"""),20.74)</f>
        <v>20.74</v>
      </c>
      <c r="AD804" s="48">
        <f>IFERROR(__xludf.DUMMYFUNCTION("""COMPUTED_VALUE"""),651.0)</f>
        <v>651</v>
      </c>
      <c r="AE804" s="48">
        <f>IFERROR(__xludf.DUMMYFUNCTION("""COMPUTED_VALUE"""),582.0)</f>
        <v>582</v>
      </c>
      <c r="AF804" s="48">
        <f>IFERROR(__xludf.DUMMYFUNCTION("""COMPUTED_VALUE"""),576.0)</f>
        <v>576</v>
      </c>
      <c r="AG804" s="48">
        <f>IFERROR(__xludf.DUMMYFUNCTION("""COMPUTED_VALUE"""),589.0)</f>
        <v>589</v>
      </c>
      <c r="AH804" s="48">
        <f>IFERROR(__xludf.DUMMYFUNCTION("""COMPUTED_VALUE"""),755.0)</f>
        <v>755</v>
      </c>
      <c r="AI804" s="14">
        <f>IFERROR(__xludf.DUMMYFUNCTION("""COMPUTED_VALUE"""),630.6)</f>
        <v>630.6</v>
      </c>
      <c r="AJ804" s="14">
        <f>IFERROR(__xludf.DUMMYFUNCTION("""COMPUTED_VALUE"""),4.22)</f>
        <v>4.22</v>
      </c>
      <c r="AK804" s="14">
        <f>IFERROR(__xludf.DUMMYFUNCTION("""COMPUTED_VALUE"""),3.33)</f>
        <v>3.33</v>
      </c>
      <c r="AL804" s="14">
        <f>IFERROR(__xludf.DUMMYFUNCTION("""COMPUTED_VALUE"""),4.12)</f>
        <v>4.12</v>
      </c>
      <c r="AM804" s="14">
        <f>IFERROR(__xludf.DUMMYFUNCTION("""COMPUTED_VALUE"""),3.25)</f>
        <v>3.25</v>
      </c>
      <c r="AN804" s="14">
        <f>IFERROR(__xludf.DUMMYFUNCTION("""COMPUTED_VALUE"""),3.7)</f>
        <v>3.7</v>
      </c>
      <c r="AO804" s="14">
        <f>IFERROR(__xludf.DUMMYFUNCTION("""COMPUTED_VALUE"""),3.724)</f>
        <v>3.724</v>
      </c>
      <c r="AP804" s="14">
        <f>IFERROR(__xludf.DUMMYFUNCTION("""COMPUTED_VALUE"""),212.0)</f>
        <v>212</v>
      </c>
      <c r="AQ804" s="14">
        <f>IFERROR(__xludf.DUMMYFUNCTION("""COMPUTED_VALUE"""),284.0)</f>
        <v>284</v>
      </c>
      <c r="AR804" s="14">
        <f>IFERROR(__xludf.DUMMYFUNCTION("""COMPUTED_VALUE"""),395.0)</f>
        <v>395</v>
      </c>
      <c r="AS804" s="14">
        <f>IFERROR(__xludf.DUMMYFUNCTION("""COMPUTED_VALUE"""),45.0)</f>
        <v>45</v>
      </c>
      <c r="AT804" s="14">
        <f>IFERROR(__xludf.DUMMYFUNCTION("""COMPUTED_VALUE"""),4.87)</f>
        <v>4.87</v>
      </c>
      <c r="AU804" s="14">
        <f>IFERROR(__xludf.DUMMYFUNCTION("""COMPUTED_VALUE"""),1.016E7)</f>
        <v>10160000</v>
      </c>
      <c r="AV804" s="14">
        <f>IFERROR(__xludf.DUMMYFUNCTION("""COMPUTED_VALUE"""),2.69)</f>
        <v>2.69</v>
      </c>
      <c r="AW804" s="14">
        <f>IFERROR(__xludf.DUMMYFUNCTION("""COMPUTED_VALUE"""),16.8)</f>
        <v>16.8</v>
      </c>
      <c r="AX804" s="14">
        <f>IFERROR(__xludf.DUMMYFUNCTION("""COMPUTED_VALUE"""),1551000.0)</f>
        <v>1551000</v>
      </c>
      <c r="AY804" s="14">
        <f>IFERROR(__xludf.DUMMYFUNCTION("""COMPUTED_VALUE"""),2.3)</f>
        <v>2.3</v>
      </c>
      <c r="AZ804" s="14">
        <f>IFERROR(__xludf.DUMMYFUNCTION("""COMPUTED_VALUE"""),0.007)</f>
        <v>0.007</v>
      </c>
      <c r="BA804" s="14">
        <f t="shared" si="1"/>
        <v>19.107</v>
      </c>
    </row>
    <row r="805" ht="14.25" customHeight="1">
      <c r="A805" s="10" t="str">
        <f>IFERROR(__xludf.DUMMYFUNCTION("""COMPUTED_VALUE"""),"100323MI02")</f>
        <v>100323MI02</v>
      </c>
      <c r="B805" s="12" t="str">
        <f>IFERROR(__xludf.DUMMYFUNCTION("""COMPUTED_VALUE"""),"CMO-Santa Ana")</f>
        <v>CMO-Santa Ana</v>
      </c>
      <c r="C805" s="12"/>
      <c r="D805" s="12"/>
      <c r="E805" s="44">
        <f>IFERROR(__xludf.DUMMYFUNCTION("""COMPUTED_VALUE"""),44995.0)</f>
        <v>44995</v>
      </c>
      <c r="F805" s="12" t="str">
        <f>IFERROR(__xludf.DUMMYFUNCTION("""COMPUTED_VALUE"""),"TIPO I")</f>
        <v>TIPO I</v>
      </c>
      <c r="G805" s="12" t="str">
        <f>IFERROR(__xludf.DUMMYFUNCTION("""COMPUTED_VALUE"""),"Estructura del canal en concreto, durante el monitoreo se observa color y se percibe olor, presencia de vegetacion.
Altitud: 2575 msnm ")</f>
        <v>Estructura del canal en concreto, durante el monitoreo se observa color y se percibe olor, presencia de vegetacion.
Altitud: 2575 msnm </v>
      </c>
      <c r="H805" s="45">
        <f>IFERROR(__xludf.DUMMYFUNCTION("""COMPUTED_VALUE"""),0.4166666666678793)</f>
        <v>0.4166666667</v>
      </c>
      <c r="I805" s="45">
        <f>IFERROR(__xludf.DUMMYFUNCTION("""COMPUTED_VALUE"""),0.5)</f>
        <v>0.5</v>
      </c>
      <c r="J805" s="12">
        <f>IFERROR(__xludf.DUMMYFUNCTION("""COMPUTED_VALUE"""),3.4)</f>
        <v>3.4</v>
      </c>
      <c r="K805" s="12">
        <f>IFERROR(__xludf.DUMMYFUNCTION("""COMPUTED_VALUE"""),0.2)</f>
        <v>0.2</v>
      </c>
      <c r="L805" s="14">
        <f>IFERROR(__xludf.DUMMYFUNCTION("""COMPUTED_VALUE"""),320.351)</f>
        <v>320.351</v>
      </c>
      <c r="M805" s="14">
        <f>IFERROR(__xludf.DUMMYFUNCTION("""COMPUTED_VALUE"""),319.543)</f>
        <v>319.543</v>
      </c>
      <c r="N805" s="14">
        <f>IFERROR(__xludf.DUMMYFUNCTION("""COMPUTED_VALUE"""),320.071)</f>
        <v>320.071</v>
      </c>
      <c r="O805" s="14">
        <f>IFERROR(__xludf.DUMMYFUNCTION("""COMPUTED_VALUE"""),325.519)</f>
        <v>325.519</v>
      </c>
      <c r="P805" s="14">
        <f>IFERROR(__xludf.DUMMYFUNCTION("""COMPUTED_VALUE"""),328.74)</f>
        <v>328.74</v>
      </c>
      <c r="Q805" s="14">
        <f>IFERROR(__xludf.DUMMYFUNCTION("""COMPUTED_VALUE"""),322.845)</f>
        <v>322.845</v>
      </c>
      <c r="R805" s="48">
        <f>IFERROR(__xludf.DUMMYFUNCTION("""COMPUTED_VALUE"""),7.32)</f>
        <v>7.32</v>
      </c>
      <c r="S805" s="48">
        <f>IFERROR(__xludf.DUMMYFUNCTION("""COMPUTED_VALUE"""),7.37)</f>
        <v>7.37</v>
      </c>
      <c r="T805" s="48">
        <f>IFERROR(__xludf.DUMMYFUNCTION("""COMPUTED_VALUE"""),7.34)</f>
        <v>7.34</v>
      </c>
      <c r="U805" s="48">
        <f>IFERROR(__xludf.DUMMYFUNCTION("""COMPUTED_VALUE"""),7.24)</f>
        <v>7.24</v>
      </c>
      <c r="V805" s="48">
        <f>IFERROR(__xludf.DUMMYFUNCTION("""COMPUTED_VALUE"""),7.36)</f>
        <v>7.36</v>
      </c>
      <c r="W805" s="14">
        <f>IFERROR(__xludf.DUMMYFUNCTION("""COMPUTED_VALUE"""),7.3260000000000005)</f>
        <v>7.326</v>
      </c>
      <c r="X805" s="14">
        <f>IFERROR(__xludf.DUMMYFUNCTION("""COMPUTED_VALUE"""),18.2)</f>
        <v>18.2</v>
      </c>
      <c r="Y805" s="14">
        <f>IFERROR(__xludf.DUMMYFUNCTION("""COMPUTED_VALUE"""),18.2)</f>
        <v>18.2</v>
      </c>
      <c r="Z805" s="14">
        <f>IFERROR(__xludf.DUMMYFUNCTION("""COMPUTED_VALUE"""),18.4)</f>
        <v>18.4</v>
      </c>
      <c r="AA805" s="14">
        <f>IFERROR(__xludf.DUMMYFUNCTION("""COMPUTED_VALUE"""),18.7)</f>
        <v>18.7</v>
      </c>
      <c r="AB805" s="14">
        <f>IFERROR(__xludf.DUMMYFUNCTION("""COMPUTED_VALUE"""),18.4)</f>
        <v>18.4</v>
      </c>
      <c r="AC805" s="14">
        <f>IFERROR(__xludf.DUMMYFUNCTION("""COMPUTED_VALUE"""),18.380000000000003)</f>
        <v>18.38</v>
      </c>
      <c r="AD805" s="48">
        <f>IFERROR(__xludf.DUMMYFUNCTION("""COMPUTED_VALUE"""),205.0)</f>
        <v>205</v>
      </c>
      <c r="AE805" s="48">
        <f>IFERROR(__xludf.DUMMYFUNCTION("""COMPUTED_VALUE"""),216.0)</f>
        <v>216</v>
      </c>
      <c r="AF805" s="48">
        <f>IFERROR(__xludf.DUMMYFUNCTION("""COMPUTED_VALUE"""),220.0)</f>
        <v>220</v>
      </c>
      <c r="AG805" s="48">
        <f>IFERROR(__xludf.DUMMYFUNCTION("""COMPUTED_VALUE"""),212.0)</f>
        <v>212</v>
      </c>
      <c r="AH805" s="48">
        <f>IFERROR(__xludf.DUMMYFUNCTION("""COMPUTED_VALUE"""),236.0)</f>
        <v>236</v>
      </c>
      <c r="AI805" s="14">
        <f>IFERROR(__xludf.DUMMYFUNCTION("""COMPUTED_VALUE"""),217.8)</f>
        <v>217.8</v>
      </c>
      <c r="AJ805" s="14">
        <f>IFERROR(__xludf.DUMMYFUNCTION("""COMPUTED_VALUE"""),3.71)</f>
        <v>3.71</v>
      </c>
      <c r="AK805" s="14">
        <f>IFERROR(__xludf.DUMMYFUNCTION("""COMPUTED_VALUE"""),3.4)</f>
        <v>3.4</v>
      </c>
      <c r="AL805" s="14">
        <f>IFERROR(__xludf.DUMMYFUNCTION("""COMPUTED_VALUE"""),3.72)</f>
        <v>3.72</v>
      </c>
      <c r="AM805" s="14">
        <f>IFERROR(__xludf.DUMMYFUNCTION("""COMPUTED_VALUE"""),2.88)</f>
        <v>2.88</v>
      </c>
      <c r="AN805" s="14">
        <f>IFERROR(__xludf.DUMMYFUNCTION("""COMPUTED_VALUE"""),3.28)</f>
        <v>3.28</v>
      </c>
      <c r="AO805" s="14">
        <f>IFERROR(__xludf.DUMMYFUNCTION("""COMPUTED_VALUE"""),3.3980000000000006)</f>
        <v>3.398</v>
      </c>
      <c r="AP805" s="14">
        <f>IFERROR(__xludf.DUMMYFUNCTION("""COMPUTED_VALUE"""),19.0)</f>
        <v>19</v>
      </c>
      <c r="AQ805" s="14">
        <f>IFERROR(__xludf.DUMMYFUNCTION("""COMPUTED_VALUE"""),28.0)</f>
        <v>28</v>
      </c>
      <c r="AR805" s="14">
        <f>IFERROR(__xludf.DUMMYFUNCTION("""COMPUTED_VALUE"""),31.0)</f>
        <v>31</v>
      </c>
      <c r="AS805" s="14">
        <f>IFERROR(__xludf.DUMMYFUNCTION("""COMPUTED_VALUE"""),25.0)</f>
        <v>25</v>
      </c>
      <c r="AT805" s="14">
        <f>IFERROR(__xludf.DUMMYFUNCTION("""COMPUTED_VALUE"""),0.18)</f>
        <v>0.18</v>
      </c>
      <c r="AU805" s="14">
        <f>IFERROR(__xludf.DUMMYFUNCTION("""COMPUTED_VALUE"""),1.412E7)</f>
        <v>14120000</v>
      </c>
      <c r="AV805" s="14">
        <f>IFERROR(__xludf.DUMMYFUNCTION("""COMPUTED_VALUE"""),0.59)</f>
        <v>0.59</v>
      </c>
      <c r="AW805" s="14">
        <f>IFERROR(__xludf.DUMMYFUNCTION("""COMPUTED_VALUE"""),7.8)</f>
        <v>7.8</v>
      </c>
      <c r="AX805" s="14">
        <f>IFERROR(__xludf.DUMMYFUNCTION("""COMPUTED_VALUE"""),1.247E7)</f>
        <v>12470000</v>
      </c>
      <c r="AY805" s="14">
        <f>IFERROR(__xludf.DUMMYFUNCTION("""COMPUTED_VALUE"""),1.1)</f>
        <v>1.1</v>
      </c>
      <c r="AZ805" s="14">
        <f>IFERROR(__xludf.DUMMYFUNCTION("""COMPUTED_VALUE"""),0.354)</f>
        <v>0.354</v>
      </c>
      <c r="BA805" s="14">
        <f t="shared" si="1"/>
        <v>9.254</v>
      </c>
    </row>
    <row r="806" ht="14.25" customHeight="1">
      <c r="A806" s="10" t="str">
        <f>IFERROR(__xludf.DUMMYFUNCTION("""COMPUTED_VALUE"""),"090323WI04")</f>
        <v>090323WI04</v>
      </c>
      <c r="B806" s="12" t="str">
        <f>IFERROR(__xludf.DUMMYFUNCTION("""COMPUTED_VALUE"""),"COR-Victoria Norte")</f>
        <v>COR-Victoria Norte</v>
      </c>
      <c r="C806" s="12"/>
      <c r="D806" s="12"/>
      <c r="E806" s="44">
        <f>IFERROR(__xludf.DUMMYFUNCTION("""COMPUTED_VALUE"""),44994.0)</f>
        <v>44994</v>
      </c>
      <c r="F806" s="12" t="str">
        <f>IFERROR(__xludf.DUMMYFUNCTION("""COMPUTED_VALUE"""),"TIPO I")</f>
        <v>TIPO I</v>
      </c>
      <c r="G806" s="12" t="str">
        <f>IFERROR(__xludf.DUMMYFUNCTION("""COMPUTED_VALUE"""),"Estructura del canal en concreto, durante el monitoreo se observa color y se percibe olor, presencia de residuos solidos y sedimentos en el lecho.
Altitud: 2562 msnm. ")</f>
        <v>Estructura del canal en concreto, durante el monitoreo se observa color y se percibe olor, presencia de residuos solidos y sedimentos en el lecho.
Altitud: 2562 msnm. </v>
      </c>
      <c r="H806" s="45">
        <f>IFERROR(__xludf.DUMMYFUNCTION("""COMPUTED_VALUE"""),0.5)</f>
        <v>0.5</v>
      </c>
      <c r="I806" s="45">
        <f>IFERROR(__xludf.DUMMYFUNCTION("""COMPUTED_VALUE"""),0.5833333333321207)</f>
        <v>0.5833333333</v>
      </c>
      <c r="J806" s="12">
        <f>IFERROR(__xludf.DUMMYFUNCTION("""COMPUTED_VALUE"""),4.5)</f>
        <v>4.5</v>
      </c>
      <c r="K806" s="12">
        <f>IFERROR(__xludf.DUMMYFUNCTION("""COMPUTED_VALUE"""),0.21)</f>
        <v>0.21</v>
      </c>
      <c r="L806" s="14">
        <f>IFERROR(__xludf.DUMMYFUNCTION("""COMPUTED_VALUE"""),295.646)</f>
        <v>295.646</v>
      </c>
      <c r="M806" s="14">
        <f>IFERROR(__xludf.DUMMYFUNCTION("""COMPUTED_VALUE"""),294.229)</f>
        <v>294.229</v>
      </c>
      <c r="N806" s="14">
        <f>IFERROR(__xludf.DUMMYFUNCTION("""COMPUTED_VALUE"""),293.692)</f>
        <v>293.692</v>
      </c>
      <c r="O806" s="14">
        <f>IFERROR(__xludf.DUMMYFUNCTION("""COMPUTED_VALUE"""),291.757)</f>
        <v>291.757</v>
      </c>
      <c r="P806" s="14">
        <f>IFERROR(__xludf.DUMMYFUNCTION("""COMPUTED_VALUE"""),291.465)</f>
        <v>291.465</v>
      </c>
      <c r="Q806" s="14">
        <f>IFERROR(__xludf.DUMMYFUNCTION("""COMPUTED_VALUE"""),293.358)</f>
        <v>293.358</v>
      </c>
      <c r="R806" s="48">
        <f>IFERROR(__xludf.DUMMYFUNCTION("""COMPUTED_VALUE"""),7.27)</f>
        <v>7.27</v>
      </c>
      <c r="S806" s="48">
        <f>IFERROR(__xludf.DUMMYFUNCTION("""COMPUTED_VALUE"""),7.32)</f>
        <v>7.32</v>
      </c>
      <c r="T806" s="48">
        <f>IFERROR(__xludf.DUMMYFUNCTION("""COMPUTED_VALUE"""),7.21)</f>
        <v>7.21</v>
      </c>
      <c r="U806" s="48">
        <f>IFERROR(__xludf.DUMMYFUNCTION("""COMPUTED_VALUE"""),7.16)</f>
        <v>7.16</v>
      </c>
      <c r="V806" s="48">
        <f>IFERROR(__xludf.DUMMYFUNCTION("""COMPUTED_VALUE"""),7.31)</f>
        <v>7.31</v>
      </c>
      <c r="W806" s="14">
        <f>IFERROR(__xludf.DUMMYFUNCTION("""COMPUTED_VALUE"""),7.2540000000000004)</f>
        <v>7.254</v>
      </c>
      <c r="X806" s="14">
        <f>IFERROR(__xludf.DUMMYFUNCTION("""COMPUTED_VALUE"""),18.4)</f>
        <v>18.4</v>
      </c>
      <c r="Y806" s="14">
        <f>IFERROR(__xludf.DUMMYFUNCTION("""COMPUTED_VALUE"""),18.1)</f>
        <v>18.1</v>
      </c>
      <c r="Z806" s="14">
        <f>IFERROR(__xludf.DUMMYFUNCTION("""COMPUTED_VALUE"""),18.0)</f>
        <v>18</v>
      </c>
      <c r="AA806" s="14">
        <f>IFERROR(__xludf.DUMMYFUNCTION("""COMPUTED_VALUE"""),18.2)</f>
        <v>18.2</v>
      </c>
      <c r="AB806" s="14">
        <f>IFERROR(__xludf.DUMMYFUNCTION("""COMPUTED_VALUE"""),18.2)</f>
        <v>18.2</v>
      </c>
      <c r="AC806" s="14">
        <f>IFERROR(__xludf.DUMMYFUNCTION("""COMPUTED_VALUE"""),18.18)</f>
        <v>18.18</v>
      </c>
      <c r="AD806" s="48">
        <f>IFERROR(__xludf.DUMMYFUNCTION("""COMPUTED_VALUE"""),166.0)</f>
        <v>166</v>
      </c>
      <c r="AE806" s="48">
        <f>IFERROR(__xludf.DUMMYFUNCTION("""COMPUTED_VALUE"""),168.2)</f>
        <v>168.2</v>
      </c>
      <c r="AF806" s="48">
        <f>IFERROR(__xludf.DUMMYFUNCTION("""COMPUTED_VALUE"""),196.0)</f>
        <v>196</v>
      </c>
      <c r="AG806" s="48">
        <f>IFERROR(__xludf.DUMMYFUNCTION("""COMPUTED_VALUE"""),171.5)</f>
        <v>171.5</v>
      </c>
      <c r="AH806" s="48">
        <f>IFERROR(__xludf.DUMMYFUNCTION("""COMPUTED_VALUE"""),168.2)</f>
        <v>168.2</v>
      </c>
      <c r="AI806" s="14">
        <f>IFERROR(__xludf.DUMMYFUNCTION("""COMPUTED_VALUE"""),173.98000000000002)</f>
        <v>173.98</v>
      </c>
      <c r="AJ806" s="14">
        <f>IFERROR(__xludf.DUMMYFUNCTION("""COMPUTED_VALUE"""),1.9)</f>
        <v>1.9</v>
      </c>
      <c r="AK806" s="14">
        <f>IFERROR(__xludf.DUMMYFUNCTION("""COMPUTED_VALUE"""),1.8)</f>
        <v>1.8</v>
      </c>
      <c r="AL806" s="14">
        <f>IFERROR(__xludf.DUMMYFUNCTION("""COMPUTED_VALUE"""),1.9)</f>
        <v>1.9</v>
      </c>
      <c r="AM806" s="14">
        <f>IFERROR(__xludf.DUMMYFUNCTION("""COMPUTED_VALUE"""),1.6)</f>
        <v>1.6</v>
      </c>
      <c r="AN806" s="14">
        <f>IFERROR(__xludf.DUMMYFUNCTION("""COMPUTED_VALUE"""),1.7)</f>
        <v>1.7</v>
      </c>
      <c r="AO806" s="14">
        <f>IFERROR(__xludf.DUMMYFUNCTION("""COMPUTED_VALUE"""),1.7799999999999998)</f>
        <v>1.78</v>
      </c>
      <c r="AP806" s="14">
        <f>IFERROR(__xludf.DUMMYFUNCTION("""COMPUTED_VALUE"""),14.0)</f>
        <v>14</v>
      </c>
      <c r="AQ806" s="14">
        <f>IFERROR(__xludf.DUMMYFUNCTION("""COMPUTED_VALUE"""),21.0)</f>
        <v>21</v>
      </c>
      <c r="AR806" s="14">
        <f>IFERROR(__xludf.DUMMYFUNCTION("""COMPUTED_VALUE"""),70.0)</f>
        <v>70</v>
      </c>
      <c r="AS806" s="14">
        <f>IFERROR(__xludf.DUMMYFUNCTION("""COMPUTED_VALUE"""),1.2)</f>
        <v>1.2</v>
      </c>
      <c r="AT806" s="14">
        <f>IFERROR(__xludf.DUMMYFUNCTION("""COMPUTED_VALUE"""),0.07)</f>
        <v>0.07</v>
      </c>
      <c r="AU806" s="14">
        <f>IFERROR(__xludf.DUMMYFUNCTION("""COMPUTED_VALUE"""),1.353E7)</f>
        <v>13530000</v>
      </c>
      <c r="AV806" s="14">
        <f>IFERROR(__xludf.DUMMYFUNCTION("""COMPUTED_VALUE"""),0.19)</f>
        <v>0.19</v>
      </c>
      <c r="AW806" s="14">
        <f>IFERROR(__xludf.DUMMYFUNCTION("""COMPUTED_VALUE"""),2.2)</f>
        <v>2.2</v>
      </c>
      <c r="AX806" s="14">
        <f>IFERROR(__xludf.DUMMYFUNCTION("""COMPUTED_VALUE"""),1257000.0)</f>
        <v>1257000</v>
      </c>
      <c r="AY806" s="14">
        <f>IFERROR(__xludf.DUMMYFUNCTION("""COMPUTED_VALUE"""),1.5)</f>
        <v>1.5</v>
      </c>
      <c r="AZ806" s="14">
        <f>IFERROR(__xludf.DUMMYFUNCTION("""COMPUTED_VALUE"""),0.131)</f>
        <v>0.131</v>
      </c>
      <c r="BA806" s="14">
        <f t="shared" si="1"/>
        <v>3.831</v>
      </c>
    </row>
    <row r="807" ht="14.25" customHeight="1">
      <c r="A807" s="10" t="str">
        <f>IFERROR(__xludf.DUMMYFUNCTION("""COMPUTED_VALUE"""),"100323DU01")</f>
        <v>100323DU01</v>
      </c>
      <c r="B807" s="12" t="str">
        <f>IFERROR(__xludf.DUMMYFUNCTION("""COMPUTED_VALUE"""),"CMO-Pepe Sierra")</f>
        <v>CMO-Pepe Sierra</v>
      </c>
      <c r="C807" s="12"/>
      <c r="D807" s="12"/>
      <c r="E807" s="44">
        <f>IFERROR(__xludf.DUMMYFUNCTION("""COMPUTED_VALUE"""),44995.0)</f>
        <v>44995</v>
      </c>
      <c r="F807" s="12" t="str">
        <f>IFERROR(__xludf.DUMMYFUNCTION("""COMPUTED_VALUE"""),"TIPO I")</f>
        <v>TIPO I</v>
      </c>
      <c r="G807" s="12" t="str">
        <f>IFERROR(__xludf.DUMMYFUNCTION("""COMPUTED_VALUE"""),"Estructura del canal en concreto, durante el monitoreo se observa color y se percibe olor, presencia de material flotante, iridiscencia.
Altitud: 2585 msnm. ")</f>
        <v>Estructura del canal en concreto, durante el monitoreo se observa color y se percibe olor, presencia de material flotante, iridiscencia.
Altitud: 2585 msnm. </v>
      </c>
      <c r="H807" s="45">
        <f>IFERROR(__xludf.DUMMYFUNCTION("""COMPUTED_VALUE"""),0.25)</f>
        <v>0.25</v>
      </c>
      <c r="I807" s="45">
        <f>IFERROR(__xludf.DUMMYFUNCTION("""COMPUTED_VALUE"""),0.3333333333321207)</f>
        <v>0.3333333333</v>
      </c>
      <c r="J807" s="12">
        <f>IFERROR(__xludf.DUMMYFUNCTION("""COMPUTED_VALUE"""),7.2)</f>
        <v>7.2</v>
      </c>
      <c r="K807" s="12">
        <f>IFERROR(__xludf.DUMMYFUNCTION("""COMPUTED_VALUE"""),0.18)</f>
        <v>0.18</v>
      </c>
      <c r="L807" s="14">
        <f>IFERROR(__xludf.DUMMYFUNCTION("""COMPUTED_VALUE"""),264.726)</f>
        <v>264.726</v>
      </c>
      <c r="M807" s="14">
        <f>IFERROR(__xludf.DUMMYFUNCTION("""COMPUTED_VALUE"""),268.736)</f>
        <v>268.736</v>
      </c>
      <c r="N807" s="14">
        <f>IFERROR(__xludf.DUMMYFUNCTION("""COMPUTED_VALUE"""),265.837)</f>
        <v>265.837</v>
      </c>
      <c r="O807" s="14">
        <f>IFERROR(__xludf.DUMMYFUNCTION("""COMPUTED_VALUE"""),267.716)</f>
        <v>267.716</v>
      </c>
      <c r="P807" s="14">
        <f>IFERROR(__xludf.DUMMYFUNCTION("""COMPUTED_VALUE"""),269.719)</f>
        <v>269.719</v>
      </c>
      <c r="Q807" s="14">
        <f>IFERROR(__xludf.DUMMYFUNCTION("""COMPUTED_VALUE"""),267.347)</f>
        <v>267.347</v>
      </c>
      <c r="R807" s="48">
        <f>IFERROR(__xludf.DUMMYFUNCTION("""COMPUTED_VALUE"""),7.41)</f>
        <v>7.41</v>
      </c>
      <c r="S807" s="48">
        <f>IFERROR(__xludf.DUMMYFUNCTION("""COMPUTED_VALUE"""),7.5)</f>
        <v>7.5</v>
      </c>
      <c r="T807" s="48">
        <f>IFERROR(__xludf.DUMMYFUNCTION("""COMPUTED_VALUE"""),7.58)</f>
        <v>7.58</v>
      </c>
      <c r="U807" s="48">
        <f>IFERROR(__xludf.DUMMYFUNCTION("""COMPUTED_VALUE"""),7.46)</f>
        <v>7.46</v>
      </c>
      <c r="V807" s="48">
        <f>IFERROR(__xludf.DUMMYFUNCTION("""COMPUTED_VALUE"""),7.51)</f>
        <v>7.51</v>
      </c>
      <c r="W807" s="14">
        <f>IFERROR(__xludf.DUMMYFUNCTION("""COMPUTED_VALUE"""),7.492)</f>
        <v>7.492</v>
      </c>
      <c r="X807" s="14">
        <f>IFERROR(__xludf.DUMMYFUNCTION("""COMPUTED_VALUE"""),14.9)</f>
        <v>14.9</v>
      </c>
      <c r="Y807" s="14">
        <f>IFERROR(__xludf.DUMMYFUNCTION("""COMPUTED_VALUE"""),14.4)</f>
        <v>14.4</v>
      </c>
      <c r="Z807" s="14">
        <f>IFERROR(__xludf.DUMMYFUNCTION("""COMPUTED_VALUE"""),14.7)</f>
        <v>14.7</v>
      </c>
      <c r="AA807" s="14">
        <f>IFERROR(__xludf.DUMMYFUNCTION("""COMPUTED_VALUE"""),14.6)</f>
        <v>14.6</v>
      </c>
      <c r="AB807" s="14">
        <f>IFERROR(__xludf.DUMMYFUNCTION("""COMPUTED_VALUE"""),15.4)</f>
        <v>15.4</v>
      </c>
      <c r="AC807" s="14">
        <f>IFERROR(__xludf.DUMMYFUNCTION("""COMPUTED_VALUE"""),14.8)</f>
        <v>14.8</v>
      </c>
      <c r="AD807" s="48">
        <f>IFERROR(__xludf.DUMMYFUNCTION("""COMPUTED_VALUE"""),234.0)</f>
        <v>234</v>
      </c>
      <c r="AE807" s="48">
        <f>IFERROR(__xludf.DUMMYFUNCTION("""COMPUTED_VALUE"""),237.0)</f>
        <v>237</v>
      </c>
      <c r="AF807" s="48">
        <f>IFERROR(__xludf.DUMMYFUNCTION("""COMPUTED_VALUE"""),253.0)</f>
        <v>253</v>
      </c>
      <c r="AG807" s="48">
        <f>IFERROR(__xludf.DUMMYFUNCTION("""COMPUTED_VALUE"""),249.0)</f>
        <v>249</v>
      </c>
      <c r="AH807" s="48">
        <f>IFERROR(__xludf.DUMMYFUNCTION("""COMPUTED_VALUE"""),236.0)</f>
        <v>236</v>
      </c>
      <c r="AI807" s="14">
        <f>IFERROR(__xludf.DUMMYFUNCTION("""COMPUTED_VALUE"""),241.8)</f>
        <v>241.8</v>
      </c>
      <c r="AJ807" s="14">
        <f>IFERROR(__xludf.DUMMYFUNCTION("""COMPUTED_VALUE"""),1.3)</f>
        <v>1.3</v>
      </c>
      <c r="AK807" s="14">
        <f>IFERROR(__xludf.DUMMYFUNCTION("""COMPUTED_VALUE"""),1.1)</f>
        <v>1.1</v>
      </c>
      <c r="AL807" s="14">
        <f>IFERROR(__xludf.DUMMYFUNCTION("""COMPUTED_VALUE"""),1.2)</f>
        <v>1.2</v>
      </c>
      <c r="AM807" s="14">
        <f>IFERROR(__xludf.DUMMYFUNCTION("""COMPUTED_VALUE"""),1.3)</f>
        <v>1.3</v>
      </c>
      <c r="AN807" s="14">
        <f>IFERROR(__xludf.DUMMYFUNCTION("""COMPUTED_VALUE"""),1.7)</f>
        <v>1.7</v>
      </c>
      <c r="AO807" s="14">
        <f>IFERROR(__xludf.DUMMYFUNCTION("""COMPUTED_VALUE"""),1.32)</f>
        <v>1.32</v>
      </c>
      <c r="AP807" s="14">
        <f>IFERROR(__xludf.DUMMYFUNCTION("""COMPUTED_VALUE"""),17.0)</f>
        <v>17</v>
      </c>
      <c r="AQ807" s="14">
        <f>IFERROR(__xludf.DUMMYFUNCTION("""COMPUTED_VALUE"""),24.0)</f>
        <v>24</v>
      </c>
      <c r="AR807" s="14">
        <f>IFERROR(__xludf.DUMMYFUNCTION("""COMPUTED_VALUE"""),59.0)</f>
        <v>59</v>
      </c>
      <c r="AS807" s="14">
        <f>IFERROR(__xludf.DUMMYFUNCTION("""COMPUTED_VALUE"""),23.0)</f>
        <v>23</v>
      </c>
      <c r="AT807" s="14">
        <f>IFERROR(__xludf.DUMMYFUNCTION("""COMPUTED_VALUE"""),0.07)</f>
        <v>0.07</v>
      </c>
      <c r="AU807" s="14">
        <f>IFERROR(__xludf.DUMMYFUNCTION("""COMPUTED_VALUE"""),1.551E7)</f>
        <v>15510000</v>
      </c>
      <c r="AV807" s="14">
        <f>IFERROR(__xludf.DUMMYFUNCTION("""COMPUTED_VALUE"""),0.79)</f>
        <v>0.79</v>
      </c>
      <c r="AW807" s="14">
        <f>IFERROR(__xludf.DUMMYFUNCTION("""COMPUTED_VALUE"""),9.2)</f>
        <v>9.2</v>
      </c>
      <c r="AX807" s="14">
        <f>IFERROR(__xludf.DUMMYFUNCTION("""COMPUTED_VALUE"""),1353000.0)</f>
        <v>1353000</v>
      </c>
      <c r="AY807" s="14">
        <f>IFERROR(__xludf.DUMMYFUNCTION("""COMPUTED_VALUE"""),1.4)</f>
        <v>1.4</v>
      </c>
      <c r="AZ807" s="14">
        <f>IFERROR(__xludf.DUMMYFUNCTION("""COMPUTED_VALUE"""),0.254)</f>
        <v>0.254</v>
      </c>
      <c r="BA807" s="14">
        <f t="shared" si="1"/>
        <v>10.854</v>
      </c>
    </row>
    <row r="808" ht="14.25" customHeight="1">
      <c r="A808" s="10" t="str">
        <f>IFERROR(__xludf.DUMMYFUNCTION("""COMPUTED_VALUE"""),"090323FE01")</f>
        <v>090323FE01</v>
      </c>
      <c r="B808" s="12" t="str">
        <f>IFERROR(__xludf.DUMMYFUNCTION("""COMPUTED_VALUE"""),"COR-Prado Veraniego")</f>
        <v>COR-Prado Veraniego</v>
      </c>
      <c r="C808" s="12"/>
      <c r="D808" s="12"/>
      <c r="E808" s="44">
        <f>IFERROR(__xludf.DUMMYFUNCTION("""COMPUTED_VALUE"""),44994.0)</f>
        <v>44994</v>
      </c>
      <c r="F808" s="12" t="str">
        <f>IFERROR(__xludf.DUMMYFUNCTION("""COMPUTED_VALUE"""),"TIPO I")</f>
        <v>TIPO I</v>
      </c>
      <c r="G808" s="12" t="str">
        <f>IFERROR(__xludf.DUMMYFUNCTION("""COMPUTED_VALUE"""),"Canal en concreto con presencia de lodo en el lecho. Se observa color y se percibe olor. Se presentan fuertes lluvias en la quinta alícuota. ")</f>
        <v>Canal en concreto con presencia de lodo en el lecho. Se observa color y se percibe olor. Se presentan fuertes lluvias en la quinta alícuota. </v>
      </c>
      <c r="H808" s="45">
        <f>IFERROR(__xludf.DUMMYFUNCTION("""COMPUTED_VALUE"""),0.25)</f>
        <v>0.25</v>
      </c>
      <c r="I808" s="45">
        <f>IFERROR(__xludf.DUMMYFUNCTION("""COMPUTED_VALUE"""),0.3333333333321207)</f>
        <v>0.3333333333</v>
      </c>
      <c r="J808" s="12">
        <f>IFERROR(__xludf.DUMMYFUNCTION("""COMPUTED_VALUE"""),4.0)</f>
        <v>4</v>
      </c>
      <c r="K808" s="12">
        <f>IFERROR(__xludf.DUMMYFUNCTION("""COMPUTED_VALUE"""),0.18)</f>
        <v>0.18</v>
      </c>
      <c r="L808" s="14">
        <f>IFERROR(__xludf.DUMMYFUNCTION("""COMPUTED_VALUE"""),113.9)</f>
        <v>113.9</v>
      </c>
      <c r="M808" s="14">
        <f>IFERROR(__xludf.DUMMYFUNCTION("""COMPUTED_VALUE"""),117.133)</f>
        <v>117.133</v>
      </c>
      <c r="N808" s="14">
        <f>IFERROR(__xludf.DUMMYFUNCTION("""COMPUTED_VALUE"""),119.852)</f>
        <v>119.852</v>
      </c>
      <c r="O808" s="14">
        <f>IFERROR(__xludf.DUMMYFUNCTION("""COMPUTED_VALUE"""),120.089)</f>
        <v>120.089</v>
      </c>
      <c r="P808" s="14"/>
      <c r="Q808" s="14">
        <f>IFERROR(__xludf.DUMMYFUNCTION("""COMPUTED_VALUE"""),117.743)</f>
        <v>117.743</v>
      </c>
      <c r="R808" s="48">
        <f>IFERROR(__xludf.DUMMYFUNCTION("""COMPUTED_VALUE"""),7.41)</f>
        <v>7.41</v>
      </c>
      <c r="S808" s="48">
        <f>IFERROR(__xludf.DUMMYFUNCTION("""COMPUTED_VALUE"""),6.95)</f>
        <v>6.95</v>
      </c>
      <c r="T808" s="48">
        <f>IFERROR(__xludf.DUMMYFUNCTION("""COMPUTED_VALUE"""),7.14)</f>
        <v>7.14</v>
      </c>
      <c r="U808" s="48">
        <f>IFERROR(__xludf.DUMMYFUNCTION("""COMPUTED_VALUE"""),6.94)</f>
        <v>6.94</v>
      </c>
      <c r="V808" s="48"/>
      <c r="W808" s="14">
        <f>IFERROR(__xludf.DUMMYFUNCTION("""COMPUTED_VALUE"""),7.11)</f>
        <v>7.11</v>
      </c>
      <c r="X808" s="14">
        <f>IFERROR(__xludf.DUMMYFUNCTION("""COMPUTED_VALUE"""),18.7)</f>
        <v>18.7</v>
      </c>
      <c r="Y808" s="14">
        <f>IFERROR(__xludf.DUMMYFUNCTION("""COMPUTED_VALUE"""),18.3)</f>
        <v>18.3</v>
      </c>
      <c r="Z808" s="14">
        <f>IFERROR(__xludf.DUMMYFUNCTION("""COMPUTED_VALUE"""),18.7)</f>
        <v>18.7</v>
      </c>
      <c r="AA808" s="14">
        <f>IFERROR(__xludf.DUMMYFUNCTION("""COMPUTED_VALUE"""),18.8)</f>
        <v>18.8</v>
      </c>
      <c r="AB808" s="14"/>
      <c r="AC808" s="14">
        <f>IFERROR(__xludf.DUMMYFUNCTION("""COMPUTED_VALUE"""),18.625)</f>
        <v>18.625</v>
      </c>
      <c r="AD808" s="48">
        <f>IFERROR(__xludf.DUMMYFUNCTION("""COMPUTED_VALUE"""),282.0)</f>
        <v>282</v>
      </c>
      <c r="AE808" s="48">
        <f>IFERROR(__xludf.DUMMYFUNCTION("""COMPUTED_VALUE"""),302.0)</f>
        <v>302</v>
      </c>
      <c r="AF808" s="48">
        <f>IFERROR(__xludf.DUMMYFUNCTION("""COMPUTED_VALUE"""),295.0)</f>
        <v>295</v>
      </c>
      <c r="AG808" s="48">
        <f>IFERROR(__xludf.DUMMYFUNCTION("""COMPUTED_VALUE"""),312.0)</f>
        <v>312</v>
      </c>
      <c r="AH808" s="48"/>
      <c r="AI808" s="14">
        <f>IFERROR(__xludf.DUMMYFUNCTION("""COMPUTED_VALUE"""),297.75)</f>
        <v>297.75</v>
      </c>
      <c r="AJ808" s="14">
        <f>IFERROR(__xludf.DUMMYFUNCTION("""COMPUTED_VALUE"""),6.5)</f>
        <v>6.5</v>
      </c>
      <c r="AK808" s="14">
        <f>IFERROR(__xludf.DUMMYFUNCTION("""COMPUTED_VALUE"""),5.79)</f>
        <v>5.79</v>
      </c>
      <c r="AL808" s="14">
        <f>IFERROR(__xludf.DUMMYFUNCTION("""COMPUTED_VALUE"""),5.04)</f>
        <v>5.04</v>
      </c>
      <c r="AM808" s="14">
        <f>IFERROR(__xludf.DUMMYFUNCTION("""COMPUTED_VALUE"""),5.42)</f>
        <v>5.42</v>
      </c>
      <c r="AN808" s="14"/>
      <c r="AO808" s="14">
        <f>IFERROR(__xludf.DUMMYFUNCTION("""COMPUTED_VALUE"""),5.6875)</f>
        <v>5.6875</v>
      </c>
      <c r="AP808" s="14">
        <f>IFERROR(__xludf.DUMMYFUNCTION("""COMPUTED_VALUE"""),16.0)</f>
        <v>16</v>
      </c>
      <c r="AQ808" s="14">
        <f>IFERROR(__xludf.DUMMYFUNCTION("""COMPUTED_VALUE"""),24.0)</f>
        <v>24</v>
      </c>
      <c r="AR808" s="14">
        <f>IFERROR(__xludf.DUMMYFUNCTION("""COMPUTED_VALUE"""),11.0)</f>
        <v>11</v>
      </c>
      <c r="AS808" s="14">
        <f>IFERROR(__xludf.DUMMYFUNCTION("""COMPUTED_VALUE"""),1.2)</f>
        <v>1.2</v>
      </c>
      <c r="AT808" s="14">
        <f>IFERROR(__xludf.DUMMYFUNCTION("""COMPUTED_VALUE"""),0.6)</f>
        <v>0.6</v>
      </c>
      <c r="AU808" s="14">
        <f>IFERROR(__xludf.DUMMYFUNCTION("""COMPUTED_VALUE"""),1.586E8)</f>
        <v>158600000</v>
      </c>
      <c r="AV808" s="14">
        <f>IFERROR(__xludf.DUMMYFUNCTION("""COMPUTED_VALUE"""),0.47)</f>
        <v>0.47</v>
      </c>
      <c r="AW808" s="14">
        <f>IFERROR(__xludf.DUMMYFUNCTION("""COMPUTED_VALUE"""),8.1)</f>
        <v>8.1</v>
      </c>
      <c r="AX808" s="14">
        <f>IFERROR(__xludf.DUMMYFUNCTION("""COMPUTED_VALUE"""),1.353E7)</f>
        <v>13530000</v>
      </c>
      <c r="AY808" s="14">
        <f>IFERROR(__xludf.DUMMYFUNCTION("""COMPUTED_VALUE"""),1.0)</f>
        <v>1</v>
      </c>
      <c r="AZ808" s="14">
        <f>IFERROR(__xludf.DUMMYFUNCTION("""COMPUTED_VALUE"""),0.086)</f>
        <v>0.086</v>
      </c>
      <c r="BA808" s="14">
        <f t="shared" si="1"/>
        <v>9.186</v>
      </c>
    </row>
    <row r="809" ht="14.25" customHeight="1">
      <c r="A809" s="10" t="str">
        <f>IFERROR(__xludf.DUMMYFUNCTION("""COMPUTED_VALUE"""),"140323WI01")</f>
        <v>140323WI01</v>
      </c>
      <c r="B809" s="12" t="str">
        <f>IFERROR(__xludf.DUMMYFUNCTION("""COMPUTED_VALUE"""),"QTR-Mochuelo Bajo")</f>
        <v>QTR-Mochuelo Bajo</v>
      </c>
      <c r="C809" s="12"/>
      <c r="D809" s="12"/>
      <c r="E809" s="44">
        <f>IFERROR(__xludf.DUMMYFUNCTION("""COMPUTED_VALUE"""),44999.0)</f>
        <v>44999</v>
      </c>
      <c r="F809" s="12" t="str">
        <f>IFERROR(__xludf.DUMMYFUNCTION("""COMPUTED_VALUE"""),"TIPO I")</f>
        <v>TIPO I</v>
      </c>
      <c r="G809" s="12" t="str">
        <f>IFERROR(__xludf.DUMMYFUNCTION("""COMPUTED_VALUE"""),"Lecho lodoso, rocoso, arenoso, con presencia de vegetación cercana, color y olor;  Altitud 2634 msnm.")</f>
        <v>Lecho lodoso, rocoso, arenoso, con presencia de vegetación cercana, color y olor;  Altitud 2634 msnm.</v>
      </c>
      <c r="H809" s="45">
        <f>IFERROR(__xludf.DUMMYFUNCTION("""COMPUTED_VALUE"""),0.25)</f>
        <v>0.25</v>
      </c>
      <c r="I809" s="45">
        <f>IFERROR(__xludf.DUMMYFUNCTION("""COMPUTED_VALUE"""),0.3333333333321207)</f>
        <v>0.3333333333</v>
      </c>
      <c r="J809" s="12">
        <f>IFERROR(__xludf.DUMMYFUNCTION("""COMPUTED_VALUE"""),1.3)</f>
        <v>1.3</v>
      </c>
      <c r="K809" s="12">
        <f>IFERROR(__xludf.DUMMYFUNCTION("""COMPUTED_VALUE"""),0.3)</f>
        <v>0.3</v>
      </c>
      <c r="L809" s="14">
        <f>IFERROR(__xludf.DUMMYFUNCTION("""COMPUTED_VALUE"""),30.242)</f>
        <v>30.242</v>
      </c>
      <c r="M809" s="14">
        <f>IFERROR(__xludf.DUMMYFUNCTION("""COMPUTED_VALUE"""),30.933)</f>
        <v>30.933</v>
      </c>
      <c r="N809" s="14">
        <f>IFERROR(__xludf.DUMMYFUNCTION("""COMPUTED_VALUE"""),31.493)</f>
        <v>31.493</v>
      </c>
      <c r="O809" s="14">
        <f>IFERROR(__xludf.DUMMYFUNCTION("""COMPUTED_VALUE"""),30.982)</f>
        <v>30.982</v>
      </c>
      <c r="P809" s="14">
        <f>IFERROR(__xludf.DUMMYFUNCTION("""COMPUTED_VALUE"""),31.136)</f>
        <v>31.136</v>
      </c>
      <c r="Q809" s="14">
        <f>IFERROR(__xludf.DUMMYFUNCTION("""COMPUTED_VALUE"""),30.957)</f>
        <v>30.957</v>
      </c>
      <c r="R809" s="48">
        <f>IFERROR(__xludf.DUMMYFUNCTION("""COMPUTED_VALUE"""),7.75)</f>
        <v>7.75</v>
      </c>
      <c r="S809" s="48">
        <f>IFERROR(__xludf.DUMMYFUNCTION("""COMPUTED_VALUE"""),8.03)</f>
        <v>8.03</v>
      </c>
      <c r="T809" s="48">
        <f>IFERROR(__xludf.DUMMYFUNCTION("""COMPUTED_VALUE"""),8.2)</f>
        <v>8.2</v>
      </c>
      <c r="U809" s="48">
        <f>IFERROR(__xludf.DUMMYFUNCTION("""COMPUTED_VALUE"""),7.85)</f>
        <v>7.85</v>
      </c>
      <c r="V809" s="48">
        <f>IFERROR(__xludf.DUMMYFUNCTION("""COMPUTED_VALUE"""),8.17)</f>
        <v>8.17</v>
      </c>
      <c r="W809" s="14">
        <f>IFERROR(__xludf.DUMMYFUNCTION("""COMPUTED_VALUE"""),8.0)</f>
        <v>8</v>
      </c>
      <c r="X809" s="14">
        <f>IFERROR(__xludf.DUMMYFUNCTION("""COMPUTED_VALUE"""),15.8)</f>
        <v>15.8</v>
      </c>
      <c r="Y809" s="14">
        <f>IFERROR(__xludf.DUMMYFUNCTION("""COMPUTED_VALUE"""),15.5)</f>
        <v>15.5</v>
      </c>
      <c r="Z809" s="14">
        <f>IFERROR(__xludf.DUMMYFUNCTION("""COMPUTED_VALUE"""),15.7)</f>
        <v>15.7</v>
      </c>
      <c r="AA809" s="14">
        <f>IFERROR(__xludf.DUMMYFUNCTION("""COMPUTED_VALUE"""),15.8)</f>
        <v>15.8</v>
      </c>
      <c r="AB809" s="14">
        <f>IFERROR(__xludf.DUMMYFUNCTION("""COMPUTED_VALUE"""),15.9)</f>
        <v>15.9</v>
      </c>
      <c r="AC809" s="14">
        <f>IFERROR(__xludf.DUMMYFUNCTION("""COMPUTED_VALUE"""),15.74)</f>
        <v>15.74</v>
      </c>
      <c r="AD809" s="48">
        <f>IFERROR(__xludf.DUMMYFUNCTION("""COMPUTED_VALUE"""),539.0)</f>
        <v>539</v>
      </c>
      <c r="AE809" s="48">
        <f>IFERROR(__xludf.DUMMYFUNCTION("""COMPUTED_VALUE"""),575.0)</f>
        <v>575</v>
      </c>
      <c r="AF809" s="48">
        <f>IFERROR(__xludf.DUMMYFUNCTION("""COMPUTED_VALUE"""),529.0)</f>
        <v>529</v>
      </c>
      <c r="AG809" s="48">
        <f>IFERROR(__xludf.DUMMYFUNCTION("""COMPUTED_VALUE"""),596.0)</f>
        <v>596</v>
      </c>
      <c r="AH809" s="48">
        <f>IFERROR(__xludf.DUMMYFUNCTION("""COMPUTED_VALUE"""),624.0)</f>
        <v>624</v>
      </c>
      <c r="AI809" s="14">
        <f>IFERROR(__xludf.DUMMYFUNCTION("""COMPUTED_VALUE"""),572.6)</f>
        <v>572.6</v>
      </c>
      <c r="AJ809" s="14">
        <f>IFERROR(__xludf.DUMMYFUNCTION("""COMPUTED_VALUE"""),5.33)</f>
        <v>5.33</v>
      </c>
      <c r="AK809" s="14">
        <f>IFERROR(__xludf.DUMMYFUNCTION("""COMPUTED_VALUE"""),5.24)</f>
        <v>5.24</v>
      </c>
      <c r="AL809" s="14">
        <f>IFERROR(__xludf.DUMMYFUNCTION("""COMPUTED_VALUE"""),5.08)</f>
        <v>5.08</v>
      </c>
      <c r="AM809" s="14">
        <f>IFERROR(__xludf.DUMMYFUNCTION("""COMPUTED_VALUE"""),5.2)</f>
        <v>5.2</v>
      </c>
      <c r="AN809" s="14">
        <f>IFERROR(__xludf.DUMMYFUNCTION("""COMPUTED_VALUE"""),4.99)</f>
        <v>4.99</v>
      </c>
      <c r="AO809" s="14">
        <f>IFERROR(__xludf.DUMMYFUNCTION("""COMPUTED_VALUE"""),5.168000000000001)</f>
        <v>5.168</v>
      </c>
      <c r="AP809" s="14">
        <f>IFERROR(__xludf.DUMMYFUNCTION("""COMPUTED_VALUE"""),28.0)</f>
        <v>28</v>
      </c>
      <c r="AQ809" s="14">
        <f>IFERROR(__xludf.DUMMYFUNCTION("""COMPUTED_VALUE"""),44.0)</f>
        <v>44</v>
      </c>
      <c r="AR809" s="14">
        <f>IFERROR(__xludf.DUMMYFUNCTION("""COMPUTED_VALUE"""),234.0)</f>
        <v>234</v>
      </c>
      <c r="AS809" s="14">
        <f>IFERROR(__xludf.DUMMYFUNCTION("""COMPUTED_VALUE"""),1.2)</f>
        <v>1.2</v>
      </c>
      <c r="AT809" s="14">
        <f>IFERROR(__xludf.DUMMYFUNCTION("""COMPUTED_VALUE"""),0.07)</f>
        <v>0.07</v>
      </c>
      <c r="AU809" s="14">
        <f>IFERROR(__xludf.DUMMYFUNCTION("""COMPUTED_VALUE"""),2755000.0)</f>
        <v>2755000</v>
      </c>
      <c r="AV809" s="14">
        <f>IFERROR(__xludf.DUMMYFUNCTION("""COMPUTED_VALUE"""),0.78)</f>
        <v>0.78</v>
      </c>
      <c r="AW809" s="14">
        <f>IFERROR(__xludf.DUMMYFUNCTION("""COMPUTED_VALUE"""),14.3)</f>
        <v>14.3</v>
      </c>
      <c r="AX809" s="14">
        <f>IFERROR(__xludf.DUMMYFUNCTION("""COMPUTED_VALUE"""),980400.0)</f>
        <v>980400</v>
      </c>
      <c r="AY809" s="14">
        <f>IFERROR(__xludf.DUMMYFUNCTION("""COMPUTED_VALUE"""),2.2)</f>
        <v>2.2</v>
      </c>
      <c r="AZ809" s="14">
        <f>IFERROR(__xludf.DUMMYFUNCTION("""COMPUTED_VALUE"""),0.308)</f>
        <v>0.308</v>
      </c>
      <c r="BA809" s="14">
        <f t="shared" si="1"/>
        <v>16.808</v>
      </c>
    </row>
    <row r="810" ht="14.25" customHeight="1">
      <c r="A810" s="10" t="str">
        <f>IFERROR(__xludf.DUMMYFUNCTION("""COMPUTED_VALUE"""),"140323WI02")</f>
        <v>140323WI02</v>
      </c>
      <c r="B810" s="12" t="str">
        <f>IFERROR(__xludf.DUMMYFUNCTION("""COMPUTED_VALUE"""),"QTR-Quiba")</f>
        <v>QTR-Quiba</v>
      </c>
      <c r="C810" s="12"/>
      <c r="D810" s="12"/>
      <c r="E810" s="44">
        <f>IFERROR(__xludf.DUMMYFUNCTION("""COMPUTED_VALUE"""),44999.0)</f>
        <v>44999</v>
      </c>
      <c r="F810" s="12" t="str">
        <f>IFERROR(__xludf.DUMMYFUNCTION("""COMPUTED_VALUE"""),"TIPO I")</f>
        <v>TIPO I</v>
      </c>
      <c r="G810" s="12" t="str">
        <f>IFERROR(__xludf.DUMMYFUNCTION("""COMPUTED_VALUE"""),"Lecho lodoso, rocoso, arenoso con presencia de vegetación cercana, color y olor; altitud 2635 msnm.")</f>
        <v>Lecho lodoso, rocoso, arenoso con presencia de vegetación cercana, color y olor; altitud 2635 msnm.</v>
      </c>
      <c r="H810" s="45">
        <f>IFERROR(__xludf.DUMMYFUNCTION("""COMPUTED_VALUE"""),0.4166666666678793)</f>
        <v>0.4166666667</v>
      </c>
      <c r="I810" s="45">
        <f>IFERROR(__xludf.DUMMYFUNCTION("""COMPUTED_VALUE"""),0.5)</f>
        <v>0.5</v>
      </c>
      <c r="J810" s="12">
        <f>IFERROR(__xludf.DUMMYFUNCTION("""COMPUTED_VALUE"""),1.1)</f>
        <v>1.1</v>
      </c>
      <c r="K810" s="12">
        <f>IFERROR(__xludf.DUMMYFUNCTION("""COMPUTED_VALUE"""),0.2)</f>
        <v>0.2</v>
      </c>
      <c r="L810" s="14">
        <f>IFERROR(__xludf.DUMMYFUNCTION("""COMPUTED_VALUE"""),61.273)</f>
        <v>61.273</v>
      </c>
      <c r="M810" s="14">
        <f>IFERROR(__xludf.DUMMYFUNCTION("""COMPUTED_VALUE"""),63.457)</f>
        <v>63.457</v>
      </c>
      <c r="N810" s="14">
        <f>IFERROR(__xludf.DUMMYFUNCTION("""COMPUTED_VALUE"""),63.079)</f>
        <v>63.079</v>
      </c>
      <c r="O810" s="14">
        <f>IFERROR(__xludf.DUMMYFUNCTION("""COMPUTED_VALUE"""),64.215)</f>
        <v>64.215</v>
      </c>
      <c r="P810" s="14">
        <f>IFERROR(__xludf.DUMMYFUNCTION("""COMPUTED_VALUE"""),63.362)</f>
        <v>63.362</v>
      </c>
      <c r="Q810" s="14">
        <f>IFERROR(__xludf.DUMMYFUNCTION("""COMPUTED_VALUE"""),63.077)</f>
        <v>63.077</v>
      </c>
      <c r="R810" s="48">
        <f>IFERROR(__xludf.DUMMYFUNCTION("""COMPUTED_VALUE"""),9.93)</f>
        <v>9.93</v>
      </c>
      <c r="S810" s="48">
        <f>IFERROR(__xludf.DUMMYFUNCTION("""COMPUTED_VALUE"""),8.81)</f>
        <v>8.81</v>
      </c>
      <c r="T810" s="48">
        <f>IFERROR(__xludf.DUMMYFUNCTION("""COMPUTED_VALUE"""),8.63)</f>
        <v>8.63</v>
      </c>
      <c r="U810" s="48">
        <f>IFERROR(__xludf.DUMMYFUNCTION("""COMPUTED_VALUE"""),9.49)</f>
        <v>9.49</v>
      </c>
      <c r="V810" s="48">
        <f>IFERROR(__xludf.DUMMYFUNCTION("""COMPUTED_VALUE"""),9.11)</f>
        <v>9.11</v>
      </c>
      <c r="W810" s="14">
        <f>IFERROR(__xludf.DUMMYFUNCTION("""COMPUTED_VALUE"""),9.194)</f>
        <v>9.194</v>
      </c>
      <c r="X810" s="14">
        <f>IFERROR(__xludf.DUMMYFUNCTION("""COMPUTED_VALUE"""),17.4)</f>
        <v>17.4</v>
      </c>
      <c r="Y810" s="14">
        <f>IFERROR(__xludf.DUMMYFUNCTION("""COMPUTED_VALUE"""),17.8)</f>
        <v>17.8</v>
      </c>
      <c r="Z810" s="14">
        <f>IFERROR(__xludf.DUMMYFUNCTION("""COMPUTED_VALUE"""),18.0)</f>
        <v>18</v>
      </c>
      <c r="AA810" s="14">
        <f>IFERROR(__xludf.DUMMYFUNCTION("""COMPUTED_VALUE"""),18.4)</f>
        <v>18.4</v>
      </c>
      <c r="AB810" s="14">
        <f>IFERROR(__xludf.DUMMYFUNCTION("""COMPUTED_VALUE"""),18.7)</f>
        <v>18.7</v>
      </c>
      <c r="AC810" s="14">
        <f>IFERROR(__xludf.DUMMYFUNCTION("""COMPUTED_VALUE"""),18.06)</f>
        <v>18.06</v>
      </c>
      <c r="AD810" s="48">
        <f>IFERROR(__xludf.DUMMYFUNCTION("""COMPUTED_VALUE"""),592.0)</f>
        <v>592</v>
      </c>
      <c r="AE810" s="48">
        <f>IFERROR(__xludf.DUMMYFUNCTION("""COMPUTED_VALUE"""),558.0)</f>
        <v>558</v>
      </c>
      <c r="AF810" s="48">
        <f>IFERROR(__xludf.DUMMYFUNCTION("""COMPUTED_VALUE"""),524.0)</f>
        <v>524</v>
      </c>
      <c r="AG810" s="48">
        <f>IFERROR(__xludf.DUMMYFUNCTION("""COMPUTED_VALUE"""),532.0)</f>
        <v>532</v>
      </c>
      <c r="AH810" s="48">
        <f>IFERROR(__xludf.DUMMYFUNCTION("""COMPUTED_VALUE"""),530.0)</f>
        <v>530</v>
      </c>
      <c r="AI810" s="14">
        <f>IFERROR(__xludf.DUMMYFUNCTION("""COMPUTED_VALUE"""),547.2)</f>
        <v>547.2</v>
      </c>
      <c r="AJ810" s="14">
        <f>IFERROR(__xludf.DUMMYFUNCTION("""COMPUTED_VALUE"""),4.68)</f>
        <v>4.68</v>
      </c>
      <c r="AK810" s="14">
        <f>IFERROR(__xludf.DUMMYFUNCTION("""COMPUTED_VALUE"""),3.97)</f>
        <v>3.97</v>
      </c>
      <c r="AL810" s="14">
        <f>IFERROR(__xludf.DUMMYFUNCTION("""COMPUTED_VALUE"""),4.32)</f>
        <v>4.32</v>
      </c>
      <c r="AM810" s="14">
        <f>IFERROR(__xludf.DUMMYFUNCTION("""COMPUTED_VALUE"""),3.81)</f>
        <v>3.81</v>
      </c>
      <c r="AN810" s="14">
        <f>IFERROR(__xludf.DUMMYFUNCTION("""COMPUTED_VALUE"""),4.82)</f>
        <v>4.82</v>
      </c>
      <c r="AO810" s="14">
        <f>IFERROR(__xludf.DUMMYFUNCTION("""COMPUTED_VALUE"""),4.32)</f>
        <v>4.32</v>
      </c>
      <c r="AP810" s="14">
        <f>IFERROR(__xludf.DUMMYFUNCTION("""COMPUTED_VALUE"""),133.0)</f>
        <v>133</v>
      </c>
      <c r="AQ810" s="14">
        <f>IFERROR(__xludf.DUMMYFUNCTION("""COMPUTED_VALUE"""),195.0)</f>
        <v>195</v>
      </c>
      <c r="AR810" s="14">
        <f>IFERROR(__xludf.DUMMYFUNCTION("""COMPUTED_VALUE"""),2045.0)</f>
        <v>2045</v>
      </c>
      <c r="AS810" s="14">
        <f>IFERROR(__xludf.DUMMYFUNCTION("""COMPUTED_VALUE"""),1.2)</f>
        <v>1.2</v>
      </c>
      <c r="AT810" s="14">
        <f>IFERROR(__xludf.DUMMYFUNCTION("""COMPUTED_VALUE"""),1.67)</f>
        <v>1.67</v>
      </c>
      <c r="AU810" s="14">
        <f>IFERROR(__xludf.DUMMYFUNCTION("""COMPUTED_VALUE"""),1.1199E7)</f>
        <v>11199000</v>
      </c>
      <c r="AV810" s="14">
        <f>IFERROR(__xludf.DUMMYFUNCTION("""COMPUTED_VALUE"""),0.99)</f>
        <v>0.99</v>
      </c>
      <c r="AW810" s="14">
        <f>IFERROR(__xludf.DUMMYFUNCTION("""COMPUTED_VALUE"""),18.2)</f>
        <v>18.2</v>
      </c>
      <c r="AX810" s="14">
        <f>IFERROR(__xludf.DUMMYFUNCTION("""COMPUTED_VALUE"""),1553100.0)</f>
        <v>1553100</v>
      </c>
      <c r="AY810" s="14">
        <f>IFERROR(__xludf.DUMMYFUNCTION("""COMPUTED_VALUE"""),2.2)</f>
        <v>2.2</v>
      </c>
      <c r="AZ810" s="14">
        <f>IFERROR(__xludf.DUMMYFUNCTION("""COMPUTED_VALUE"""),0.339)</f>
        <v>0.339</v>
      </c>
      <c r="BA810" s="14">
        <f t="shared" si="1"/>
        <v>20.739</v>
      </c>
    </row>
    <row r="811" ht="14.25" customHeight="1">
      <c r="A811" s="10" t="str">
        <f>IFERROR(__xludf.DUMMYFUNCTION("""COMPUTED_VALUE"""),"140323WI03")</f>
        <v>140323WI03</v>
      </c>
      <c r="B811" s="12" t="str">
        <f>IFERROR(__xludf.DUMMYFUNCTION("""COMPUTED_VALUE"""),"QTR-Acapulco")</f>
        <v>QTR-Acapulco</v>
      </c>
      <c r="C811" s="12"/>
      <c r="D811" s="12"/>
      <c r="E811" s="44">
        <f>IFERROR(__xludf.DUMMYFUNCTION("""COMPUTED_VALUE"""),44999.0)</f>
        <v>44999</v>
      </c>
      <c r="F811" s="12" t="str">
        <f>IFERROR(__xludf.DUMMYFUNCTION("""COMPUTED_VALUE"""),"TIPO I")</f>
        <v>TIPO I</v>
      </c>
      <c r="G811" s="12" t="str">
        <f>IFERROR(__xludf.DUMMYFUNCTION("""COMPUTED_VALUE"""),"Lecho lodoso, rocoso-arenoso; durante el monitoreo se observa color y se percibe olor. ")</f>
        <v>Lecho lodoso, rocoso-arenoso; durante el monitoreo se observa color y se percibe olor. </v>
      </c>
      <c r="H811" s="45">
        <f>IFERROR(__xludf.DUMMYFUNCTION("""COMPUTED_VALUE"""),0.5833333333321207)</f>
        <v>0.5833333333</v>
      </c>
      <c r="I811" s="45">
        <f>IFERROR(__xludf.DUMMYFUNCTION("""COMPUTED_VALUE"""),0.6666666666678793)</f>
        <v>0.6666666667</v>
      </c>
      <c r="J811" s="12">
        <f>IFERROR(__xludf.DUMMYFUNCTION("""COMPUTED_VALUE"""),1.1)</f>
        <v>1.1</v>
      </c>
      <c r="K811" s="12">
        <f>IFERROR(__xludf.DUMMYFUNCTION("""COMPUTED_VALUE"""),0.25)</f>
        <v>0.25</v>
      </c>
      <c r="L811" s="14">
        <f>IFERROR(__xludf.DUMMYFUNCTION("""COMPUTED_VALUE"""),82.83)</f>
        <v>82.83</v>
      </c>
      <c r="M811" s="14">
        <f>IFERROR(__xludf.DUMMYFUNCTION("""COMPUTED_VALUE"""),83.177)</f>
        <v>83.177</v>
      </c>
      <c r="N811" s="14">
        <f>IFERROR(__xludf.DUMMYFUNCTION("""COMPUTED_VALUE"""),82.175)</f>
        <v>82.175</v>
      </c>
      <c r="O811" s="14">
        <f>IFERROR(__xludf.DUMMYFUNCTION("""COMPUTED_VALUE"""),83.306)</f>
        <v>83.306</v>
      </c>
      <c r="P811" s="14">
        <f>IFERROR(__xludf.DUMMYFUNCTION("""COMPUTED_VALUE"""),84.097)</f>
        <v>84.097</v>
      </c>
      <c r="Q811" s="14">
        <f>IFERROR(__xludf.DUMMYFUNCTION("""COMPUTED_VALUE"""),83.117)</f>
        <v>83.117</v>
      </c>
      <c r="R811" s="48">
        <f>IFERROR(__xludf.DUMMYFUNCTION("""COMPUTED_VALUE"""),10.24)</f>
        <v>10.24</v>
      </c>
      <c r="S811" s="48">
        <f>IFERROR(__xludf.DUMMYFUNCTION("""COMPUTED_VALUE"""),10.41)</f>
        <v>10.41</v>
      </c>
      <c r="T811" s="48">
        <f>IFERROR(__xludf.DUMMYFUNCTION("""COMPUTED_VALUE"""),9.94)</f>
        <v>9.94</v>
      </c>
      <c r="U811" s="48">
        <f>IFERROR(__xludf.DUMMYFUNCTION("""COMPUTED_VALUE"""),10.2)</f>
        <v>10.2</v>
      </c>
      <c r="V811" s="48">
        <f>IFERROR(__xludf.DUMMYFUNCTION("""COMPUTED_VALUE"""),10.02)</f>
        <v>10.02</v>
      </c>
      <c r="W811" s="14">
        <f>IFERROR(__xludf.DUMMYFUNCTION("""COMPUTED_VALUE"""),10.161999999999997)</f>
        <v>10.162</v>
      </c>
      <c r="X811" s="14">
        <f>IFERROR(__xludf.DUMMYFUNCTION("""COMPUTED_VALUE"""),19.7)</f>
        <v>19.7</v>
      </c>
      <c r="Y811" s="14">
        <f>IFERROR(__xludf.DUMMYFUNCTION("""COMPUTED_VALUE"""),19.5)</f>
        <v>19.5</v>
      </c>
      <c r="Z811" s="14">
        <f>IFERROR(__xludf.DUMMYFUNCTION("""COMPUTED_VALUE"""),19.3)</f>
        <v>19.3</v>
      </c>
      <c r="AA811" s="14">
        <f>IFERROR(__xludf.DUMMYFUNCTION("""COMPUTED_VALUE"""),19.0)</f>
        <v>19</v>
      </c>
      <c r="AB811" s="14">
        <f>IFERROR(__xludf.DUMMYFUNCTION("""COMPUTED_VALUE"""),18.8)</f>
        <v>18.8</v>
      </c>
      <c r="AC811" s="14">
        <f>IFERROR(__xludf.DUMMYFUNCTION("""COMPUTED_VALUE"""),19.259999999999998)</f>
        <v>19.26</v>
      </c>
      <c r="AD811" s="48">
        <f>IFERROR(__xludf.DUMMYFUNCTION("""COMPUTED_VALUE"""),539.0)</f>
        <v>539</v>
      </c>
      <c r="AE811" s="48">
        <f>IFERROR(__xludf.DUMMYFUNCTION("""COMPUTED_VALUE"""),495.0)</f>
        <v>495</v>
      </c>
      <c r="AF811" s="48">
        <f>IFERROR(__xludf.DUMMYFUNCTION("""COMPUTED_VALUE"""),547.0)</f>
        <v>547</v>
      </c>
      <c r="AG811" s="48">
        <f>IFERROR(__xludf.DUMMYFUNCTION("""COMPUTED_VALUE"""),507.0)</f>
        <v>507</v>
      </c>
      <c r="AH811" s="48">
        <f>IFERROR(__xludf.DUMMYFUNCTION("""COMPUTED_VALUE"""),521.0)</f>
        <v>521</v>
      </c>
      <c r="AI811" s="14">
        <f>IFERROR(__xludf.DUMMYFUNCTION("""COMPUTED_VALUE"""),521.8)</f>
        <v>521.8</v>
      </c>
      <c r="AJ811" s="14">
        <f>IFERROR(__xludf.DUMMYFUNCTION("""COMPUTED_VALUE"""),5.28)</f>
        <v>5.28</v>
      </c>
      <c r="AK811" s="14">
        <f>IFERROR(__xludf.DUMMYFUNCTION("""COMPUTED_VALUE"""),4.81)</f>
        <v>4.81</v>
      </c>
      <c r="AL811" s="14">
        <f>IFERROR(__xludf.DUMMYFUNCTION("""COMPUTED_VALUE"""),5.22)</f>
        <v>5.22</v>
      </c>
      <c r="AM811" s="14">
        <f>IFERROR(__xludf.DUMMYFUNCTION("""COMPUTED_VALUE"""),4.97)</f>
        <v>4.97</v>
      </c>
      <c r="AN811" s="14">
        <f>IFERROR(__xludf.DUMMYFUNCTION("""COMPUTED_VALUE"""),5.16)</f>
        <v>5.16</v>
      </c>
      <c r="AO811" s="14">
        <f>IFERROR(__xludf.DUMMYFUNCTION("""COMPUTED_VALUE"""),5.087999999999999)</f>
        <v>5.088</v>
      </c>
      <c r="AP811" s="14">
        <f>IFERROR(__xludf.DUMMYFUNCTION("""COMPUTED_VALUE"""),106.0)</f>
        <v>106</v>
      </c>
      <c r="AQ811" s="14">
        <f>IFERROR(__xludf.DUMMYFUNCTION("""COMPUTED_VALUE"""),148.0)</f>
        <v>148</v>
      </c>
      <c r="AR811" s="14">
        <f>IFERROR(__xludf.DUMMYFUNCTION("""COMPUTED_VALUE"""),2140.0)</f>
        <v>2140</v>
      </c>
      <c r="AS811" s="14">
        <f>IFERROR(__xludf.DUMMYFUNCTION("""COMPUTED_VALUE"""),1.2)</f>
        <v>1.2</v>
      </c>
      <c r="AT811" s="14">
        <f>IFERROR(__xludf.DUMMYFUNCTION("""COMPUTED_VALUE"""),0.9)</f>
        <v>0.9</v>
      </c>
      <c r="AU811" s="14">
        <f>IFERROR(__xludf.DUMMYFUNCTION("""COMPUTED_VALUE"""),77010.0)</f>
        <v>77010</v>
      </c>
      <c r="AV811" s="14">
        <f>IFERROR(__xludf.DUMMYFUNCTION("""COMPUTED_VALUE"""),0.48)</f>
        <v>0.48</v>
      </c>
      <c r="AW811" s="14">
        <f>IFERROR(__xludf.DUMMYFUNCTION("""COMPUTED_VALUE"""),14.3)</f>
        <v>14.3</v>
      </c>
      <c r="AX811" s="14">
        <f>IFERROR(__xludf.DUMMYFUNCTION("""COMPUTED_VALUE"""),61310.0)</f>
        <v>61310</v>
      </c>
      <c r="AY811" s="14">
        <f>IFERROR(__xludf.DUMMYFUNCTION("""COMPUTED_VALUE"""),2.3)</f>
        <v>2.3</v>
      </c>
      <c r="AZ811" s="14">
        <f>IFERROR(__xludf.DUMMYFUNCTION("""COMPUTED_VALUE"""),0.35)</f>
        <v>0.35</v>
      </c>
      <c r="BA811" s="14">
        <f t="shared" si="1"/>
        <v>16.95</v>
      </c>
    </row>
    <row r="812" ht="14.25" customHeight="1">
      <c r="A812" s="10" t="str">
        <f>IFERROR(__xludf.DUMMYFUNCTION("""COMPUTED_VALUE"""),"150323FE01")</f>
        <v>150323FE01</v>
      </c>
      <c r="B812" s="12" t="str">
        <f>IFERROR(__xludf.DUMMYFUNCTION("""COMPUTED_VALUE"""),"QSL-Alfonso López")</f>
        <v>QSL-Alfonso López</v>
      </c>
      <c r="C812" s="12"/>
      <c r="D812" s="12"/>
      <c r="E812" s="44">
        <f>IFERROR(__xludf.DUMMYFUNCTION("""COMPUTED_VALUE"""),45000.0)</f>
        <v>45000</v>
      </c>
      <c r="F812" s="12" t="str">
        <f>IFERROR(__xludf.DUMMYFUNCTION("""COMPUTED_VALUE"""),"TIPO I")</f>
        <v>TIPO I</v>
      </c>
      <c r="G812" s="12" t="str">
        <f>IFERROR(__xludf.DUMMYFUNCTION("""COMPUTED_VALUE"""),"Lecho rocoso - arenoso, durante el monitoreo se observa color y se percibe olor, presencia de vegetacion. 
Altitud: 2751 msnm. ")</f>
        <v>Lecho rocoso - arenoso, durante el monitoreo se observa color y se percibe olor, presencia de vegetacion. 
Altitud: 2751 msnm. </v>
      </c>
      <c r="H812" s="45">
        <f>IFERROR(__xludf.DUMMYFUNCTION("""COMPUTED_VALUE"""),0.25)</f>
        <v>0.25</v>
      </c>
      <c r="I812" s="45">
        <f>IFERROR(__xludf.DUMMYFUNCTION("""COMPUTED_VALUE"""),0.3333333333321207)</f>
        <v>0.3333333333</v>
      </c>
      <c r="J812" s="12">
        <f>IFERROR(__xludf.DUMMYFUNCTION("""COMPUTED_VALUE"""),1.2)</f>
        <v>1.2</v>
      </c>
      <c r="K812" s="12">
        <f>IFERROR(__xludf.DUMMYFUNCTION("""COMPUTED_VALUE"""),0.13)</f>
        <v>0.13</v>
      </c>
      <c r="L812" s="14">
        <f>IFERROR(__xludf.DUMMYFUNCTION("""COMPUTED_VALUE"""),40.126)</f>
        <v>40.126</v>
      </c>
      <c r="M812" s="14">
        <f>IFERROR(__xludf.DUMMYFUNCTION("""COMPUTED_VALUE"""),40.365)</f>
        <v>40.365</v>
      </c>
      <c r="N812" s="14">
        <f>IFERROR(__xludf.DUMMYFUNCTION("""COMPUTED_VALUE"""),40.293)</f>
        <v>40.293</v>
      </c>
      <c r="O812" s="14">
        <f>IFERROR(__xludf.DUMMYFUNCTION("""COMPUTED_VALUE"""),42.713)</f>
        <v>42.713</v>
      </c>
      <c r="P812" s="14">
        <f>IFERROR(__xludf.DUMMYFUNCTION("""COMPUTED_VALUE"""),43.264)</f>
        <v>43.264</v>
      </c>
      <c r="Q812" s="14">
        <f>IFERROR(__xludf.DUMMYFUNCTION("""COMPUTED_VALUE"""),41.352)</f>
        <v>41.352</v>
      </c>
      <c r="R812" s="48">
        <f>IFERROR(__xludf.DUMMYFUNCTION("""COMPUTED_VALUE"""),8.64)</f>
        <v>8.64</v>
      </c>
      <c r="S812" s="48">
        <f>IFERROR(__xludf.DUMMYFUNCTION("""COMPUTED_VALUE"""),8.22)</f>
        <v>8.22</v>
      </c>
      <c r="T812" s="48">
        <f>IFERROR(__xludf.DUMMYFUNCTION("""COMPUTED_VALUE"""),8.14)</f>
        <v>8.14</v>
      </c>
      <c r="U812" s="48">
        <f>IFERROR(__xludf.DUMMYFUNCTION("""COMPUTED_VALUE"""),8.08)</f>
        <v>8.08</v>
      </c>
      <c r="V812" s="48">
        <f>IFERROR(__xludf.DUMMYFUNCTION("""COMPUTED_VALUE"""),8.25)</f>
        <v>8.25</v>
      </c>
      <c r="W812" s="14">
        <f>IFERROR(__xludf.DUMMYFUNCTION("""COMPUTED_VALUE"""),8.266)</f>
        <v>8.266</v>
      </c>
      <c r="X812" s="14">
        <f>IFERROR(__xludf.DUMMYFUNCTION("""COMPUTED_VALUE"""),13.8)</f>
        <v>13.8</v>
      </c>
      <c r="Y812" s="14">
        <f>IFERROR(__xludf.DUMMYFUNCTION("""COMPUTED_VALUE"""),13.7)</f>
        <v>13.7</v>
      </c>
      <c r="Z812" s="14">
        <f>IFERROR(__xludf.DUMMYFUNCTION("""COMPUTED_VALUE"""),13.8)</f>
        <v>13.8</v>
      </c>
      <c r="AA812" s="14">
        <f>IFERROR(__xludf.DUMMYFUNCTION("""COMPUTED_VALUE"""),13.9)</f>
        <v>13.9</v>
      </c>
      <c r="AB812" s="14">
        <f>IFERROR(__xludf.DUMMYFUNCTION("""COMPUTED_VALUE"""),14.4)</f>
        <v>14.4</v>
      </c>
      <c r="AC812" s="14">
        <f>IFERROR(__xludf.DUMMYFUNCTION("""COMPUTED_VALUE"""),13.919999999999998)</f>
        <v>13.92</v>
      </c>
      <c r="AD812" s="48">
        <f>IFERROR(__xludf.DUMMYFUNCTION("""COMPUTED_VALUE"""),321.0)</f>
        <v>321</v>
      </c>
      <c r="AE812" s="48">
        <f>IFERROR(__xludf.DUMMYFUNCTION("""COMPUTED_VALUE"""),308.0)</f>
        <v>308</v>
      </c>
      <c r="AF812" s="48">
        <f>IFERROR(__xludf.DUMMYFUNCTION("""COMPUTED_VALUE"""),301.0)</f>
        <v>301</v>
      </c>
      <c r="AG812" s="48">
        <f>IFERROR(__xludf.DUMMYFUNCTION("""COMPUTED_VALUE"""),302.0)</f>
        <v>302</v>
      </c>
      <c r="AH812" s="48">
        <f>IFERROR(__xludf.DUMMYFUNCTION("""COMPUTED_VALUE"""),311.0)</f>
        <v>311</v>
      </c>
      <c r="AI812" s="14">
        <f>IFERROR(__xludf.DUMMYFUNCTION("""COMPUTED_VALUE"""),308.6)</f>
        <v>308.6</v>
      </c>
      <c r="AJ812" s="14">
        <f>IFERROR(__xludf.DUMMYFUNCTION("""COMPUTED_VALUE"""),5.86)</f>
        <v>5.86</v>
      </c>
      <c r="AK812" s="14">
        <f>IFERROR(__xludf.DUMMYFUNCTION("""COMPUTED_VALUE"""),5.73)</f>
        <v>5.73</v>
      </c>
      <c r="AL812" s="14">
        <f>IFERROR(__xludf.DUMMYFUNCTION("""COMPUTED_VALUE"""),6.06)</f>
        <v>6.06</v>
      </c>
      <c r="AM812" s="14">
        <f>IFERROR(__xludf.DUMMYFUNCTION("""COMPUTED_VALUE"""),5.91)</f>
        <v>5.91</v>
      </c>
      <c r="AN812" s="14">
        <f>IFERROR(__xludf.DUMMYFUNCTION("""COMPUTED_VALUE"""),6.23)</f>
        <v>6.23</v>
      </c>
      <c r="AO812" s="14">
        <f>IFERROR(__xludf.DUMMYFUNCTION("""COMPUTED_VALUE"""),5.958)</f>
        <v>5.958</v>
      </c>
      <c r="AP812" s="14">
        <f>IFERROR(__xludf.DUMMYFUNCTION("""COMPUTED_VALUE"""),19.0)</f>
        <v>19</v>
      </c>
      <c r="AQ812" s="14">
        <f>IFERROR(__xludf.DUMMYFUNCTION("""COMPUTED_VALUE"""),28.0)</f>
        <v>28</v>
      </c>
      <c r="AR812" s="14">
        <f>IFERROR(__xludf.DUMMYFUNCTION("""COMPUTED_VALUE"""),221.0)</f>
        <v>221</v>
      </c>
      <c r="AS812" s="14">
        <f>IFERROR(__xludf.DUMMYFUNCTION("""COMPUTED_VALUE"""),1.2)</f>
        <v>1.2</v>
      </c>
      <c r="AT812" s="14">
        <f>IFERROR(__xludf.DUMMYFUNCTION("""COMPUTED_VALUE"""),0.07)</f>
        <v>0.07</v>
      </c>
      <c r="AU812" s="14">
        <f>IFERROR(__xludf.DUMMYFUNCTION("""COMPUTED_VALUE"""),1.86E7)</f>
        <v>18600000</v>
      </c>
      <c r="AV812" s="14">
        <f>IFERROR(__xludf.DUMMYFUNCTION("""COMPUTED_VALUE"""),1.71)</f>
        <v>1.71</v>
      </c>
      <c r="AW812" s="14">
        <f>IFERROR(__xludf.DUMMYFUNCTION("""COMPUTED_VALUE"""),15.4)</f>
        <v>15.4</v>
      </c>
      <c r="AX812" s="14">
        <f>IFERROR(__xludf.DUMMYFUNCTION("""COMPUTED_VALUE"""),9320000.0)</f>
        <v>9320000</v>
      </c>
      <c r="AY812" s="14">
        <f>IFERROR(__xludf.DUMMYFUNCTION("""COMPUTED_VALUE"""),3.1)</f>
        <v>3.1</v>
      </c>
      <c r="AZ812" s="14">
        <f>IFERROR(__xludf.DUMMYFUNCTION("""COMPUTED_VALUE"""),0.321)</f>
        <v>0.321</v>
      </c>
      <c r="BA812" s="14">
        <f t="shared" si="1"/>
        <v>18.821</v>
      </c>
    </row>
    <row r="813" ht="14.25" customHeight="1">
      <c r="A813" s="10" t="str">
        <f>IFERROR(__xludf.DUMMYFUNCTION("""COMPUTED_VALUE"""),"150323FE02")</f>
        <v>150323FE02</v>
      </c>
      <c r="B813" s="12" t="str">
        <f>IFERROR(__xludf.DUMMYFUNCTION("""COMPUTED_VALUE"""),"QSL-Barranquillita")</f>
        <v>QSL-Barranquillita</v>
      </c>
      <c r="C813" s="12"/>
      <c r="D813" s="12"/>
      <c r="E813" s="44">
        <f>IFERROR(__xludf.DUMMYFUNCTION("""COMPUTED_VALUE"""),45000.0)</f>
        <v>45000</v>
      </c>
      <c r="F813" s="12" t="str">
        <f>IFERROR(__xludf.DUMMYFUNCTION("""COMPUTED_VALUE"""),"TIPO I")</f>
        <v>TIPO I</v>
      </c>
      <c r="G813" s="12" t="str">
        <f>IFERROR(__xludf.DUMMYFUNCTION("""COMPUTED_VALUE"""),"Estructura del canal en concreto, lecho rocoso - arenoso, durante el monitoreo se observa color y se percibe olor.
Altitud: 2615 msnm. ")</f>
        <v>Estructura del canal en concreto, lecho rocoso - arenoso, durante el monitoreo se observa color y se percibe olor.
Altitud: 2615 msnm. </v>
      </c>
      <c r="H813" s="45">
        <f>IFERROR(__xludf.DUMMYFUNCTION("""COMPUTED_VALUE"""),0.4166666666678793)</f>
        <v>0.4166666667</v>
      </c>
      <c r="I813" s="45">
        <f>IFERROR(__xludf.DUMMYFUNCTION("""COMPUTED_VALUE"""),0.5)</f>
        <v>0.5</v>
      </c>
      <c r="J813" s="12">
        <f>IFERROR(__xludf.DUMMYFUNCTION("""COMPUTED_VALUE"""),2.2)</f>
        <v>2.2</v>
      </c>
      <c r="K813" s="12">
        <f>IFERROR(__xludf.DUMMYFUNCTION("""COMPUTED_VALUE"""),0.14)</f>
        <v>0.14</v>
      </c>
      <c r="L813" s="14">
        <f>IFERROR(__xludf.DUMMYFUNCTION("""COMPUTED_VALUE"""),71.15)</f>
        <v>71.15</v>
      </c>
      <c r="M813" s="14">
        <f>IFERROR(__xludf.DUMMYFUNCTION("""COMPUTED_VALUE"""),72.414)</f>
        <v>72.414</v>
      </c>
      <c r="N813" s="14">
        <f>IFERROR(__xludf.DUMMYFUNCTION("""COMPUTED_VALUE"""),73.695)</f>
        <v>73.695</v>
      </c>
      <c r="O813" s="14">
        <f>IFERROR(__xludf.DUMMYFUNCTION("""COMPUTED_VALUE"""),74.526)</f>
        <v>74.526</v>
      </c>
      <c r="P813" s="14">
        <f>IFERROR(__xludf.DUMMYFUNCTION("""COMPUTED_VALUE"""),74.862)</f>
        <v>74.862</v>
      </c>
      <c r="Q813" s="14">
        <f>IFERROR(__xludf.DUMMYFUNCTION("""COMPUTED_VALUE"""),73.33)</f>
        <v>73.33</v>
      </c>
      <c r="R813" s="48">
        <f>IFERROR(__xludf.DUMMYFUNCTION("""COMPUTED_VALUE"""),8.16)</f>
        <v>8.16</v>
      </c>
      <c r="S813" s="48">
        <f>IFERROR(__xludf.DUMMYFUNCTION("""COMPUTED_VALUE"""),7.94)</f>
        <v>7.94</v>
      </c>
      <c r="T813" s="48">
        <f>IFERROR(__xludf.DUMMYFUNCTION("""COMPUTED_VALUE"""),7.83)</f>
        <v>7.83</v>
      </c>
      <c r="U813" s="48">
        <f>IFERROR(__xludf.DUMMYFUNCTION("""COMPUTED_VALUE"""),7.64)</f>
        <v>7.64</v>
      </c>
      <c r="V813" s="48">
        <f>IFERROR(__xludf.DUMMYFUNCTION("""COMPUTED_VALUE"""),7.73)</f>
        <v>7.73</v>
      </c>
      <c r="W813" s="14">
        <f>IFERROR(__xludf.DUMMYFUNCTION("""COMPUTED_VALUE"""),7.859999999999999)</f>
        <v>7.86</v>
      </c>
      <c r="X813" s="14">
        <f>IFERROR(__xludf.DUMMYFUNCTION("""COMPUTED_VALUE"""),15.8)</f>
        <v>15.8</v>
      </c>
      <c r="Y813" s="14">
        <f>IFERROR(__xludf.DUMMYFUNCTION("""COMPUTED_VALUE"""),15.8)</f>
        <v>15.8</v>
      </c>
      <c r="Z813" s="14">
        <f>IFERROR(__xludf.DUMMYFUNCTION("""COMPUTED_VALUE"""),16.5)</f>
        <v>16.5</v>
      </c>
      <c r="AA813" s="14">
        <f>IFERROR(__xludf.DUMMYFUNCTION("""COMPUTED_VALUE"""),17.4)</f>
        <v>17.4</v>
      </c>
      <c r="AB813" s="14">
        <f>IFERROR(__xludf.DUMMYFUNCTION("""COMPUTED_VALUE"""),17.5)</f>
        <v>17.5</v>
      </c>
      <c r="AC813" s="14">
        <f>IFERROR(__xludf.DUMMYFUNCTION("""COMPUTED_VALUE"""),16.6)</f>
        <v>16.6</v>
      </c>
      <c r="AD813" s="48">
        <f>IFERROR(__xludf.DUMMYFUNCTION("""COMPUTED_VALUE"""),344.0)</f>
        <v>344</v>
      </c>
      <c r="AE813" s="48">
        <f>IFERROR(__xludf.DUMMYFUNCTION("""COMPUTED_VALUE"""),340.0)</f>
        <v>340</v>
      </c>
      <c r="AF813" s="48">
        <f>IFERROR(__xludf.DUMMYFUNCTION("""COMPUTED_VALUE"""),348.0)</f>
        <v>348</v>
      </c>
      <c r="AG813" s="48">
        <f>IFERROR(__xludf.DUMMYFUNCTION("""COMPUTED_VALUE"""),356.0)</f>
        <v>356</v>
      </c>
      <c r="AH813" s="48">
        <f>IFERROR(__xludf.DUMMYFUNCTION("""COMPUTED_VALUE"""),361.0)</f>
        <v>361</v>
      </c>
      <c r="AI813" s="14">
        <f>IFERROR(__xludf.DUMMYFUNCTION("""COMPUTED_VALUE"""),349.8)</f>
        <v>349.8</v>
      </c>
      <c r="AJ813" s="14">
        <f>IFERROR(__xludf.DUMMYFUNCTION("""COMPUTED_VALUE"""),5.71)</f>
        <v>5.71</v>
      </c>
      <c r="AK813" s="14">
        <f>IFERROR(__xludf.DUMMYFUNCTION("""COMPUTED_VALUE"""),5.26)</f>
        <v>5.26</v>
      </c>
      <c r="AL813" s="14">
        <f>IFERROR(__xludf.DUMMYFUNCTION("""COMPUTED_VALUE"""),5.43)</f>
        <v>5.43</v>
      </c>
      <c r="AM813" s="14">
        <f>IFERROR(__xludf.DUMMYFUNCTION("""COMPUTED_VALUE"""),5.38)</f>
        <v>5.38</v>
      </c>
      <c r="AN813" s="14">
        <f>IFERROR(__xludf.DUMMYFUNCTION("""COMPUTED_VALUE"""),5.51)</f>
        <v>5.51</v>
      </c>
      <c r="AO813" s="14">
        <f>IFERROR(__xludf.DUMMYFUNCTION("""COMPUTED_VALUE"""),5.458)</f>
        <v>5.458</v>
      </c>
      <c r="AP813" s="14">
        <f>IFERROR(__xludf.DUMMYFUNCTION("""COMPUTED_VALUE"""),23.0)</f>
        <v>23</v>
      </c>
      <c r="AQ813" s="14">
        <f>IFERROR(__xludf.DUMMYFUNCTION("""COMPUTED_VALUE"""),34.0)</f>
        <v>34</v>
      </c>
      <c r="AR813" s="14">
        <f>IFERROR(__xludf.DUMMYFUNCTION("""COMPUTED_VALUE"""),89.0)</f>
        <v>89</v>
      </c>
      <c r="AS813" s="14">
        <f>IFERROR(__xludf.DUMMYFUNCTION("""COMPUTED_VALUE"""),1.2)</f>
        <v>1.2</v>
      </c>
      <c r="AT813" s="14">
        <f>IFERROR(__xludf.DUMMYFUNCTION("""COMPUTED_VALUE"""),0.07)</f>
        <v>0.07</v>
      </c>
      <c r="AU813" s="14">
        <f>IFERROR(__xludf.DUMMYFUNCTION("""COMPUTED_VALUE"""),1.439E7)</f>
        <v>14390000</v>
      </c>
      <c r="AV813" s="14">
        <f>IFERROR(__xludf.DUMMYFUNCTION("""COMPUTED_VALUE"""),1.53)</f>
        <v>1.53</v>
      </c>
      <c r="AW813" s="14">
        <f>IFERROR(__xludf.DUMMYFUNCTION("""COMPUTED_VALUE"""),15.4)</f>
        <v>15.4</v>
      </c>
      <c r="AX813" s="14">
        <f>IFERROR(__xludf.DUMMYFUNCTION("""COMPUTED_VALUE"""),8200000.0)</f>
        <v>8200000</v>
      </c>
      <c r="AY813" s="14">
        <f>IFERROR(__xludf.DUMMYFUNCTION("""COMPUTED_VALUE"""),2.3)</f>
        <v>2.3</v>
      </c>
      <c r="AZ813" s="14">
        <f>IFERROR(__xludf.DUMMYFUNCTION("""COMPUTED_VALUE"""),0.22)</f>
        <v>0.22</v>
      </c>
      <c r="BA813" s="14">
        <f t="shared" si="1"/>
        <v>17.92</v>
      </c>
    </row>
    <row r="814" ht="14.25" customHeight="1">
      <c r="A814" s="10" t="str">
        <f>IFERROR(__xludf.DUMMYFUNCTION("""COMPUTED_VALUE"""),"150323FE03")</f>
        <v>150323FE03</v>
      </c>
      <c r="B814" s="12" t="str">
        <f>IFERROR(__xludf.DUMMYFUNCTION("""COMPUTED_VALUE"""),"QSL-Portal Usme")</f>
        <v>QSL-Portal Usme</v>
      </c>
      <c r="C814" s="12"/>
      <c r="D814" s="12"/>
      <c r="E814" s="44">
        <f>IFERROR(__xludf.DUMMYFUNCTION("""COMPUTED_VALUE"""),45000.0)</f>
        <v>45000</v>
      </c>
      <c r="F814" s="12" t="str">
        <f>IFERROR(__xludf.DUMMYFUNCTION("""COMPUTED_VALUE"""),"TIPO I")</f>
        <v>TIPO I</v>
      </c>
      <c r="G814" s="12" t="str">
        <f>IFERROR(__xludf.DUMMYFUNCTION("""COMPUTED_VALUE"""),"Canal en concreto con lecho rocoso, durante el monitoreo se observa color y se percibe olor.
Altitud: 2583 msnm. ")</f>
        <v>Canal en concreto con lecho rocoso, durante el monitoreo se observa color y se percibe olor.
Altitud: 2583 msnm. </v>
      </c>
      <c r="H814" s="45">
        <f>IFERROR(__xludf.DUMMYFUNCTION("""COMPUTED_VALUE"""),0.5833333333321207)</f>
        <v>0.5833333333</v>
      </c>
      <c r="I814" s="45">
        <f>IFERROR(__xludf.DUMMYFUNCTION("""COMPUTED_VALUE"""),0.6666666666678793)</f>
        <v>0.6666666667</v>
      </c>
      <c r="J814" s="12">
        <f>IFERROR(__xludf.DUMMYFUNCTION("""COMPUTED_VALUE"""),1.8)</f>
        <v>1.8</v>
      </c>
      <c r="K814" s="12">
        <f>IFERROR(__xludf.DUMMYFUNCTION("""COMPUTED_VALUE"""),0.24)</f>
        <v>0.24</v>
      </c>
      <c r="L814" s="14">
        <f>IFERROR(__xludf.DUMMYFUNCTION("""COMPUTED_VALUE"""),118.906)</f>
        <v>118.906</v>
      </c>
      <c r="M814" s="14">
        <f>IFERROR(__xludf.DUMMYFUNCTION("""COMPUTED_VALUE"""),120.486)</f>
        <v>120.486</v>
      </c>
      <c r="N814" s="14">
        <f>IFERROR(__xludf.DUMMYFUNCTION("""COMPUTED_VALUE"""),122.783)</f>
        <v>122.783</v>
      </c>
      <c r="O814" s="14">
        <f>IFERROR(__xludf.DUMMYFUNCTION("""COMPUTED_VALUE"""),120.763)</f>
        <v>120.763</v>
      </c>
      <c r="P814" s="14">
        <f>IFERROR(__xludf.DUMMYFUNCTION("""COMPUTED_VALUE"""),121.554)</f>
        <v>121.554</v>
      </c>
      <c r="Q814" s="14">
        <f>IFERROR(__xludf.DUMMYFUNCTION("""COMPUTED_VALUE"""),120.898)</f>
        <v>120.898</v>
      </c>
      <c r="R814" s="48">
        <f>IFERROR(__xludf.DUMMYFUNCTION("""COMPUTED_VALUE"""),7.92)</f>
        <v>7.92</v>
      </c>
      <c r="S814" s="48">
        <f>IFERROR(__xludf.DUMMYFUNCTION("""COMPUTED_VALUE"""),7.72)</f>
        <v>7.72</v>
      </c>
      <c r="T814" s="48">
        <f>IFERROR(__xludf.DUMMYFUNCTION("""COMPUTED_VALUE"""),7.66)</f>
        <v>7.66</v>
      </c>
      <c r="U814" s="48">
        <f>IFERROR(__xludf.DUMMYFUNCTION("""COMPUTED_VALUE"""),7.6)</f>
        <v>7.6</v>
      </c>
      <c r="V814" s="48">
        <f>IFERROR(__xludf.DUMMYFUNCTION("""COMPUTED_VALUE"""),7.71)</f>
        <v>7.71</v>
      </c>
      <c r="W814" s="14">
        <f>IFERROR(__xludf.DUMMYFUNCTION("""COMPUTED_VALUE"""),7.7219999999999995)</f>
        <v>7.722</v>
      </c>
      <c r="X814" s="14">
        <f>IFERROR(__xludf.DUMMYFUNCTION("""COMPUTED_VALUE"""),18.9)</f>
        <v>18.9</v>
      </c>
      <c r="Y814" s="14">
        <f>IFERROR(__xludf.DUMMYFUNCTION("""COMPUTED_VALUE"""),18.7)</f>
        <v>18.7</v>
      </c>
      <c r="Z814" s="14">
        <f>IFERROR(__xludf.DUMMYFUNCTION("""COMPUTED_VALUE"""),19.3)</f>
        <v>19.3</v>
      </c>
      <c r="AA814" s="14">
        <f>IFERROR(__xludf.DUMMYFUNCTION("""COMPUTED_VALUE"""),19.2)</f>
        <v>19.2</v>
      </c>
      <c r="AB814" s="14">
        <f>IFERROR(__xludf.DUMMYFUNCTION("""COMPUTED_VALUE"""),19.2)</f>
        <v>19.2</v>
      </c>
      <c r="AC814" s="14">
        <f>IFERROR(__xludf.DUMMYFUNCTION("""COMPUTED_VALUE"""),19.06)</f>
        <v>19.06</v>
      </c>
      <c r="AD814" s="48">
        <f>IFERROR(__xludf.DUMMYFUNCTION("""COMPUTED_VALUE"""),444.0)</f>
        <v>444</v>
      </c>
      <c r="AE814" s="48">
        <f>IFERROR(__xludf.DUMMYFUNCTION("""COMPUTED_VALUE"""),447.0)</f>
        <v>447</v>
      </c>
      <c r="AF814" s="48">
        <f>IFERROR(__xludf.DUMMYFUNCTION("""COMPUTED_VALUE"""),436.0)</f>
        <v>436</v>
      </c>
      <c r="AG814" s="48">
        <f>IFERROR(__xludf.DUMMYFUNCTION("""COMPUTED_VALUE"""),397.0)</f>
        <v>397</v>
      </c>
      <c r="AH814" s="48">
        <f>IFERROR(__xludf.DUMMYFUNCTION("""COMPUTED_VALUE"""),400.0)</f>
        <v>400</v>
      </c>
      <c r="AI814" s="14">
        <f>IFERROR(__xludf.DUMMYFUNCTION("""COMPUTED_VALUE"""),424.8)</f>
        <v>424.8</v>
      </c>
      <c r="AJ814" s="14">
        <f>IFERROR(__xludf.DUMMYFUNCTION("""COMPUTED_VALUE"""),2.15)</f>
        <v>2.15</v>
      </c>
      <c r="AK814" s="14">
        <f>IFERROR(__xludf.DUMMYFUNCTION("""COMPUTED_VALUE"""),2.49)</f>
        <v>2.49</v>
      </c>
      <c r="AL814" s="14">
        <f>IFERROR(__xludf.DUMMYFUNCTION("""COMPUTED_VALUE"""),2.57)</f>
        <v>2.57</v>
      </c>
      <c r="AM814" s="14">
        <f>IFERROR(__xludf.DUMMYFUNCTION("""COMPUTED_VALUE"""),2.34)</f>
        <v>2.34</v>
      </c>
      <c r="AN814" s="14">
        <f>IFERROR(__xludf.DUMMYFUNCTION("""COMPUTED_VALUE"""),2.41)</f>
        <v>2.41</v>
      </c>
      <c r="AO814" s="14">
        <f>IFERROR(__xludf.DUMMYFUNCTION("""COMPUTED_VALUE"""),2.3920000000000003)</f>
        <v>2.392</v>
      </c>
      <c r="AP814" s="14">
        <f>IFERROR(__xludf.DUMMYFUNCTION("""COMPUTED_VALUE"""),99.0)</f>
        <v>99</v>
      </c>
      <c r="AQ814" s="14">
        <f>IFERROR(__xludf.DUMMYFUNCTION("""COMPUTED_VALUE"""),136.0)</f>
        <v>136</v>
      </c>
      <c r="AR814" s="14">
        <f>IFERROR(__xludf.DUMMYFUNCTION("""COMPUTED_VALUE"""),125.0)</f>
        <v>125</v>
      </c>
      <c r="AS814" s="14">
        <f>IFERROR(__xludf.DUMMYFUNCTION("""COMPUTED_VALUE"""),48.0)</f>
        <v>48</v>
      </c>
      <c r="AT814" s="14">
        <f>IFERROR(__xludf.DUMMYFUNCTION("""COMPUTED_VALUE"""),3.04)</f>
        <v>3.04</v>
      </c>
      <c r="AU814" s="14">
        <f>IFERROR(__xludf.DUMMYFUNCTION("""COMPUTED_VALUE"""),1.664E7)</f>
        <v>16640000</v>
      </c>
      <c r="AV814" s="14">
        <f>IFERROR(__xludf.DUMMYFUNCTION("""COMPUTED_VALUE"""),1.19)</f>
        <v>1.19</v>
      </c>
      <c r="AW814" s="14">
        <f>IFERROR(__xludf.DUMMYFUNCTION("""COMPUTED_VALUE"""),16.5)</f>
        <v>16.5</v>
      </c>
      <c r="AX814" s="14">
        <f>IFERROR(__xludf.DUMMYFUNCTION("""COMPUTED_VALUE"""),8090000.0)</f>
        <v>8090000</v>
      </c>
      <c r="AY814" s="14">
        <f>IFERROR(__xludf.DUMMYFUNCTION("""COMPUTED_VALUE"""),1.8)</f>
        <v>1.8</v>
      </c>
      <c r="AZ814" s="14">
        <f>IFERROR(__xludf.DUMMYFUNCTION("""COMPUTED_VALUE"""),0.007)</f>
        <v>0.007</v>
      </c>
      <c r="BA814" s="14">
        <f t="shared" si="1"/>
        <v>18.307</v>
      </c>
    </row>
    <row r="815" ht="14.25" customHeight="1">
      <c r="A815" s="10" t="str">
        <f>IFERROR(__xludf.DUMMYFUNCTION("""COMPUTED_VALUE"""),"300323MI02")</f>
        <v>300323MI02</v>
      </c>
      <c r="B815" s="12" t="str">
        <f>IFERROR(__xludf.DUMMYFUNCTION("""COMPUTED_VALUE"""),"CON-Country")</f>
        <v>CON-Country</v>
      </c>
      <c r="C815" s="12"/>
      <c r="D815" s="12"/>
      <c r="E815" s="44">
        <f>IFERROR(__xludf.DUMMYFUNCTION("""COMPUTED_VALUE"""),45015.0)</f>
        <v>45015</v>
      </c>
      <c r="F815" s="12" t="str">
        <f>IFERROR(__xludf.DUMMYFUNCTION("""COMPUTED_VALUE"""),"TIPO I")</f>
        <v>TIPO I</v>
      </c>
      <c r="G815" s="12" t="str">
        <f>IFERROR(__xludf.DUMMYFUNCTION("""COMPUTED_VALUE"""),"El monitoreo se realiza en canal con estructura en concreto, durante la toma de muestra se observa color y se percibe olor. ")</f>
        <v>El monitoreo se realiza en canal con estructura en concreto, durante la toma de muestra se observa color y se percibe olor. </v>
      </c>
      <c r="H815" s="45">
        <f>IFERROR(__xludf.DUMMYFUNCTION("""COMPUTED_VALUE"""),0.4166666666678793)</f>
        <v>0.4166666667</v>
      </c>
      <c r="I815" s="45">
        <f>IFERROR(__xludf.DUMMYFUNCTION("""COMPUTED_VALUE"""),0.5)</f>
        <v>0.5</v>
      </c>
      <c r="J815" s="12">
        <f>IFERROR(__xludf.DUMMYFUNCTION("""COMPUTED_VALUE"""),5.0)</f>
        <v>5</v>
      </c>
      <c r="K815" s="12">
        <f>IFERROR(__xludf.DUMMYFUNCTION("""COMPUTED_VALUE"""),0.12)</f>
        <v>0.12</v>
      </c>
      <c r="L815" s="14">
        <f>IFERROR(__xludf.DUMMYFUNCTION("""COMPUTED_VALUE"""),77.478)</f>
        <v>77.478</v>
      </c>
      <c r="M815" s="14">
        <f>IFERROR(__xludf.DUMMYFUNCTION("""COMPUTED_VALUE"""),75.197)</f>
        <v>75.197</v>
      </c>
      <c r="N815" s="14">
        <f>IFERROR(__xludf.DUMMYFUNCTION("""COMPUTED_VALUE"""),75.319)</f>
        <v>75.319</v>
      </c>
      <c r="O815" s="14">
        <f>IFERROR(__xludf.DUMMYFUNCTION("""COMPUTED_VALUE"""),77.529)</f>
        <v>77.529</v>
      </c>
      <c r="P815" s="14">
        <f>IFERROR(__xludf.DUMMYFUNCTION("""COMPUTED_VALUE"""),75.807)</f>
        <v>75.807</v>
      </c>
      <c r="Q815" s="14">
        <f>IFERROR(__xludf.DUMMYFUNCTION("""COMPUTED_VALUE"""),76.266)</f>
        <v>76.266</v>
      </c>
      <c r="R815" s="48">
        <f>IFERROR(__xludf.DUMMYFUNCTION("""COMPUTED_VALUE"""),8.26)</f>
        <v>8.26</v>
      </c>
      <c r="S815" s="48">
        <f>IFERROR(__xludf.DUMMYFUNCTION("""COMPUTED_VALUE"""),8.43)</f>
        <v>8.43</v>
      </c>
      <c r="T815" s="48">
        <f>IFERROR(__xludf.DUMMYFUNCTION("""COMPUTED_VALUE"""),8.52)</f>
        <v>8.52</v>
      </c>
      <c r="U815" s="48">
        <f>IFERROR(__xludf.DUMMYFUNCTION("""COMPUTED_VALUE"""),8.29)</f>
        <v>8.29</v>
      </c>
      <c r="V815" s="48">
        <f>IFERROR(__xludf.DUMMYFUNCTION("""COMPUTED_VALUE"""),8.37)</f>
        <v>8.37</v>
      </c>
      <c r="W815" s="14">
        <f>IFERROR(__xludf.DUMMYFUNCTION("""COMPUTED_VALUE"""),8.373999999999999)</f>
        <v>8.374</v>
      </c>
      <c r="X815" s="14">
        <f>IFERROR(__xludf.DUMMYFUNCTION("""COMPUTED_VALUE"""),19.5)</f>
        <v>19.5</v>
      </c>
      <c r="Y815" s="14">
        <f>IFERROR(__xludf.DUMMYFUNCTION("""COMPUTED_VALUE"""),19.7)</f>
        <v>19.7</v>
      </c>
      <c r="Z815" s="14">
        <f>IFERROR(__xludf.DUMMYFUNCTION("""COMPUTED_VALUE"""),20.2)</f>
        <v>20.2</v>
      </c>
      <c r="AA815" s="14">
        <f>IFERROR(__xludf.DUMMYFUNCTION("""COMPUTED_VALUE"""),20.0)</f>
        <v>20</v>
      </c>
      <c r="AB815" s="14">
        <f>IFERROR(__xludf.DUMMYFUNCTION("""COMPUTED_VALUE"""),20.8)</f>
        <v>20.8</v>
      </c>
      <c r="AC815" s="14">
        <f>IFERROR(__xludf.DUMMYFUNCTION("""COMPUTED_VALUE"""),20.04)</f>
        <v>20.04</v>
      </c>
      <c r="AD815" s="48">
        <f>IFERROR(__xludf.DUMMYFUNCTION("""COMPUTED_VALUE"""),439.0)</f>
        <v>439</v>
      </c>
      <c r="AE815" s="48">
        <f>IFERROR(__xludf.DUMMYFUNCTION("""COMPUTED_VALUE"""),451.0)</f>
        <v>451</v>
      </c>
      <c r="AF815" s="48">
        <f>IFERROR(__xludf.DUMMYFUNCTION("""COMPUTED_VALUE"""),453.0)</f>
        <v>453</v>
      </c>
      <c r="AG815" s="48">
        <f>IFERROR(__xludf.DUMMYFUNCTION("""COMPUTED_VALUE"""),413.0)</f>
        <v>413</v>
      </c>
      <c r="AH815" s="48">
        <f>IFERROR(__xludf.DUMMYFUNCTION("""COMPUTED_VALUE"""),442.0)</f>
        <v>442</v>
      </c>
      <c r="AI815" s="14">
        <f>IFERROR(__xludf.DUMMYFUNCTION("""COMPUTED_VALUE"""),439.6)</f>
        <v>439.6</v>
      </c>
      <c r="AJ815" s="14">
        <f>IFERROR(__xludf.DUMMYFUNCTION("""COMPUTED_VALUE"""),3.92)</f>
        <v>3.92</v>
      </c>
      <c r="AK815" s="14">
        <f>IFERROR(__xludf.DUMMYFUNCTION("""COMPUTED_VALUE"""),2.97)</f>
        <v>2.97</v>
      </c>
      <c r="AL815" s="14">
        <f>IFERROR(__xludf.DUMMYFUNCTION("""COMPUTED_VALUE"""),3.8)</f>
        <v>3.8</v>
      </c>
      <c r="AM815" s="14">
        <f>IFERROR(__xludf.DUMMYFUNCTION("""COMPUTED_VALUE"""),3.1)</f>
        <v>3.1</v>
      </c>
      <c r="AN815" s="14">
        <f>IFERROR(__xludf.DUMMYFUNCTION("""COMPUTED_VALUE"""),3.51)</f>
        <v>3.51</v>
      </c>
      <c r="AO815" s="14">
        <f>IFERROR(__xludf.DUMMYFUNCTION("""COMPUTED_VALUE"""),3.46)</f>
        <v>3.46</v>
      </c>
      <c r="AP815" s="14">
        <f>IFERROR(__xludf.DUMMYFUNCTION("""COMPUTED_VALUE"""),46.0)</f>
        <v>46</v>
      </c>
      <c r="AQ815" s="14">
        <f>IFERROR(__xludf.DUMMYFUNCTION("""COMPUTED_VALUE"""),69.0)</f>
        <v>69</v>
      </c>
      <c r="AR815" s="14">
        <f>IFERROR(__xludf.DUMMYFUNCTION("""COMPUTED_VALUE"""),45.0)</f>
        <v>45</v>
      </c>
      <c r="AS815" s="14">
        <f>IFERROR(__xludf.DUMMYFUNCTION("""COMPUTED_VALUE"""),21.0)</f>
        <v>21</v>
      </c>
      <c r="AT815" s="14">
        <f>IFERROR(__xludf.DUMMYFUNCTION("""COMPUTED_VALUE"""),1.28)</f>
        <v>1.28</v>
      </c>
      <c r="AU815" s="14">
        <f>IFERROR(__xludf.DUMMYFUNCTION("""COMPUTED_VALUE"""),1.246E7)</f>
        <v>12460000</v>
      </c>
      <c r="AV815" s="14">
        <f>IFERROR(__xludf.DUMMYFUNCTION("""COMPUTED_VALUE"""),1.94)</f>
        <v>1.94</v>
      </c>
      <c r="AW815" s="14">
        <f>IFERROR(__xludf.DUMMYFUNCTION("""COMPUTED_VALUE"""),18.8)</f>
        <v>18.8</v>
      </c>
      <c r="AX815" s="14">
        <f>IFERROR(__xludf.DUMMYFUNCTION("""COMPUTED_VALUE"""),880000.0)</f>
        <v>880000</v>
      </c>
      <c r="AY815" s="14">
        <f>IFERROR(__xludf.DUMMYFUNCTION("""COMPUTED_VALUE"""),0.4)</f>
        <v>0.4</v>
      </c>
      <c r="AZ815" s="14">
        <f>IFERROR(__xludf.DUMMYFUNCTION("""COMPUTED_VALUE"""),0.007)</f>
        <v>0.007</v>
      </c>
      <c r="BA815" s="14">
        <f t="shared" si="1"/>
        <v>19.207</v>
      </c>
    </row>
    <row r="816" ht="14.25" customHeight="1">
      <c r="A816" s="10" t="str">
        <f>IFERROR(__xludf.DUMMYFUNCTION("""COMPUTED_VALUE"""),"300323MI01")</f>
        <v>300323MI01</v>
      </c>
      <c r="B816" s="12" t="str">
        <f>IFERROR(__xludf.DUMMYFUNCTION("""COMPUTED_VALUE"""),"CON-Callejas")</f>
        <v>CON-Callejas</v>
      </c>
      <c r="C816" s="12"/>
      <c r="D816" s="12"/>
      <c r="E816" s="44">
        <f>IFERROR(__xludf.DUMMYFUNCTION("""COMPUTED_VALUE"""),45015.0)</f>
        <v>45015</v>
      </c>
      <c r="F816" s="12" t="str">
        <f>IFERROR(__xludf.DUMMYFUNCTION("""COMPUTED_VALUE"""),"TIPO I")</f>
        <v>TIPO I</v>
      </c>
      <c r="G816" s="12" t="str">
        <f>IFERROR(__xludf.DUMMYFUNCTION("""COMPUTED_VALUE"""),"Monitoreo realizado en canal con estructura en concreto, se observa   color, no se percibe olor. 
Altitud 2557 m.s.n.m. 
")</f>
        <v>Monitoreo realizado en canal con estructura en concreto, se observa   color, no se percibe olor. 
Altitud 2557 m.s.n.m. 
</v>
      </c>
      <c r="H816" s="45">
        <f>IFERROR(__xludf.DUMMYFUNCTION("""COMPUTED_VALUE"""),0.25)</f>
        <v>0.25</v>
      </c>
      <c r="I816" s="45">
        <f>IFERROR(__xludf.DUMMYFUNCTION("""COMPUTED_VALUE"""),0.3333333333321207)</f>
        <v>0.3333333333</v>
      </c>
      <c r="J816" s="12">
        <f>IFERROR(__xludf.DUMMYFUNCTION("""COMPUTED_VALUE"""),5.4)</f>
        <v>5.4</v>
      </c>
      <c r="K816" s="12">
        <f>IFERROR(__xludf.DUMMYFUNCTION("""COMPUTED_VALUE"""),0.12)</f>
        <v>0.12</v>
      </c>
      <c r="L816" s="14">
        <f>IFERROR(__xludf.DUMMYFUNCTION("""COMPUTED_VALUE"""),62.709)</f>
        <v>62.709</v>
      </c>
      <c r="M816" s="14">
        <f>IFERROR(__xludf.DUMMYFUNCTION("""COMPUTED_VALUE"""),61.904)</f>
        <v>61.904</v>
      </c>
      <c r="N816" s="14">
        <f>IFERROR(__xludf.DUMMYFUNCTION("""COMPUTED_VALUE"""),62.619)</f>
        <v>62.619</v>
      </c>
      <c r="O816" s="14">
        <f>IFERROR(__xludf.DUMMYFUNCTION("""COMPUTED_VALUE"""),64.492)</f>
        <v>64.492</v>
      </c>
      <c r="P816" s="14">
        <f>IFERROR(__xludf.DUMMYFUNCTION("""COMPUTED_VALUE"""),63.985)</f>
        <v>63.985</v>
      </c>
      <c r="Q816" s="14">
        <f>IFERROR(__xludf.DUMMYFUNCTION("""COMPUTED_VALUE"""),63.142)</f>
        <v>63.142</v>
      </c>
      <c r="R816" s="48">
        <f>IFERROR(__xludf.DUMMYFUNCTION("""COMPUTED_VALUE"""),7.07)</f>
        <v>7.07</v>
      </c>
      <c r="S816" s="48">
        <f>IFERROR(__xludf.DUMMYFUNCTION("""COMPUTED_VALUE"""),7.27)</f>
        <v>7.27</v>
      </c>
      <c r="T816" s="48">
        <f>IFERROR(__xludf.DUMMYFUNCTION("""COMPUTED_VALUE"""),7.44)</f>
        <v>7.44</v>
      </c>
      <c r="U816" s="48">
        <f>IFERROR(__xludf.DUMMYFUNCTION("""COMPUTED_VALUE"""),7.49)</f>
        <v>7.49</v>
      </c>
      <c r="V816" s="48">
        <f>IFERROR(__xludf.DUMMYFUNCTION("""COMPUTED_VALUE"""),7.5)</f>
        <v>7.5</v>
      </c>
      <c r="W816" s="14">
        <f>IFERROR(__xludf.DUMMYFUNCTION("""COMPUTED_VALUE"""),7.354000000000001)</f>
        <v>7.354</v>
      </c>
      <c r="X816" s="14">
        <f>IFERROR(__xludf.DUMMYFUNCTION("""COMPUTED_VALUE"""),16.0)</f>
        <v>16</v>
      </c>
      <c r="Y816" s="14">
        <f>IFERROR(__xludf.DUMMYFUNCTION("""COMPUTED_VALUE"""),16.1)</f>
        <v>16.1</v>
      </c>
      <c r="Z816" s="14">
        <f>IFERROR(__xludf.DUMMYFUNCTION("""COMPUTED_VALUE"""),16.7)</f>
        <v>16.7</v>
      </c>
      <c r="AA816" s="14">
        <f>IFERROR(__xludf.DUMMYFUNCTION("""COMPUTED_VALUE"""),16.8)</f>
        <v>16.8</v>
      </c>
      <c r="AB816" s="14">
        <f>IFERROR(__xludf.DUMMYFUNCTION("""COMPUTED_VALUE"""),16.7)</f>
        <v>16.7</v>
      </c>
      <c r="AC816" s="14">
        <f>IFERROR(__xludf.DUMMYFUNCTION("""COMPUTED_VALUE"""),16.46)</f>
        <v>16.46</v>
      </c>
      <c r="AD816" s="48">
        <f>IFERROR(__xludf.DUMMYFUNCTION("""COMPUTED_VALUE"""),200.0)</f>
        <v>200</v>
      </c>
      <c r="AE816" s="48">
        <f>IFERROR(__xludf.DUMMYFUNCTION("""COMPUTED_VALUE"""),189.0)</f>
        <v>189</v>
      </c>
      <c r="AF816" s="48">
        <f>IFERROR(__xludf.DUMMYFUNCTION("""COMPUTED_VALUE"""),195.0)</f>
        <v>195</v>
      </c>
      <c r="AG816" s="48">
        <f>IFERROR(__xludf.DUMMYFUNCTION("""COMPUTED_VALUE"""),187.0)</f>
        <v>187</v>
      </c>
      <c r="AH816" s="48">
        <f>IFERROR(__xludf.DUMMYFUNCTION("""COMPUTED_VALUE"""),227.0)</f>
        <v>227</v>
      </c>
      <c r="AI816" s="14">
        <f>IFERROR(__xludf.DUMMYFUNCTION("""COMPUTED_VALUE"""),199.6)</f>
        <v>199.6</v>
      </c>
      <c r="AJ816" s="14">
        <f>IFERROR(__xludf.DUMMYFUNCTION("""COMPUTED_VALUE"""),5.11)</f>
        <v>5.11</v>
      </c>
      <c r="AK816" s="14">
        <f>IFERROR(__xludf.DUMMYFUNCTION("""COMPUTED_VALUE"""),4.57)</f>
        <v>4.57</v>
      </c>
      <c r="AL816" s="14">
        <f>IFERROR(__xludf.DUMMYFUNCTION("""COMPUTED_VALUE"""),4.88)</f>
        <v>4.88</v>
      </c>
      <c r="AM816" s="14">
        <f>IFERROR(__xludf.DUMMYFUNCTION("""COMPUTED_VALUE"""),4.72)</f>
        <v>4.72</v>
      </c>
      <c r="AN816" s="14">
        <f>IFERROR(__xludf.DUMMYFUNCTION("""COMPUTED_VALUE"""),5.72)</f>
        <v>5.72</v>
      </c>
      <c r="AO816" s="14">
        <f>IFERROR(__xludf.DUMMYFUNCTION("""COMPUTED_VALUE"""),4.999999999999999)</f>
        <v>5</v>
      </c>
      <c r="AP816" s="14">
        <f>IFERROR(__xludf.DUMMYFUNCTION("""COMPUTED_VALUE"""),15.0)</f>
        <v>15</v>
      </c>
      <c r="AQ816" s="14">
        <f>IFERROR(__xludf.DUMMYFUNCTION("""COMPUTED_VALUE"""),24.0)</f>
        <v>24</v>
      </c>
      <c r="AR816" s="14">
        <f>IFERROR(__xludf.DUMMYFUNCTION("""COMPUTED_VALUE"""),11.0)</f>
        <v>11</v>
      </c>
      <c r="AS816" s="14">
        <f>IFERROR(__xludf.DUMMYFUNCTION("""COMPUTED_VALUE"""),1.2)</f>
        <v>1.2</v>
      </c>
      <c r="AT816" s="14">
        <f>IFERROR(__xludf.DUMMYFUNCTION("""COMPUTED_VALUE"""),0.07)</f>
        <v>0.07</v>
      </c>
      <c r="AU816" s="14">
        <f>IFERROR(__xludf.DUMMYFUNCTION("""COMPUTED_VALUE"""),1.935E7)</f>
        <v>19350000</v>
      </c>
      <c r="AV816" s="14">
        <f>IFERROR(__xludf.DUMMYFUNCTION("""COMPUTED_VALUE"""),0.52)</f>
        <v>0.52</v>
      </c>
      <c r="AW816" s="14">
        <f>IFERROR(__xludf.DUMMYFUNCTION("""COMPUTED_VALUE"""),7.0)</f>
        <v>7</v>
      </c>
      <c r="AX816" s="14">
        <f>IFERROR(__xludf.DUMMYFUNCTION("""COMPUTED_VALUE"""),5880000.0)</f>
        <v>5880000</v>
      </c>
      <c r="AY816" s="14">
        <f>IFERROR(__xludf.DUMMYFUNCTION("""COMPUTED_VALUE"""),1.2)</f>
        <v>1.2</v>
      </c>
      <c r="AZ816" s="14">
        <f>IFERROR(__xludf.DUMMYFUNCTION("""COMPUTED_VALUE"""),0.038)</f>
        <v>0.038</v>
      </c>
      <c r="BA816" s="14">
        <f t="shared" si="1"/>
        <v>8.238</v>
      </c>
    </row>
    <row r="817" ht="14.25" customHeight="1">
      <c r="A817" s="10" t="str">
        <f>IFERROR(__xludf.DUMMYFUNCTION("""COMPUTED_VALUE"""),"300323MI03")</f>
        <v>300323MI03</v>
      </c>
      <c r="B817" s="12" t="str">
        <f>IFERROR(__xludf.DUMMYFUNCTION("""COMPUTED_VALUE"""),"CON-Camino del Contador")</f>
        <v>CON-Camino del Contador</v>
      </c>
      <c r="C817" s="12"/>
      <c r="D817" s="12"/>
      <c r="E817" s="44">
        <f>IFERROR(__xludf.DUMMYFUNCTION("""COMPUTED_VALUE"""),45015.0)</f>
        <v>45015</v>
      </c>
      <c r="F817" s="12" t="str">
        <f>IFERROR(__xludf.DUMMYFUNCTION("""COMPUTED_VALUE"""),"TIPO I")</f>
        <v>TIPO I</v>
      </c>
      <c r="G817" s="12" t="str">
        <f>IFERROR(__xludf.DUMMYFUNCTION("""COMPUTED_VALUE"""),"Monitoreo realizado en canal con estructura en concreto, se observan residuos sólidos en los alrededores del punto de monitoreo.
Durante la toma de muestra se observa color y no se percibe olor. ")</f>
        <v>Monitoreo realizado en canal con estructura en concreto, se observan residuos sólidos en los alrededores del punto de monitoreo.
Durante la toma de muestra se observa color y no se percibe olor. </v>
      </c>
      <c r="H817" s="45">
        <f>IFERROR(__xludf.DUMMYFUNCTION("""COMPUTED_VALUE"""),0.5833333333321207)</f>
        <v>0.5833333333</v>
      </c>
      <c r="I817" s="45">
        <f>IFERROR(__xludf.DUMMYFUNCTION("""COMPUTED_VALUE"""),0.6666666666678793)</f>
        <v>0.6666666667</v>
      </c>
      <c r="J817" s="12">
        <f>IFERROR(__xludf.DUMMYFUNCTION("""COMPUTED_VALUE"""),5.2)</f>
        <v>5.2</v>
      </c>
      <c r="K817" s="12">
        <f>IFERROR(__xludf.DUMMYFUNCTION("""COMPUTED_VALUE"""),0.11)</f>
        <v>0.11</v>
      </c>
      <c r="L817" s="14">
        <f>IFERROR(__xludf.DUMMYFUNCTION("""COMPUTED_VALUE"""),123.657)</f>
        <v>123.657</v>
      </c>
      <c r="M817" s="14">
        <f>IFERROR(__xludf.DUMMYFUNCTION("""COMPUTED_VALUE"""),117.129)</f>
        <v>117.129</v>
      </c>
      <c r="N817" s="14">
        <f>IFERROR(__xludf.DUMMYFUNCTION("""COMPUTED_VALUE"""),118.746)</f>
        <v>118.746</v>
      </c>
      <c r="O817" s="14">
        <f>IFERROR(__xludf.DUMMYFUNCTION("""COMPUTED_VALUE"""),121.459)</f>
        <v>121.459</v>
      </c>
      <c r="P817" s="14">
        <f>IFERROR(__xludf.DUMMYFUNCTION("""COMPUTED_VALUE"""),123.604)</f>
        <v>123.604</v>
      </c>
      <c r="Q817" s="14">
        <f>IFERROR(__xludf.DUMMYFUNCTION("""COMPUTED_VALUE"""),120.919)</f>
        <v>120.919</v>
      </c>
      <c r="R817" s="48">
        <f>IFERROR(__xludf.DUMMYFUNCTION("""COMPUTED_VALUE"""),8.38)</f>
        <v>8.38</v>
      </c>
      <c r="S817" s="48">
        <f>IFERROR(__xludf.DUMMYFUNCTION("""COMPUTED_VALUE"""),8.22)</f>
        <v>8.22</v>
      </c>
      <c r="T817" s="48">
        <f>IFERROR(__xludf.DUMMYFUNCTION("""COMPUTED_VALUE"""),8.34)</f>
        <v>8.34</v>
      </c>
      <c r="U817" s="48">
        <f>IFERROR(__xludf.DUMMYFUNCTION("""COMPUTED_VALUE"""),8.09)</f>
        <v>8.09</v>
      </c>
      <c r="V817" s="48">
        <f>IFERROR(__xludf.DUMMYFUNCTION("""COMPUTED_VALUE"""),8.3)</f>
        <v>8.3</v>
      </c>
      <c r="W817" s="14">
        <f>IFERROR(__xludf.DUMMYFUNCTION("""COMPUTED_VALUE"""),8.266)</f>
        <v>8.266</v>
      </c>
      <c r="X817" s="14">
        <f>IFERROR(__xludf.DUMMYFUNCTION("""COMPUTED_VALUE"""),19.8)</f>
        <v>19.8</v>
      </c>
      <c r="Y817" s="14">
        <f>IFERROR(__xludf.DUMMYFUNCTION("""COMPUTED_VALUE"""),19.9)</f>
        <v>19.9</v>
      </c>
      <c r="Z817" s="14">
        <f>IFERROR(__xludf.DUMMYFUNCTION("""COMPUTED_VALUE"""),19.7)</f>
        <v>19.7</v>
      </c>
      <c r="AA817" s="14">
        <f>IFERROR(__xludf.DUMMYFUNCTION("""COMPUTED_VALUE"""),19.5)</f>
        <v>19.5</v>
      </c>
      <c r="AB817" s="14">
        <f>IFERROR(__xludf.DUMMYFUNCTION("""COMPUTED_VALUE"""),19.4)</f>
        <v>19.4</v>
      </c>
      <c r="AC817" s="14">
        <f>IFERROR(__xludf.DUMMYFUNCTION("""COMPUTED_VALUE"""),19.660000000000004)</f>
        <v>19.66</v>
      </c>
      <c r="AD817" s="48">
        <f>IFERROR(__xludf.DUMMYFUNCTION("""COMPUTED_VALUE"""),336.0)</f>
        <v>336</v>
      </c>
      <c r="AE817" s="48">
        <f>IFERROR(__xludf.DUMMYFUNCTION("""COMPUTED_VALUE"""),343.0)</f>
        <v>343</v>
      </c>
      <c r="AF817" s="48">
        <f>IFERROR(__xludf.DUMMYFUNCTION("""COMPUTED_VALUE"""),333.0)</f>
        <v>333</v>
      </c>
      <c r="AG817" s="48">
        <f>IFERROR(__xludf.DUMMYFUNCTION("""COMPUTED_VALUE"""),307.0)</f>
        <v>307</v>
      </c>
      <c r="AH817" s="48">
        <f>IFERROR(__xludf.DUMMYFUNCTION("""COMPUTED_VALUE"""),325.0)</f>
        <v>325</v>
      </c>
      <c r="AI817" s="14">
        <f>IFERROR(__xludf.DUMMYFUNCTION("""COMPUTED_VALUE"""),328.8)</f>
        <v>328.8</v>
      </c>
      <c r="AJ817" s="14">
        <f>IFERROR(__xludf.DUMMYFUNCTION("""COMPUTED_VALUE"""),4.93)</f>
        <v>4.93</v>
      </c>
      <c r="AK817" s="14">
        <f>IFERROR(__xludf.DUMMYFUNCTION("""COMPUTED_VALUE"""),4.7)</f>
        <v>4.7</v>
      </c>
      <c r="AL817" s="14">
        <f>IFERROR(__xludf.DUMMYFUNCTION("""COMPUTED_VALUE"""),4.73)</f>
        <v>4.73</v>
      </c>
      <c r="AM817" s="14">
        <f>IFERROR(__xludf.DUMMYFUNCTION("""COMPUTED_VALUE"""),4.83)</f>
        <v>4.83</v>
      </c>
      <c r="AN817" s="14">
        <f>IFERROR(__xludf.DUMMYFUNCTION("""COMPUTED_VALUE"""),4.96)</f>
        <v>4.96</v>
      </c>
      <c r="AO817" s="14">
        <f>IFERROR(__xludf.DUMMYFUNCTION("""COMPUTED_VALUE"""),4.83)</f>
        <v>4.83</v>
      </c>
      <c r="AP817" s="14">
        <f>IFERROR(__xludf.DUMMYFUNCTION("""COMPUTED_VALUE"""),28.0)</f>
        <v>28</v>
      </c>
      <c r="AQ817" s="14">
        <f>IFERROR(__xludf.DUMMYFUNCTION("""COMPUTED_VALUE"""),44.0)</f>
        <v>44</v>
      </c>
      <c r="AR817" s="14">
        <f>IFERROR(__xludf.DUMMYFUNCTION("""COMPUTED_VALUE"""),21.0)</f>
        <v>21</v>
      </c>
      <c r="AS817" s="14">
        <f>IFERROR(__xludf.DUMMYFUNCTION("""COMPUTED_VALUE"""),16.0)</f>
        <v>16</v>
      </c>
      <c r="AT817" s="14">
        <f>IFERROR(__xludf.DUMMYFUNCTION("""COMPUTED_VALUE"""),0.22)</f>
        <v>0.22</v>
      </c>
      <c r="AU817" s="14">
        <f>IFERROR(__xludf.DUMMYFUNCTION("""COMPUTED_VALUE"""),1529000.0)</f>
        <v>1529000</v>
      </c>
      <c r="AV817" s="14">
        <f>IFERROR(__xludf.DUMMYFUNCTION("""COMPUTED_VALUE"""),1.07)</f>
        <v>1.07</v>
      </c>
      <c r="AW817" s="14">
        <f>IFERROR(__xludf.DUMMYFUNCTION("""COMPUTED_VALUE"""),12.6)</f>
        <v>12.6</v>
      </c>
      <c r="AX817" s="14">
        <f>IFERROR(__xludf.DUMMYFUNCTION("""COMPUTED_VALUE"""),862000.0)</f>
        <v>862000</v>
      </c>
      <c r="AY817" s="14">
        <f>IFERROR(__xludf.DUMMYFUNCTION("""COMPUTED_VALUE"""),1.3)</f>
        <v>1.3</v>
      </c>
      <c r="AZ817" s="14">
        <f>IFERROR(__xludf.DUMMYFUNCTION("""COMPUTED_VALUE"""),0.436)</f>
        <v>0.436</v>
      </c>
      <c r="BA817" s="14">
        <f t="shared" si="1"/>
        <v>14.336</v>
      </c>
    </row>
    <row r="818" ht="14.25" customHeight="1">
      <c r="A818" s="10" t="str">
        <f>IFERROR(__xludf.DUMMYFUNCTION("""COMPUTED_VALUE"""),"040423DA01")</f>
        <v>040423DA01</v>
      </c>
      <c r="B818" s="12" t="str">
        <f>IFERROR(__xludf.DUMMYFUNCTION("""COMPUTED_VALUE"""),"HCO-Los Lagartos")</f>
        <v>HCO-Los Lagartos</v>
      </c>
      <c r="C818" s="12"/>
      <c r="D818" s="12"/>
      <c r="E818" s="44">
        <f>IFERROR(__xludf.DUMMYFUNCTION("""COMPUTED_VALUE"""),45020.0)</f>
        <v>45020</v>
      </c>
      <c r="F818" s="12" t="str">
        <f>IFERROR(__xludf.DUMMYFUNCTION("""COMPUTED_VALUE"""),"TIPO I")</f>
        <v>TIPO I</v>
      </c>
      <c r="G818" s="12" t="str">
        <f>IFERROR(__xludf.DUMMYFUNCTION("""COMPUTED_VALUE"""),"Muestreo se lleva a cabo en estructura Box, material en concreto. 
Durante el monitoreo se percibe olor y se observa color.  ")</f>
        <v>Muestreo se lleva a cabo en estructura Box, material en concreto. 
Durante el monitoreo se percibe olor y se observa color.  </v>
      </c>
      <c r="H818" s="45">
        <f>IFERROR(__xludf.DUMMYFUNCTION("""COMPUTED_VALUE"""),0.25)</f>
        <v>0.25</v>
      </c>
      <c r="I818" s="45">
        <f>IFERROR(__xludf.DUMMYFUNCTION("""COMPUTED_VALUE"""),0.3333333333321207)</f>
        <v>0.3333333333</v>
      </c>
      <c r="J818" s="12">
        <f>IFERROR(__xludf.DUMMYFUNCTION("""COMPUTED_VALUE"""),6.3)</f>
        <v>6.3</v>
      </c>
      <c r="K818" s="12">
        <f>IFERROR(__xludf.DUMMYFUNCTION("""COMPUTED_VALUE"""),0.55)</f>
        <v>0.55</v>
      </c>
      <c r="L818" s="14">
        <f>IFERROR(__xludf.DUMMYFUNCTION("""COMPUTED_VALUE"""),262.115)</f>
        <v>262.115</v>
      </c>
      <c r="M818" s="14">
        <f>IFERROR(__xludf.DUMMYFUNCTION("""COMPUTED_VALUE"""),297.252)</f>
        <v>297.252</v>
      </c>
      <c r="N818" s="14">
        <f>IFERROR(__xludf.DUMMYFUNCTION("""COMPUTED_VALUE"""),304.026)</f>
        <v>304.026</v>
      </c>
      <c r="O818" s="14">
        <f>IFERROR(__xludf.DUMMYFUNCTION("""COMPUTED_VALUE"""),318.663)</f>
        <v>318.663</v>
      </c>
      <c r="P818" s="14">
        <f>IFERROR(__xludf.DUMMYFUNCTION("""COMPUTED_VALUE"""),343.271)</f>
        <v>343.271</v>
      </c>
      <c r="Q818" s="14">
        <f>IFERROR(__xludf.DUMMYFUNCTION("""COMPUTED_VALUE"""),305.066)</f>
        <v>305.066</v>
      </c>
      <c r="R818" s="48">
        <f>IFERROR(__xludf.DUMMYFUNCTION("""COMPUTED_VALUE"""),7.5)</f>
        <v>7.5</v>
      </c>
      <c r="S818" s="48">
        <f>IFERROR(__xludf.DUMMYFUNCTION("""COMPUTED_VALUE"""),7.31)</f>
        <v>7.31</v>
      </c>
      <c r="T818" s="48">
        <f>IFERROR(__xludf.DUMMYFUNCTION("""COMPUTED_VALUE"""),7.25)</f>
        <v>7.25</v>
      </c>
      <c r="U818" s="48">
        <f>IFERROR(__xludf.DUMMYFUNCTION("""COMPUTED_VALUE"""),7.16)</f>
        <v>7.16</v>
      </c>
      <c r="V818" s="48">
        <f>IFERROR(__xludf.DUMMYFUNCTION("""COMPUTED_VALUE"""),7.19)</f>
        <v>7.19</v>
      </c>
      <c r="W818" s="14">
        <f>IFERROR(__xludf.DUMMYFUNCTION("""COMPUTED_VALUE"""),7.281999999999999)</f>
        <v>7.282</v>
      </c>
      <c r="X818" s="14">
        <f>IFERROR(__xludf.DUMMYFUNCTION("""COMPUTED_VALUE"""),17.6)</f>
        <v>17.6</v>
      </c>
      <c r="Y818" s="14">
        <f>IFERROR(__xludf.DUMMYFUNCTION("""COMPUTED_VALUE"""),17.0)</f>
        <v>17</v>
      </c>
      <c r="Z818" s="14">
        <f>IFERROR(__xludf.DUMMYFUNCTION("""COMPUTED_VALUE"""),16.9)</f>
        <v>16.9</v>
      </c>
      <c r="AA818" s="14">
        <f>IFERROR(__xludf.DUMMYFUNCTION("""COMPUTED_VALUE"""),17.5)</f>
        <v>17.5</v>
      </c>
      <c r="AB818" s="14">
        <f>IFERROR(__xludf.DUMMYFUNCTION("""COMPUTED_VALUE"""),17.5)</f>
        <v>17.5</v>
      </c>
      <c r="AC818" s="14">
        <f>IFERROR(__xludf.DUMMYFUNCTION("""COMPUTED_VALUE"""),17.3)</f>
        <v>17.3</v>
      </c>
      <c r="AD818" s="48">
        <f>IFERROR(__xludf.DUMMYFUNCTION("""COMPUTED_VALUE"""),405.0)</f>
        <v>405</v>
      </c>
      <c r="AE818" s="48">
        <f>IFERROR(__xludf.DUMMYFUNCTION("""COMPUTED_VALUE"""),377.0)</f>
        <v>377</v>
      </c>
      <c r="AF818" s="48">
        <f>IFERROR(__xludf.DUMMYFUNCTION("""COMPUTED_VALUE"""),373.0)</f>
        <v>373</v>
      </c>
      <c r="AG818" s="48">
        <f>IFERROR(__xludf.DUMMYFUNCTION("""COMPUTED_VALUE"""),361.0)</f>
        <v>361</v>
      </c>
      <c r="AH818" s="48">
        <f>IFERROR(__xludf.DUMMYFUNCTION("""COMPUTED_VALUE"""),356.0)</f>
        <v>356</v>
      </c>
      <c r="AI818" s="14">
        <f>IFERROR(__xludf.DUMMYFUNCTION("""COMPUTED_VALUE"""),374.4)</f>
        <v>374.4</v>
      </c>
      <c r="AJ818" s="14">
        <f>IFERROR(__xludf.DUMMYFUNCTION("""COMPUTED_VALUE"""),2.34)</f>
        <v>2.34</v>
      </c>
      <c r="AK818" s="14">
        <f>IFERROR(__xludf.DUMMYFUNCTION("""COMPUTED_VALUE"""),2.06)</f>
        <v>2.06</v>
      </c>
      <c r="AL818" s="14">
        <f>IFERROR(__xludf.DUMMYFUNCTION("""COMPUTED_VALUE"""),1.81)</f>
        <v>1.81</v>
      </c>
      <c r="AM818" s="14">
        <f>IFERROR(__xludf.DUMMYFUNCTION("""COMPUTED_VALUE"""),1.74)</f>
        <v>1.74</v>
      </c>
      <c r="AN818" s="14">
        <f>IFERROR(__xludf.DUMMYFUNCTION("""COMPUTED_VALUE"""),1.96)</f>
        <v>1.96</v>
      </c>
      <c r="AO818" s="14">
        <f>IFERROR(__xludf.DUMMYFUNCTION("""COMPUTED_VALUE"""),1.982)</f>
        <v>1.982</v>
      </c>
      <c r="AP818" s="14">
        <f>IFERROR(__xludf.DUMMYFUNCTION("""COMPUTED_VALUE"""),25.0)</f>
        <v>25</v>
      </c>
      <c r="AQ818" s="14">
        <f>IFERROR(__xludf.DUMMYFUNCTION("""COMPUTED_VALUE"""),37.0)</f>
        <v>37</v>
      </c>
      <c r="AR818" s="14">
        <f>IFERROR(__xludf.DUMMYFUNCTION("""COMPUTED_VALUE"""),25.0)</f>
        <v>25</v>
      </c>
      <c r="AS818" s="14">
        <f>IFERROR(__xludf.DUMMYFUNCTION("""COMPUTED_VALUE"""),1.2)</f>
        <v>1.2</v>
      </c>
      <c r="AT818" s="14">
        <f>IFERROR(__xludf.DUMMYFUNCTION("""COMPUTED_VALUE"""),3.35)</f>
        <v>3.35</v>
      </c>
      <c r="AU818" s="14">
        <f>IFERROR(__xludf.DUMMYFUNCTION("""COMPUTED_VALUE"""),1376000.0)</f>
        <v>1376000</v>
      </c>
      <c r="AV818" s="14">
        <f>IFERROR(__xludf.DUMMYFUNCTION("""COMPUTED_VALUE"""),0.98)</f>
        <v>0.98</v>
      </c>
      <c r="AW818" s="14">
        <f>IFERROR(__xludf.DUMMYFUNCTION("""COMPUTED_VALUE"""),10.1)</f>
        <v>10.1</v>
      </c>
      <c r="AX818" s="14">
        <f>IFERROR(__xludf.DUMMYFUNCTION("""COMPUTED_VALUE"""),988000.0)</f>
        <v>988000</v>
      </c>
      <c r="AY818" s="14">
        <f>IFERROR(__xludf.DUMMYFUNCTION("""COMPUTED_VALUE"""),0.6)</f>
        <v>0.6</v>
      </c>
      <c r="AZ818" s="14">
        <f>IFERROR(__xludf.DUMMYFUNCTION("""COMPUTED_VALUE"""),0.007)</f>
        <v>0.007</v>
      </c>
      <c r="BA818" s="14">
        <f t="shared" si="1"/>
        <v>10.707</v>
      </c>
    </row>
    <row r="819" ht="14.25" customHeight="1">
      <c r="A819" s="10" t="str">
        <f>IFERROR(__xludf.DUMMYFUNCTION("""COMPUTED_VALUE"""),"120423FE04")</f>
        <v>120423FE04</v>
      </c>
      <c r="B819" s="12" t="str">
        <f>IFERROR(__xludf.DUMMYFUNCTION("""COMPUTED_VALUE"""),"QZA-Entre Nubes")</f>
        <v>QZA-Entre Nubes</v>
      </c>
      <c r="C819" s="12"/>
      <c r="D819" s="12"/>
      <c r="E819" s="44">
        <f>IFERROR(__xludf.DUMMYFUNCTION("""COMPUTED_VALUE"""),45028.0)</f>
        <v>45028</v>
      </c>
      <c r="F819" s="12" t="str">
        <f>IFERROR(__xludf.DUMMYFUNCTION("""COMPUTED_VALUE"""),"TIPO I")</f>
        <v>TIPO I</v>
      </c>
      <c r="G819" s="12" t="str">
        <f>IFERROR(__xludf.DUMMYFUNCTION("""COMPUTED_VALUE"""),"Monitoreo realizado en canal con estructura en concreto con lama en la base; durante el monitoreo se observan residuos sólidos en la margen, material flotante y espuma.
Durante las toma de muestra se observa color y se percibe olor. ")</f>
        <v>Monitoreo realizado en canal con estructura en concreto con lama en la base; durante el monitoreo se observan residuos sólidos en la margen, material flotante y espuma.
Durante las toma de muestra se observa color y se percibe olor. </v>
      </c>
      <c r="H819" s="45">
        <f>IFERROR(__xludf.DUMMYFUNCTION("""COMPUTED_VALUE"""),0.6666666666678793)</f>
        <v>0.6666666667</v>
      </c>
      <c r="I819" s="45">
        <f>IFERROR(__xludf.DUMMYFUNCTION("""COMPUTED_VALUE"""),0.75)</f>
        <v>0.75</v>
      </c>
      <c r="J819" s="12">
        <f>IFERROR(__xludf.DUMMYFUNCTION("""COMPUTED_VALUE"""),4.0)</f>
        <v>4</v>
      </c>
      <c r="K819" s="12">
        <f>IFERROR(__xludf.DUMMYFUNCTION("""COMPUTED_VALUE"""),0.14)</f>
        <v>0.14</v>
      </c>
      <c r="L819" s="14">
        <f>IFERROR(__xludf.DUMMYFUNCTION("""COMPUTED_VALUE"""),139.85)</f>
        <v>139.85</v>
      </c>
      <c r="M819" s="14">
        <f>IFERROR(__xludf.DUMMYFUNCTION("""COMPUTED_VALUE"""),138.102)</f>
        <v>138.102</v>
      </c>
      <c r="N819" s="14">
        <f>IFERROR(__xludf.DUMMYFUNCTION("""COMPUTED_VALUE"""),140.371)</f>
        <v>140.371</v>
      </c>
      <c r="O819" s="14">
        <f>IFERROR(__xludf.DUMMYFUNCTION("""COMPUTED_VALUE"""),141.215)</f>
        <v>141.215</v>
      </c>
      <c r="P819" s="14">
        <f>IFERROR(__xludf.DUMMYFUNCTION("""COMPUTED_VALUE"""),141.823)</f>
        <v>141.823</v>
      </c>
      <c r="Q819" s="14">
        <f>IFERROR(__xludf.DUMMYFUNCTION("""COMPUTED_VALUE"""),140.272)</f>
        <v>140.272</v>
      </c>
      <c r="R819" s="48">
        <f>IFERROR(__xludf.DUMMYFUNCTION("""COMPUTED_VALUE"""),7.99)</f>
        <v>7.99</v>
      </c>
      <c r="S819" s="48">
        <f>IFERROR(__xludf.DUMMYFUNCTION("""COMPUTED_VALUE"""),7.81)</f>
        <v>7.81</v>
      </c>
      <c r="T819" s="48">
        <f>IFERROR(__xludf.DUMMYFUNCTION("""COMPUTED_VALUE"""),7.75)</f>
        <v>7.75</v>
      </c>
      <c r="U819" s="48">
        <f>IFERROR(__xludf.DUMMYFUNCTION("""COMPUTED_VALUE"""),7.77)</f>
        <v>7.77</v>
      </c>
      <c r="V819" s="48">
        <f>IFERROR(__xludf.DUMMYFUNCTION("""COMPUTED_VALUE"""),7.75)</f>
        <v>7.75</v>
      </c>
      <c r="W819" s="14">
        <f>IFERROR(__xludf.DUMMYFUNCTION("""COMPUTED_VALUE"""),7.814)</f>
        <v>7.814</v>
      </c>
      <c r="X819" s="14">
        <f>IFERROR(__xludf.DUMMYFUNCTION("""COMPUTED_VALUE"""),18.5)</f>
        <v>18.5</v>
      </c>
      <c r="Y819" s="14">
        <f>IFERROR(__xludf.DUMMYFUNCTION("""COMPUTED_VALUE"""),18.6)</f>
        <v>18.6</v>
      </c>
      <c r="Z819" s="14">
        <f>IFERROR(__xludf.DUMMYFUNCTION("""COMPUTED_VALUE"""),18.3)</f>
        <v>18.3</v>
      </c>
      <c r="AA819" s="14">
        <f>IFERROR(__xludf.DUMMYFUNCTION("""COMPUTED_VALUE"""),18.5)</f>
        <v>18.5</v>
      </c>
      <c r="AB819" s="14">
        <f>IFERROR(__xludf.DUMMYFUNCTION("""COMPUTED_VALUE"""),18.5)</f>
        <v>18.5</v>
      </c>
      <c r="AC819" s="14">
        <f>IFERROR(__xludf.DUMMYFUNCTION("""COMPUTED_VALUE"""),18.48)</f>
        <v>18.48</v>
      </c>
      <c r="AD819" s="48">
        <f>IFERROR(__xludf.DUMMYFUNCTION("""COMPUTED_VALUE"""),489.0)</f>
        <v>489</v>
      </c>
      <c r="AE819" s="48">
        <f>IFERROR(__xludf.DUMMYFUNCTION("""COMPUTED_VALUE"""),514.0)</f>
        <v>514</v>
      </c>
      <c r="AF819" s="48">
        <f>IFERROR(__xludf.DUMMYFUNCTION("""COMPUTED_VALUE"""),500.0)</f>
        <v>500</v>
      </c>
      <c r="AG819" s="48">
        <f>IFERROR(__xludf.DUMMYFUNCTION("""COMPUTED_VALUE"""),514.0)</f>
        <v>514</v>
      </c>
      <c r="AH819" s="48">
        <f>IFERROR(__xludf.DUMMYFUNCTION("""COMPUTED_VALUE"""),504.0)</f>
        <v>504</v>
      </c>
      <c r="AI819" s="14">
        <f>IFERROR(__xludf.DUMMYFUNCTION("""COMPUTED_VALUE"""),504.2)</f>
        <v>504.2</v>
      </c>
      <c r="AJ819" s="14">
        <f>IFERROR(__xludf.DUMMYFUNCTION("""COMPUTED_VALUE"""),4.7)</f>
        <v>4.7</v>
      </c>
      <c r="AK819" s="14">
        <f>IFERROR(__xludf.DUMMYFUNCTION("""COMPUTED_VALUE"""),4.79)</f>
        <v>4.79</v>
      </c>
      <c r="AL819" s="14">
        <f>IFERROR(__xludf.DUMMYFUNCTION("""COMPUTED_VALUE"""),5.17)</f>
        <v>5.17</v>
      </c>
      <c r="AM819" s="14">
        <f>IFERROR(__xludf.DUMMYFUNCTION("""COMPUTED_VALUE"""),4.81)</f>
        <v>4.81</v>
      </c>
      <c r="AN819" s="14">
        <f>IFERROR(__xludf.DUMMYFUNCTION("""COMPUTED_VALUE"""),4.62)</f>
        <v>4.62</v>
      </c>
      <c r="AO819" s="14">
        <f>IFERROR(__xludf.DUMMYFUNCTION("""COMPUTED_VALUE"""),4.818)</f>
        <v>4.818</v>
      </c>
      <c r="AP819" s="14">
        <f>IFERROR(__xludf.DUMMYFUNCTION("""COMPUTED_VALUE"""),91.0)</f>
        <v>91</v>
      </c>
      <c r="AQ819" s="14">
        <f>IFERROR(__xludf.DUMMYFUNCTION("""COMPUTED_VALUE"""),133.0)</f>
        <v>133</v>
      </c>
      <c r="AR819" s="14">
        <f>IFERROR(__xludf.DUMMYFUNCTION("""COMPUTED_VALUE"""),108.0)</f>
        <v>108</v>
      </c>
      <c r="AS819" s="14">
        <f>IFERROR(__xludf.DUMMYFUNCTION("""COMPUTED_VALUE"""),45.0)</f>
        <v>45</v>
      </c>
      <c r="AT819" s="14">
        <f>IFERROR(__xludf.DUMMYFUNCTION("""COMPUTED_VALUE"""),3.69)</f>
        <v>3.69</v>
      </c>
      <c r="AU819" s="14">
        <f>IFERROR(__xludf.DUMMYFUNCTION("""COMPUTED_VALUE"""),1.483E7)</f>
        <v>14830000</v>
      </c>
      <c r="AV819" s="14">
        <f>IFERROR(__xludf.DUMMYFUNCTION("""COMPUTED_VALUE"""),2.29)</f>
        <v>2.29</v>
      </c>
      <c r="AW819" s="14">
        <f>IFERROR(__xludf.DUMMYFUNCTION("""COMPUTED_VALUE"""),12.9)</f>
        <v>12.9</v>
      </c>
      <c r="AX819" s="14">
        <f>IFERROR(__xludf.DUMMYFUNCTION("""COMPUTED_VALUE"""),6330000.0)</f>
        <v>6330000</v>
      </c>
      <c r="AY819" s="14">
        <f>IFERROR(__xludf.DUMMYFUNCTION("""COMPUTED_VALUE"""),1.2)</f>
        <v>1.2</v>
      </c>
      <c r="AZ819" s="14">
        <f>IFERROR(__xludf.DUMMYFUNCTION("""COMPUTED_VALUE"""),0.007)</f>
        <v>0.007</v>
      </c>
      <c r="BA819" s="14">
        <f t="shared" si="1"/>
        <v>14.107</v>
      </c>
    </row>
    <row r="820" ht="14.25" customHeight="1">
      <c r="A820" s="10" t="str">
        <f>IFERROR(__xludf.DUMMYFUNCTION("""COMPUTED_VALUE"""),"110423DU01")</f>
        <v>110423DU01</v>
      </c>
      <c r="B820" s="12" t="str">
        <f>IFERROR(__xludf.DUMMYFUNCTION("""COMPUTED_VALUE"""),"QLI-Villa del Diamante")</f>
        <v>QLI-Villa del Diamante</v>
      </c>
      <c r="C820" s="12"/>
      <c r="D820" s="12"/>
      <c r="E820" s="44">
        <f>IFERROR(__xludf.DUMMYFUNCTION("""COMPUTED_VALUE"""),45027.0)</f>
        <v>45027</v>
      </c>
      <c r="F820" s="12" t="str">
        <f>IFERROR(__xludf.DUMMYFUNCTION("""COMPUTED_VALUE"""),"TIPO I")</f>
        <v>TIPO I</v>
      </c>
      <c r="G820" s="12" t="str">
        <f>IFERROR(__xludf.DUMMYFUNCTION("""COMPUTED_VALUE"""),"Lecho en concreto, se observa color y se percibe olor")</f>
        <v>Lecho en concreto, se observa color y se percibe olor</v>
      </c>
      <c r="H820" s="45">
        <f>IFERROR(__xludf.DUMMYFUNCTION("""COMPUTED_VALUE"""),0.25)</f>
        <v>0.25</v>
      </c>
      <c r="I820" s="45">
        <f>IFERROR(__xludf.DUMMYFUNCTION("""COMPUTED_VALUE"""),0.3333333333321207)</f>
        <v>0.3333333333</v>
      </c>
      <c r="J820" s="12">
        <f>IFERROR(__xludf.DUMMYFUNCTION("""COMPUTED_VALUE"""),1.9)</f>
        <v>1.9</v>
      </c>
      <c r="K820" s="12">
        <f>IFERROR(__xludf.DUMMYFUNCTION("""COMPUTED_VALUE"""),0.09)</f>
        <v>0.09</v>
      </c>
      <c r="L820" s="14">
        <f>IFERROR(__xludf.DUMMYFUNCTION("""COMPUTED_VALUE"""),37.148)</f>
        <v>37.148</v>
      </c>
      <c r="M820" s="14">
        <f>IFERROR(__xludf.DUMMYFUNCTION("""COMPUTED_VALUE"""),38.13)</f>
        <v>38.13</v>
      </c>
      <c r="N820" s="14">
        <f>IFERROR(__xludf.DUMMYFUNCTION("""COMPUTED_VALUE"""),39.553)</f>
        <v>39.553</v>
      </c>
      <c r="O820" s="14">
        <f>IFERROR(__xludf.DUMMYFUNCTION("""COMPUTED_VALUE"""),39.453)</f>
        <v>39.453</v>
      </c>
      <c r="P820" s="14">
        <f>IFERROR(__xludf.DUMMYFUNCTION("""COMPUTED_VALUE"""),40.63)</f>
        <v>40.63</v>
      </c>
      <c r="Q820" s="14">
        <f>IFERROR(__xludf.DUMMYFUNCTION("""COMPUTED_VALUE"""),38.983)</f>
        <v>38.983</v>
      </c>
      <c r="R820" s="48">
        <f>IFERROR(__xludf.DUMMYFUNCTION("""COMPUTED_VALUE"""),7.87)</f>
        <v>7.87</v>
      </c>
      <c r="S820" s="48">
        <f>IFERROR(__xludf.DUMMYFUNCTION("""COMPUTED_VALUE"""),7.92)</f>
        <v>7.92</v>
      </c>
      <c r="T820" s="48">
        <f>IFERROR(__xludf.DUMMYFUNCTION("""COMPUTED_VALUE"""),7.88)</f>
        <v>7.88</v>
      </c>
      <c r="U820" s="48">
        <f>IFERROR(__xludf.DUMMYFUNCTION("""COMPUTED_VALUE"""),7.94)</f>
        <v>7.94</v>
      </c>
      <c r="V820" s="48">
        <f>IFERROR(__xludf.DUMMYFUNCTION("""COMPUTED_VALUE"""),7.84)</f>
        <v>7.84</v>
      </c>
      <c r="W820" s="14">
        <f>IFERROR(__xludf.DUMMYFUNCTION("""COMPUTED_VALUE"""),7.890000000000001)</f>
        <v>7.89</v>
      </c>
      <c r="X820" s="14">
        <f>IFERROR(__xludf.DUMMYFUNCTION("""COMPUTED_VALUE"""),15.1)</f>
        <v>15.1</v>
      </c>
      <c r="Y820" s="14">
        <f>IFERROR(__xludf.DUMMYFUNCTION("""COMPUTED_VALUE"""),15.3)</f>
        <v>15.3</v>
      </c>
      <c r="Z820" s="14">
        <f>IFERROR(__xludf.DUMMYFUNCTION("""COMPUTED_VALUE"""),15.2)</f>
        <v>15.2</v>
      </c>
      <c r="AA820" s="14">
        <f>IFERROR(__xludf.DUMMYFUNCTION("""COMPUTED_VALUE"""),15.5)</f>
        <v>15.5</v>
      </c>
      <c r="AB820" s="14">
        <f>IFERROR(__xludf.DUMMYFUNCTION("""COMPUTED_VALUE"""),15.4)</f>
        <v>15.4</v>
      </c>
      <c r="AC820" s="14">
        <f>IFERROR(__xludf.DUMMYFUNCTION("""COMPUTED_VALUE"""),15.3)</f>
        <v>15.3</v>
      </c>
      <c r="AD820" s="48">
        <f>IFERROR(__xludf.DUMMYFUNCTION("""COMPUTED_VALUE"""),255.0)</f>
        <v>255</v>
      </c>
      <c r="AE820" s="48">
        <f>IFERROR(__xludf.DUMMYFUNCTION("""COMPUTED_VALUE"""),252.0)</f>
        <v>252</v>
      </c>
      <c r="AF820" s="48">
        <f>IFERROR(__xludf.DUMMYFUNCTION("""COMPUTED_VALUE"""),248.0)</f>
        <v>248</v>
      </c>
      <c r="AG820" s="48">
        <f>IFERROR(__xludf.DUMMYFUNCTION("""COMPUTED_VALUE"""),251.0)</f>
        <v>251</v>
      </c>
      <c r="AH820" s="48">
        <f>IFERROR(__xludf.DUMMYFUNCTION("""COMPUTED_VALUE"""),231.0)</f>
        <v>231</v>
      </c>
      <c r="AI820" s="14">
        <f>IFERROR(__xludf.DUMMYFUNCTION("""COMPUTED_VALUE"""),247.4)</f>
        <v>247.4</v>
      </c>
      <c r="AJ820" s="14">
        <f>IFERROR(__xludf.DUMMYFUNCTION("""COMPUTED_VALUE"""),5.81)</f>
        <v>5.81</v>
      </c>
      <c r="AK820" s="14">
        <f>IFERROR(__xludf.DUMMYFUNCTION("""COMPUTED_VALUE"""),5.62)</f>
        <v>5.62</v>
      </c>
      <c r="AL820" s="14">
        <f>IFERROR(__xludf.DUMMYFUNCTION("""COMPUTED_VALUE"""),5.9)</f>
        <v>5.9</v>
      </c>
      <c r="AM820" s="14">
        <f>IFERROR(__xludf.DUMMYFUNCTION("""COMPUTED_VALUE"""),5.16)</f>
        <v>5.16</v>
      </c>
      <c r="AN820" s="14">
        <f>IFERROR(__xludf.DUMMYFUNCTION("""COMPUTED_VALUE"""),5.72)</f>
        <v>5.72</v>
      </c>
      <c r="AO820" s="14">
        <f>IFERROR(__xludf.DUMMYFUNCTION("""COMPUTED_VALUE"""),5.6419999999999995)</f>
        <v>5.642</v>
      </c>
      <c r="AP820" s="14">
        <f>IFERROR(__xludf.DUMMYFUNCTION("""COMPUTED_VALUE"""),14.0)</f>
        <v>14</v>
      </c>
      <c r="AQ820" s="14">
        <f>IFERROR(__xludf.DUMMYFUNCTION("""COMPUTED_VALUE"""),21.0)</f>
        <v>21</v>
      </c>
      <c r="AR820" s="14">
        <f>IFERROR(__xludf.DUMMYFUNCTION("""COMPUTED_VALUE"""),23.0)</f>
        <v>23</v>
      </c>
      <c r="AS820" s="14">
        <f>IFERROR(__xludf.DUMMYFUNCTION("""COMPUTED_VALUE"""),1.2)</f>
        <v>1.2</v>
      </c>
      <c r="AT820" s="14">
        <f>IFERROR(__xludf.DUMMYFUNCTION("""COMPUTED_VALUE"""),0.33)</f>
        <v>0.33</v>
      </c>
      <c r="AU820" s="14">
        <f>IFERROR(__xludf.DUMMYFUNCTION("""COMPUTED_VALUE"""),73300.0)</f>
        <v>73300</v>
      </c>
      <c r="AV820" s="14">
        <f>IFERROR(__xludf.DUMMYFUNCTION("""COMPUTED_VALUE"""),1.03)</f>
        <v>1.03</v>
      </c>
      <c r="AW820" s="14">
        <f>IFERROR(__xludf.DUMMYFUNCTION("""COMPUTED_VALUE"""),8.1)</f>
        <v>8.1</v>
      </c>
      <c r="AX820" s="14">
        <f>IFERROR(__xludf.DUMMYFUNCTION("""COMPUTED_VALUE"""),4480.0)</f>
        <v>4480</v>
      </c>
      <c r="AY820" s="14">
        <f>IFERROR(__xludf.DUMMYFUNCTION("""COMPUTED_VALUE"""),2.4)</f>
        <v>2.4</v>
      </c>
      <c r="AZ820" s="14">
        <f>IFERROR(__xludf.DUMMYFUNCTION("""COMPUTED_VALUE"""),0.219)</f>
        <v>0.219</v>
      </c>
      <c r="BA820" s="14">
        <f t="shared" si="1"/>
        <v>10.719</v>
      </c>
    </row>
    <row r="821" ht="14.25" customHeight="1">
      <c r="A821" s="10" t="str">
        <f>IFERROR(__xludf.DUMMYFUNCTION("""COMPUTED_VALUE"""),"110423DU02")</f>
        <v>110423DU02</v>
      </c>
      <c r="B821" s="12" t="str">
        <f>IFERROR(__xludf.DUMMYFUNCTION("""COMPUTED_VALUE"""),"QLI-San Francisco")</f>
        <v>QLI-San Francisco</v>
      </c>
      <c r="C821" s="12"/>
      <c r="D821" s="12"/>
      <c r="E821" s="44">
        <f>IFERROR(__xludf.DUMMYFUNCTION("""COMPUTED_VALUE"""),45027.0)</f>
        <v>45027</v>
      </c>
      <c r="F821" s="12" t="str">
        <f>IFERROR(__xludf.DUMMYFUNCTION("""COMPUTED_VALUE"""),"TIPO I")</f>
        <v>TIPO I</v>
      </c>
      <c r="G821" s="12" t="str">
        <f>IFERROR(__xludf.DUMMYFUNCTION("""COMPUTED_VALUE"""),"Lecho rocoso-arenoso, se observa color y se percibe olor")</f>
        <v>Lecho rocoso-arenoso, se observa color y se percibe olor</v>
      </c>
      <c r="H821" s="45">
        <f>IFERROR(__xludf.DUMMYFUNCTION("""COMPUTED_VALUE"""),0.4166666666678793)</f>
        <v>0.4166666667</v>
      </c>
      <c r="I821" s="45">
        <f>IFERROR(__xludf.DUMMYFUNCTION("""COMPUTED_VALUE"""),0.5)</f>
        <v>0.5</v>
      </c>
      <c r="J821" s="12">
        <f>IFERROR(__xludf.DUMMYFUNCTION("""COMPUTED_VALUE"""),1.8)</f>
        <v>1.8</v>
      </c>
      <c r="K821" s="12">
        <f>IFERROR(__xludf.DUMMYFUNCTION("""COMPUTED_VALUE"""),0.22)</f>
        <v>0.22</v>
      </c>
      <c r="L821" s="14">
        <f>IFERROR(__xludf.DUMMYFUNCTION("""COMPUTED_VALUE"""),51.448)</f>
        <v>51.448</v>
      </c>
      <c r="M821" s="14">
        <f>IFERROR(__xludf.DUMMYFUNCTION("""COMPUTED_VALUE"""),54.851)</f>
        <v>54.851</v>
      </c>
      <c r="N821" s="14">
        <f>IFERROR(__xludf.DUMMYFUNCTION("""COMPUTED_VALUE"""),56.732)</f>
        <v>56.732</v>
      </c>
      <c r="O821" s="14">
        <f>IFERROR(__xludf.DUMMYFUNCTION("""COMPUTED_VALUE"""),58.141)</f>
        <v>58.141</v>
      </c>
      <c r="P821" s="14">
        <f>IFERROR(__xludf.DUMMYFUNCTION("""COMPUTED_VALUE"""),55.681)</f>
        <v>55.681</v>
      </c>
      <c r="Q821" s="14">
        <f>IFERROR(__xludf.DUMMYFUNCTION("""COMPUTED_VALUE"""),55.371)</f>
        <v>55.371</v>
      </c>
      <c r="R821" s="48">
        <f>IFERROR(__xludf.DUMMYFUNCTION("""COMPUTED_VALUE"""),7.64)</f>
        <v>7.64</v>
      </c>
      <c r="S821" s="48">
        <f>IFERROR(__xludf.DUMMYFUNCTION("""COMPUTED_VALUE"""),7.72)</f>
        <v>7.72</v>
      </c>
      <c r="T821" s="48">
        <f>IFERROR(__xludf.DUMMYFUNCTION("""COMPUTED_VALUE"""),7.97)</f>
        <v>7.97</v>
      </c>
      <c r="U821" s="48">
        <f>IFERROR(__xludf.DUMMYFUNCTION("""COMPUTED_VALUE"""),7.92)</f>
        <v>7.92</v>
      </c>
      <c r="V821" s="48">
        <f>IFERROR(__xludf.DUMMYFUNCTION("""COMPUTED_VALUE"""),7.94)</f>
        <v>7.94</v>
      </c>
      <c r="W821" s="14">
        <f>IFERROR(__xludf.DUMMYFUNCTION("""COMPUTED_VALUE"""),7.837999999999999)</f>
        <v>7.838</v>
      </c>
      <c r="X821" s="14">
        <f>IFERROR(__xludf.DUMMYFUNCTION("""COMPUTED_VALUE"""),16.5)</f>
        <v>16.5</v>
      </c>
      <c r="Y821" s="14">
        <f>IFERROR(__xludf.DUMMYFUNCTION("""COMPUTED_VALUE"""),17.9)</f>
        <v>17.9</v>
      </c>
      <c r="Z821" s="14">
        <f>IFERROR(__xludf.DUMMYFUNCTION("""COMPUTED_VALUE"""),17.5)</f>
        <v>17.5</v>
      </c>
      <c r="AA821" s="14">
        <f>IFERROR(__xludf.DUMMYFUNCTION("""COMPUTED_VALUE"""),17.3)</f>
        <v>17.3</v>
      </c>
      <c r="AB821" s="14">
        <f>IFERROR(__xludf.DUMMYFUNCTION("""COMPUTED_VALUE"""),17.5)</f>
        <v>17.5</v>
      </c>
      <c r="AC821" s="14">
        <f>IFERROR(__xludf.DUMMYFUNCTION("""COMPUTED_VALUE"""),17.34)</f>
        <v>17.34</v>
      </c>
      <c r="AD821" s="48">
        <f>IFERROR(__xludf.DUMMYFUNCTION("""COMPUTED_VALUE"""),347.0)</f>
        <v>347</v>
      </c>
      <c r="AE821" s="48">
        <f>IFERROR(__xludf.DUMMYFUNCTION("""COMPUTED_VALUE"""),338.0)</f>
        <v>338</v>
      </c>
      <c r="AF821" s="48">
        <f>IFERROR(__xludf.DUMMYFUNCTION("""COMPUTED_VALUE"""),344.0)</f>
        <v>344</v>
      </c>
      <c r="AG821" s="48">
        <f>IFERROR(__xludf.DUMMYFUNCTION("""COMPUTED_VALUE"""),334.0)</f>
        <v>334</v>
      </c>
      <c r="AH821" s="48">
        <f>IFERROR(__xludf.DUMMYFUNCTION("""COMPUTED_VALUE"""),328.0)</f>
        <v>328</v>
      </c>
      <c r="AI821" s="14">
        <f>IFERROR(__xludf.DUMMYFUNCTION("""COMPUTED_VALUE"""),338.2)</f>
        <v>338.2</v>
      </c>
      <c r="AJ821" s="14">
        <f>IFERROR(__xludf.DUMMYFUNCTION("""COMPUTED_VALUE"""),4.78)</f>
        <v>4.78</v>
      </c>
      <c r="AK821" s="14">
        <f>IFERROR(__xludf.DUMMYFUNCTION("""COMPUTED_VALUE"""),4.24)</f>
        <v>4.24</v>
      </c>
      <c r="AL821" s="14">
        <f>IFERROR(__xludf.DUMMYFUNCTION("""COMPUTED_VALUE"""),4.9)</f>
        <v>4.9</v>
      </c>
      <c r="AM821" s="14">
        <f>IFERROR(__xludf.DUMMYFUNCTION("""COMPUTED_VALUE"""),4.85)</f>
        <v>4.85</v>
      </c>
      <c r="AN821" s="14">
        <f>IFERROR(__xludf.DUMMYFUNCTION("""COMPUTED_VALUE"""),4.49)</f>
        <v>4.49</v>
      </c>
      <c r="AO821" s="14">
        <f>IFERROR(__xludf.DUMMYFUNCTION("""COMPUTED_VALUE"""),4.651999999999999)</f>
        <v>4.652</v>
      </c>
      <c r="AP821" s="14">
        <f>IFERROR(__xludf.DUMMYFUNCTION("""COMPUTED_VALUE"""),19.0)</f>
        <v>19</v>
      </c>
      <c r="AQ821" s="14">
        <f>IFERROR(__xludf.DUMMYFUNCTION("""COMPUTED_VALUE"""),29.0)</f>
        <v>29</v>
      </c>
      <c r="AR821" s="14">
        <f>IFERROR(__xludf.DUMMYFUNCTION("""COMPUTED_VALUE"""),25.0)</f>
        <v>25</v>
      </c>
      <c r="AS821" s="14">
        <f>IFERROR(__xludf.DUMMYFUNCTION("""COMPUTED_VALUE"""),1.2)</f>
        <v>1.2</v>
      </c>
      <c r="AT821" s="14">
        <f>IFERROR(__xludf.DUMMYFUNCTION("""COMPUTED_VALUE"""),0.28)</f>
        <v>0.28</v>
      </c>
      <c r="AU821" s="14">
        <f>IFERROR(__xludf.DUMMYFUNCTION("""COMPUTED_VALUE"""),1172000.0)</f>
        <v>1172000</v>
      </c>
      <c r="AV821" s="14">
        <f>IFERROR(__xludf.DUMMYFUNCTION("""COMPUTED_VALUE"""),1.76)</f>
        <v>1.76</v>
      </c>
      <c r="AW821" s="14">
        <f>IFERROR(__xludf.DUMMYFUNCTION("""COMPUTED_VALUE"""),14.6)</f>
        <v>14.6</v>
      </c>
      <c r="AX821" s="14">
        <f>IFERROR(__xludf.DUMMYFUNCTION("""COMPUTED_VALUE"""),1046000.0)</f>
        <v>1046000</v>
      </c>
      <c r="AY821" s="14">
        <f>IFERROR(__xludf.DUMMYFUNCTION("""COMPUTED_VALUE"""),2.2)</f>
        <v>2.2</v>
      </c>
      <c r="AZ821" s="14">
        <f>IFERROR(__xludf.DUMMYFUNCTION("""COMPUTED_VALUE"""),0.299)</f>
        <v>0.299</v>
      </c>
      <c r="BA821" s="14">
        <f t="shared" si="1"/>
        <v>17.099</v>
      </c>
    </row>
    <row r="822" ht="14.25" customHeight="1">
      <c r="A822" s="10" t="str">
        <f>IFERROR(__xludf.DUMMYFUNCTION("""COMPUTED_VALUE"""),"120423DA03")</f>
        <v>120423DA03</v>
      </c>
      <c r="B822" s="12" t="str">
        <f>IFERROR(__xludf.DUMMYFUNCTION("""COMPUTED_VALUE"""),"QZA-Meissen")</f>
        <v>QZA-Meissen</v>
      </c>
      <c r="C822" s="12"/>
      <c r="D822" s="12"/>
      <c r="E822" s="44">
        <f>IFERROR(__xludf.DUMMYFUNCTION("""COMPUTED_VALUE"""),45028.0)</f>
        <v>45028</v>
      </c>
      <c r="F822" s="12" t="str">
        <f>IFERROR(__xludf.DUMMYFUNCTION("""COMPUTED_VALUE"""),"TIPO I")</f>
        <v>TIPO I</v>
      </c>
      <c r="G822" s="12" t="str">
        <f>IFERROR(__xludf.DUMMYFUNCTION("""COMPUTED_VALUE"""),"Estructura en concreto, durante el monitoreo se percibe olor, se observa color y residuos dentro del canal.
Altitud: 2557 msnm. ")</f>
        <v>Estructura en concreto, durante el monitoreo se percibe olor, se observa color y residuos dentro del canal.
Altitud: 2557 msnm. </v>
      </c>
      <c r="H822" s="45">
        <f>IFERROR(__xludf.DUMMYFUNCTION("""COMPUTED_VALUE"""),0.5)</f>
        <v>0.5</v>
      </c>
      <c r="I822" s="45">
        <f>IFERROR(__xludf.DUMMYFUNCTION("""COMPUTED_VALUE"""),0.5833333333321207)</f>
        <v>0.5833333333</v>
      </c>
      <c r="J822" s="12">
        <f>IFERROR(__xludf.DUMMYFUNCTION("""COMPUTED_VALUE"""),12.1)</f>
        <v>12.1</v>
      </c>
      <c r="K822" s="12">
        <f>IFERROR(__xludf.DUMMYFUNCTION("""COMPUTED_VALUE"""),0.14)</f>
        <v>0.14</v>
      </c>
      <c r="L822" s="14">
        <f>IFERROR(__xludf.DUMMYFUNCTION("""COMPUTED_VALUE"""),315.454)</f>
        <v>315.454</v>
      </c>
      <c r="M822" s="14">
        <f>IFERROR(__xludf.DUMMYFUNCTION("""COMPUTED_VALUE"""),317.045)</f>
        <v>317.045</v>
      </c>
      <c r="N822" s="14">
        <f>IFERROR(__xludf.DUMMYFUNCTION("""COMPUTED_VALUE"""),327.924)</f>
        <v>327.924</v>
      </c>
      <c r="O822" s="14">
        <f>IFERROR(__xludf.DUMMYFUNCTION("""COMPUTED_VALUE"""),323.807)</f>
        <v>323.807</v>
      </c>
      <c r="P822" s="14">
        <f>IFERROR(__xludf.DUMMYFUNCTION("""COMPUTED_VALUE"""),329.751)</f>
        <v>329.751</v>
      </c>
      <c r="Q822" s="14">
        <f>IFERROR(__xludf.DUMMYFUNCTION("""COMPUTED_VALUE"""),322.796)</f>
        <v>322.796</v>
      </c>
      <c r="R822" s="48">
        <f>IFERROR(__xludf.DUMMYFUNCTION("""COMPUTED_VALUE"""),7.95)</f>
        <v>7.95</v>
      </c>
      <c r="S822" s="48">
        <f>IFERROR(__xludf.DUMMYFUNCTION("""COMPUTED_VALUE"""),7.85)</f>
        <v>7.85</v>
      </c>
      <c r="T822" s="48">
        <f>IFERROR(__xludf.DUMMYFUNCTION("""COMPUTED_VALUE"""),7.73)</f>
        <v>7.73</v>
      </c>
      <c r="U822" s="48">
        <f>IFERROR(__xludf.DUMMYFUNCTION("""COMPUTED_VALUE"""),7.68)</f>
        <v>7.68</v>
      </c>
      <c r="V822" s="48">
        <f>IFERROR(__xludf.DUMMYFUNCTION("""COMPUTED_VALUE"""),7.83)</f>
        <v>7.83</v>
      </c>
      <c r="W822" s="14">
        <f>IFERROR(__xludf.DUMMYFUNCTION("""COMPUTED_VALUE"""),7.808)</f>
        <v>7.808</v>
      </c>
      <c r="X822" s="14">
        <f>IFERROR(__xludf.DUMMYFUNCTION("""COMPUTED_VALUE"""),20.7)</f>
        <v>20.7</v>
      </c>
      <c r="Y822" s="14">
        <f>IFERROR(__xludf.DUMMYFUNCTION("""COMPUTED_VALUE"""),21.1)</f>
        <v>21.1</v>
      </c>
      <c r="Z822" s="14">
        <f>IFERROR(__xludf.DUMMYFUNCTION("""COMPUTED_VALUE"""),20.2)</f>
        <v>20.2</v>
      </c>
      <c r="AA822" s="14">
        <f>IFERROR(__xludf.DUMMYFUNCTION("""COMPUTED_VALUE"""),19.9)</f>
        <v>19.9</v>
      </c>
      <c r="AB822" s="14">
        <f>IFERROR(__xludf.DUMMYFUNCTION("""COMPUTED_VALUE"""),20.1)</f>
        <v>20.1</v>
      </c>
      <c r="AC822" s="14">
        <f>IFERROR(__xludf.DUMMYFUNCTION("""COMPUTED_VALUE"""),20.4)</f>
        <v>20.4</v>
      </c>
      <c r="AD822" s="48">
        <f>IFERROR(__xludf.DUMMYFUNCTION("""COMPUTED_VALUE"""),660.0)</f>
        <v>660</v>
      </c>
      <c r="AE822" s="48">
        <f>IFERROR(__xludf.DUMMYFUNCTION("""COMPUTED_VALUE"""),646.0)</f>
        <v>646</v>
      </c>
      <c r="AF822" s="48">
        <f>IFERROR(__xludf.DUMMYFUNCTION("""COMPUTED_VALUE"""),645.0)</f>
        <v>645</v>
      </c>
      <c r="AG822" s="48">
        <f>IFERROR(__xludf.DUMMYFUNCTION("""COMPUTED_VALUE"""),649.0)</f>
        <v>649</v>
      </c>
      <c r="AH822" s="48">
        <f>IFERROR(__xludf.DUMMYFUNCTION("""COMPUTED_VALUE"""),627.0)</f>
        <v>627</v>
      </c>
      <c r="AI822" s="14">
        <f>IFERROR(__xludf.DUMMYFUNCTION("""COMPUTED_VALUE"""),645.4)</f>
        <v>645.4</v>
      </c>
      <c r="AJ822" s="14">
        <f>IFERROR(__xludf.DUMMYFUNCTION("""COMPUTED_VALUE"""),1.48)</f>
        <v>1.48</v>
      </c>
      <c r="AK822" s="14">
        <f>IFERROR(__xludf.DUMMYFUNCTION("""COMPUTED_VALUE"""),1.0)</f>
        <v>1</v>
      </c>
      <c r="AL822" s="14">
        <f>IFERROR(__xludf.DUMMYFUNCTION("""COMPUTED_VALUE"""),1.25)</f>
        <v>1.25</v>
      </c>
      <c r="AM822" s="14">
        <f>IFERROR(__xludf.DUMMYFUNCTION("""COMPUTED_VALUE"""),1.06)</f>
        <v>1.06</v>
      </c>
      <c r="AN822" s="14">
        <f>IFERROR(__xludf.DUMMYFUNCTION("""COMPUTED_VALUE"""),1.01)</f>
        <v>1.01</v>
      </c>
      <c r="AO822" s="14">
        <f>IFERROR(__xludf.DUMMYFUNCTION("""COMPUTED_VALUE"""),1.16)</f>
        <v>1.16</v>
      </c>
      <c r="AP822" s="14">
        <f>IFERROR(__xludf.DUMMYFUNCTION("""COMPUTED_VALUE"""),81.0)</f>
        <v>81</v>
      </c>
      <c r="AQ822" s="14">
        <f>IFERROR(__xludf.DUMMYFUNCTION("""COMPUTED_VALUE"""),118.0)</f>
        <v>118</v>
      </c>
      <c r="AR822" s="14">
        <f>IFERROR(__xludf.DUMMYFUNCTION("""COMPUTED_VALUE"""),186.0)</f>
        <v>186</v>
      </c>
      <c r="AS822" s="14">
        <f>IFERROR(__xludf.DUMMYFUNCTION("""COMPUTED_VALUE"""),13.2)</f>
        <v>13.2</v>
      </c>
      <c r="AT822" s="14">
        <f>IFERROR(__xludf.DUMMYFUNCTION("""COMPUTED_VALUE"""),6.28)</f>
        <v>6.28</v>
      </c>
      <c r="AU822" s="14">
        <f>IFERROR(__xludf.DUMMYFUNCTION("""COMPUTED_VALUE"""),1.417E7)</f>
        <v>14170000</v>
      </c>
      <c r="AV822" s="14">
        <f>IFERROR(__xludf.DUMMYFUNCTION("""COMPUTED_VALUE"""),4.3)</f>
        <v>4.3</v>
      </c>
      <c r="AW822" s="14">
        <f>IFERROR(__xludf.DUMMYFUNCTION("""COMPUTED_VALUE"""),40.0)</f>
        <v>40</v>
      </c>
      <c r="AX822" s="14">
        <f>IFERROR(__xludf.DUMMYFUNCTION("""COMPUTED_VALUE"""),1152000.0)</f>
        <v>1152000</v>
      </c>
      <c r="AY822" s="14">
        <f>IFERROR(__xludf.DUMMYFUNCTION("""COMPUTED_VALUE"""),0.8)</f>
        <v>0.8</v>
      </c>
      <c r="AZ822" s="14">
        <f>IFERROR(__xludf.DUMMYFUNCTION("""COMPUTED_VALUE"""),0.007)</f>
        <v>0.007</v>
      </c>
      <c r="BA822" s="14">
        <f t="shared" si="1"/>
        <v>40.807</v>
      </c>
    </row>
    <row r="823" ht="14.25" customHeight="1">
      <c r="A823" s="10" t="str">
        <f>IFERROR(__xludf.DUMMYFUNCTION("""COMPUTED_VALUE"""),"100423HA03")</f>
        <v>100423HA03</v>
      </c>
      <c r="B823" s="12" t="str">
        <f>IFERROR(__xludf.DUMMYFUNCTION("""COMPUTED_VALUE"""),"CON-Bella Suiza")</f>
        <v>CON-Bella Suiza</v>
      </c>
      <c r="C823" s="12"/>
      <c r="D823" s="12"/>
      <c r="E823" s="44">
        <f>IFERROR(__xludf.DUMMYFUNCTION("""COMPUTED_VALUE"""),45026.0)</f>
        <v>45026</v>
      </c>
      <c r="F823" s="12" t="str">
        <f>IFERROR(__xludf.DUMMYFUNCTION("""COMPUTED_VALUE"""),"TIPO I")</f>
        <v>TIPO I</v>
      </c>
      <c r="G823" s="12" t="str">
        <f>IFERROR(__xludf.DUMMYFUNCTION("""COMPUTED_VALUE"""),"Monitoreo realizado en canal con estructura en concreto; durante las toma de muestra se observa color y se percibe olor.  ")</f>
        <v>Monitoreo realizado en canal con estructura en concreto; durante las toma de muestra se observa color y se percibe olor.  </v>
      </c>
      <c r="H823" s="45">
        <f>IFERROR(__xludf.DUMMYFUNCTION("""COMPUTED_VALUE"""),0.4166666666678793)</f>
        <v>0.4166666667</v>
      </c>
      <c r="I823" s="45">
        <f>IFERROR(__xludf.DUMMYFUNCTION("""COMPUTED_VALUE"""),0.5)</f>
        <v>0.5</v>
      </c>
      <c r="J823" s="12">
        <f>IFERROR(__xludf.DUMMYFUNCTION("""COMPUTED_VALUE"""),1.2)</f>
        <v>1.2</v>
      </c>
      <c r="K823" s="12">
        <f>IFERROR(__xludf.DUMMYFUNCTION("""COMPUTED_VALUE"""),0.14)</f>
        <v>0.14</v>
      </c>
      <c r="L823" s="14">
        <f>IFERROR(__xludf.DUMMYFUNCTION("""COMPUTED_VALUE"""),58.523)</f>
        <v>58.523</v>
      </c>
      <c r="M823" s="14">
        <f>IFERROR(__xludf.DUMMYFUNCTION("""COMPUTED_VALUE"""),58.472)</f>
        <v>58.472</v>
      </c>
      <c r="N823" s="14">
        <f>IFERROR(__xludf.DUMMYFUNCTION("""COMPUTED_VALUE"""),56.95)</f>
        <v>56.95</v>
      </c>
      <c r="O823" s="14">
        <f>IFERROR(__xludf.DUMMYFUNCTION("""COMPUTED_VALUE"""),57.387)</f>
        <v>57.387</v>
      </c>
      <c r="P823" s="14">
        <f>IFERROR(__xludf.DUMMYFUNCTION("""COMPUTED_VALUE"""),56.131)</f>
        <v>56.131</v>
      </c>
      <c r="Q823" s="14">
        <f>IFERROR(__xludf.DUMMYFUNCTION("""COMPUTED_VALUE"""),57.493)</f>
        <v>57.493</v>
      </c>
      <c r="R823" s="48">
        <f>IFERROR(__xludf.DUMMYFUNCTION("""COMPUTED_VALUE"""),7.51)</f>
        <v>7.51</v>
      </c>
      <c r="S823" s="48">
        <f>IFERROR(__xludf.DUMMYFUNCTION("""COMPUTED_VALUE"""),7.22)</f>
        <v>7.22</v>
      </c>
      <c r="T823" s="48">
        <f>IFERROR(__xludf.DUMMYFUNCTION("""COMPUTED_VALUE"""),7.19)</f>
        <v>7.19</v>
      </c>
      <c r="U823" s="48">
        <f>IFERROR(__xludf.DUMMYFUNCTION("""COMPUTED_VALUE"""),7.06)</f>
        <v>7.06</v>
      </c>
      <c r="V823" s="48">
        <f>IFERROR(__xludf.DUMMYFUNCTION("""COMPUTED_VALUE"""),7.13)</f>
        <v>7.13</v>
      </c>
      <c r="W823" s="14">
        <f>IFERROR(__xludf.DUMMYFUNCTION("""COMPUTED_VALUE"""),7.2219999999999995)</f>
        <v>7.222</v>
      </c>
      <c r="X823" s="14">
        <f>IFERROR(__xludf.DUMMYFUNCTION("""COMPUTED_VALUE"""),16.1)</f>
        <v>16.1</v>
      </c>
      <c r="Y823" s="14">
        <f>IFERROR(__xludf.DUMMYFUNCTION("""COMPUTED_VALUE"""),16.0)</f>
        <v>16</v>
      </c>
      <c r="Z823" s="14">
        <f>IFERROR(__xludf.DUMMYFUNCTION("""COMPUTED_VALUE"""),16.1)</f>
        <v>16.1</v>
      </c>
      <c r="AA823" s="14">
        <f>IFERROR(__xludf.DUMMYFUNCTION("""COMPUTED_VALUE"""),16.5)</f>
        <v>16.5</v>
      </c>
      <c r="AB823" s="14">
        <f>IFERROR(__xludf.DUMMYFUNCTION("""COMPUTED_VALUE"""),16.0)</f>
        <v>16</v>
      </c>
      <c r="AC823" s="14">
        <f>IFERROR(__xludf.DUMMYFUNCTION("""COMPUTED_VALUE"""),16.14)</f>
        <v>16.14</v>
      </c>
      <c r="AD823" s="48">
        <f>IFERROR(__xludf.DUMMYFUNCTION("""COMPUTED_VALUE"""),132.8)</f>
        <v>132.8</v>
      </c>
      <c r="AE823" s="48">
        <f>IFERROR(__xludf.DUMMYFUNCTION("""COMPUTED_VALUE"""),88.2)</f>
        <v>88.2</v>
      </c>
      <c r="AF823" s="48">
        <f>IFERROR(__xludf.DUMMYFUNCTION("""COMPUTED_VALUE"""),97.2)</f>
        <v>97.2</v>
      </c>
      <c r="AG823" s="48">
        <f>IFERROR(__xludf.DUMMYFUNCTION("""COMPUTED_VALUE"""),94.2)</f>
        <v>94.2</v>
      </c>
      <c r="AH823" s="48">
        <f>IFERROR(__xludf.DUMMYFUNCTION("""COMPUTED_VALUE"""),86.6)</f>
        <v>86.6</v>
      </c>
      <c r="AI823" s="14">
        <f>IFERROR(__xludf.DUMMYFUNCTION("""COMPUTED_VALUE"""),99.8)</f>
        <v>99.8</v>
      </c>
      <c r="AJ823" s="14">
        <f>IFERROR(__xludf.DUMMYFUNCTION("""COMPUTED_VALUE"""),6.1)</f>
        <v>6.1</v>
      </c>
      <c r="AK823" s="14">
        <f>IFERROR(__xludf.DUMMYFUNCTION("""COMPUTED_VALUE"""),6.04)</f>
        <v>6.04</v>
      </c>
      <c r="AL823" s="14">
        <f>IFERROR(__xludf.DUMMYFUNCTION("""COMPUTED_VALUE"""),6.57)</f>
        <v>6.57</v>
      </c>
      <c r="AM823" s="14">
        <f>IFERROR(__xludf.DUMMYFUNCTION("""COMPUTED_VALUE"""),5.88)</f>
        <v>5.88</v>
      </c>
      <c r="AN823" s="14">
        <f>IFERROR(__xludf.DUMMYFUNCTION("""COMPUTED_VALUE"""),6.35)</f>
        <v>6.35</v>
      </c>
      <c r="AO823" s="14">
        <f>IFERROR(__xludf.DUMMYFUNCTION("""COMPUTED_VALUE"""),6.188)</f>
        <v>6.188</v>
      </c>
      <c r="AP823" s="14">
        <f>IFERROR(__xludf.DUMMYFUNCTION("""COMPUTED_VALUE"""),8.0)</f>
        <v>8</v>
      </c>
      <c r="AQ823" s="14">
        <f>IFERROR(__xludf.DUMMYFUNCTION("""COMPUTED_VALUE"""),12.0)</f>
        <v>12</v>
      </c>
      <c r="AR823" s="14">
        <f>IFERROR(__xludf.DUMMYFUNCTION("""COMPUTED_VALUE"""),9.0)</f>
        <v>9</v>
      </c>
      <c r="AS823" s="14">
        <f>IFERROR(__xludf.DUMMYFUNCTION("""COMPUTED_VALUE"""),1.2)</f>
        <v>1.2</v>
      </c>
      <c r="AT823" s="14">
        <f>IFERROR(__xludf.DUMMYFUNCTION("""COMPUTED_VALUE"""),0.26)</f>
        <v>0.26</v>
      </c>
      <c r="AU823" s="14">
        <f>IFERROR(__xludf.DUMMYFUNCTION("""COMPUTED_VALUE"""),1376000.0)</f>
        <v>1376000</v>
      </c>
      <c r="AV823" s="14">
        <f>IFERROR(__xludf.DUMMYFUNCTION("""COMPUTED_VALUE"""),0.16)</f>
        <v>0.16</v>
      </c>
      <c r="AW823" s="14">
        <f>IFERROR(__xludf.DUMMYFUNCTION("""COMPUTED_VALUE"""),1.0)</f>
        <v>1</v>
      </c>
      <c r="AX823" s="14">
        <f>IFERROR(__xludf.DUMMYFUNCTION("""COMPUTED_VALUE"""),826000.0)</f>
        <v>826000</v>
      </c>
      <c r="AY823" s="14">
        <f>IFERROR(__xludf.DUMMYFUNCTION("""COMPUTED_VALUE"""),1.1)</f>
        <v>1.1</v>
      </c>
      <c r="AZ823" s="14">
        <f>IFERROR(__xludf.DUMMYFUNCTION("""COMPUTED_VALUE"""),0.038)</f>
        <v>0.038</v>
      </c>
      <c r="BA823" s="14">
        <f t="shared" si="1"/>
        <v>2.138</v>
      </c>
    </row>
    <row r="824" ht="14.25" customHeight="1">
      <c r="A824" s="10" t="str">
        <f>IFERROR(__xludf.DUMMYFUNCTION("""COMPUTED_VALUE"""),"100423WI02")</f>
        <v>100423WI02</v>
      </c>
      <c r="B824" s="12" t="str">
        <f>IFERROR(__xludf.DUMMYFUNCTION("""COMPUTED_VALUE"""),"CON-Callejas")</f>
        <v>CON-Callejas</v>
      </c>
      <c r="C824" s="12"/>
      <c r="D824" s="12"/>
      <c r="E824" s="44">
        <f>IFERROR(__xludf.DUMMYFUNCTION("""COMPUTED_VALUE"""),45026.0)</f>
        <v>45026</v>
      </c>
      <c r="F824" s="12" t="str">
        <f>IFERROR(__xludf.DUMMYFUNCTION("""COMPUTED_VALUE"""),"TIPO I")</f>
        <v>TIPO I</v>
      </c>
      <c r="G824" s="12" t="str">
        <f>IFERROR(__xludf.DUMMYFUNCTION("""COMPUTED_VALUE"""),"Monitoreo realizado en canal con estructura en concreto, se observa presencia de residuos sólidos al margen del canal. ")</f>
        <v>Monitoreo realizado en canal con estructura en concreto, se observa presencia de residuos sólidos al margen del canal. </v>
      </c>
      <c r="H824" s="45">
        <f>IFERROR(__xludf.DUMMYFUNCTION("""COMPUTED_VALUE"""),0.5)</f>
        <v>0.5</v>
      </c>
      <c r="I824" s="45">
        <f>IFERROR(__xludf.DUMMYFUNCTION("""COMPUTED_VALUE"""),0.5833333333321207)</f>
        <v>0.5833333333</v>
      </c>
      <c r="J824" s="12">
        <f>IFERROR(__xludf.DUMMYFUNCTION("""COMPUTED_VALUE"""),4.8)</f>
        <v>4.8</v>
      </c>
      <c r="K824" s="12">
        <f>IFERROR(__xludf.DUMMYFUNCTION("""COMPUTED_VALUE"""),0.11)</f>
        <v>0.11</v>
      </c>
      <c r="L824" s="14">
        <f>IFERROR(__xludf.DUMMYFUNCTION("""COMPUTED_VALUE"""),56.642)</f>
        <v>56.642</v>
      </c>
      <c r="M824" s="14">
        <f>IFERROR(__xludf.DUMMYFUNCTION("""COMPUTED_VALUE"""),55.813)</f>
        <v>55.813</v>
      </c>
      <c r="N824" s="14">
        <f>IFERROR(__xludf.DUMMYFUNCTION("""COMPUTED_VALUE"""),55.352)</f>
        <v>55.352</v>
      </c>
      <c r="O824" s="14">
        <f>IFERROR(__xludf.DUMMYFUNCTION("""COMPUTED_VALUE"""),54.992)</f>
        <v>54.992</v>
      </c>
      <c r="P824" s="14">
        <f>IFERROR(__xludf.DUMMYFUNCTION("""COMPUTED_VALUE"""),56.95)</f>
        <v>56.95</v>
      </c>
      <c r="Q824" s="14">
        <f>IFERROR(__xludf.DUMMYFUNCTION("""COMPUTED_VALUE"""),55.95)</f>
        <v>55.95</v>
      </c>
      <c r="R824" s="48">
        <f>IFERROR(__xludf.DUMMYFUNCTION("""COMPUTED_VALUE"""),7.78)</f>
        <v>7.78</v>
      </c>
      <c r="S824" s="48">
        <f>IFERROR(__xludf.DUMMYFUNCTION("""COMPUTED_VALUE"""),8.26)</f>
        <v>8.26</v>
      </c>
      <c r="T824" s="48">
        <f>IFERROR(__xludf.DUMMYFUNCTION("""COMPUTED_VALUE"""),8.3)</f>
        <v>8.3</v>
      </c>
      <c r="U824" s="48">
        <f>IFERROR(__xludf.DUMMYFUNCTION("""COMPUTED_VALUE"""),8.21)</f>
        <v>8.21</v>
      </c>
      <c r="V824" s="48">
        <f>IFERROR(__xludf.DUMMYFUNCTION("""COMPUTED_VALUE"""),8.17)</f>
        <v>8.17</v>
      </c>
      <c r="W824" s="14">
        <f>IFERROR(__xludf.DUMMYFUNCTION("""COMPUTED_VALUE"""),8.144)</f>
        <v>8.144</v>
      </c>
      <c r="X824" s="14">
        <f>IFERROR(__xludf.DUMMYFUNCTION("""COMPUTED_VALUE"""),21.7)</f>
        <v>21.7</v>
      </c>
      <c r="Y824" s="14">
        <f>IFERROR(__xludf.DUMMYFUNCTION("""COMPUTED_VALUE"""),21.1)</f>
        <v>21.1</v>
      </c>
      <c r="Z824" s="14">
        <f>IFERROR(__xludf.DUMMYFUNCTION("""COMPUTED_VALUE"""),20.8)</f>
        <v>20.8</v>
      </c>
      <c r="AA824" s="14">
        <f>IFERROR(__xludf.DUMMYFUNCTION("""COMPUTED_VALUE"""),21.6)</f>
        <v>21.6</v>
      </c>
      <c r="AB824" s="14">
        <f>IFERROR(__xludf.DUMMYFUNCTION("""COMPUTED_VALUE"""),22.0)</f>
        <v>22</v>
      </c>
      <c r="AC824" s="14">
        <f>IFERROR(__xludf.DUMMYFUNCTION("""COMPUTED_VALUE"""),21.439999999999998)</f>
        <v>21.44</v>
      </c>
      <c r="AD824" s="48">
        <f>IFERROR(__xludf.DUMMYFUNCTION("""COMPUTED_VALUE"""),327.0)</f>
        <v>327</v>
      </c>
      <c r="AE824" s="48">
        <f>IFERROR(__xludf.DUMMYFUNCTION("""COMPUTED_VALUE"""),287.0)</f>
        <v>287</v>
      </c>
      <c r="AF824" s="48">
        <f>IFERROR(__xludf.DUMMYFUNCTION("""COMPUTED_VALUE"""),308.0)</f>
        <v>308</v>
      </c>
      <c r="AG824" s="48">
        <f>IFERROR(__xludf.DUMMYFUNCTION("""COMPUTED_VALUE"""),286.0)</f>
        <v>286</v>
      </c>
      <c r="AH824" s="48">
        <f>IFERROR(__xludf.DUMMYFUNCTION("""COMPUTED_VALUE"""),311.0)</f>
        <v>311</v>
      </c>
      <c r="AI824" s="14">
        <f>IFERROR(__xludf.DUMMYFUNCTION("""COMPUTED_VALUE"""),303.8)</f>
        <v>303.8</v>
      </c>
      <c r="AJ824" s="14">
        <f>IFERROR(__xludf.DUMMYFUNCTION("""COMPUTED_VALUE"""),4.35)</f>
        <v>4.35</v>
      </c>
      <c r="AK824" s="14">
        <f>IFERROR(__xludf.DUMMYFUNCTION("""COMPUTED_VALUE"""),4.09)</f>
        <v>4.09</v>
      </c>
      <c r="AL824" s="14">
        <f>IFERROR(__xludf.DUMMYFUNCTION("""COMPUTED_VALUE"""),4.77)</f>
        <v>4.77</v>
      </c>
      <c r="AM824" s="14">
        <f>IFERROR(__xludf.DUMMYFUNCTION("""COMPUTED_VALUE"""),4.57)</f>
        <v>4.57</v>
      </c>
      <c r="AN824" s="14">
        <f>IFERROR(__xludf.DUMMYFUNCTION("""COMPUTED_VALUE"""),4.48)</f>
        <v>4.48</v>
      </c>
      <c r="AO824" s="14">
        <f>IFERROR(__xludf.DUMMYFUNCTION("""COMPUTED_VALUE"""),4.452)</f>
        <v>4.452</v>
      </c>
      <c r="AP824" s="14">
        <f>IFERROR(__xludf.DUMMYFUNCTION("""COMPUTED_VALUE"""),29.0)</f>
        <v>29</v>
      </c>
      <c r="AQ824" s="14">
        <f>IFERROR(__xludf.DUMMYFUNCTION("""COMPUTED_VALUE"""),44.0)</f>
        <v>44</v>
      </c>
      <c r="AR824" s="14">
        <f>IFERROR(__xludf.DUMMYFUNCTION("""COMPUTED_VALUE"""),30.0)</f>
        <v>30</v>
      </c>
      <c r="AS824" s="14">
        <f>IFERROR(__xludf.DUMMYFUNCTION("""COMPUTED_VALUE"""),1.2)</f>
        <v>1.2</v>
      </c>
      <c r="AT824" s="14">
        <f>IFERROR(__xludf.DUMMYFUNCTION("""COMPUTED_VALUE"""),0.87)</f>
        <v>0.87</v>
      </c>
      <c r="AU824" s="14">
        <f>IFERROR(__xludf.DUMMYFUNCTION("""COMPUTED_VALUE"""),2359000.0)</f>
        <v>2359000</v>
      </c>
      <c r="AV824" s="14">
        <f>IFERROR(__xludf.DUMMYFUNCTION("""COMPUTED_VALUE"""),1.24)</f>
        <v>1.24</v>
      </c>
      <c r="AW824" s="14">
        <f>IFERROR(__xludf.DUMMYFUNCTION("""COMPUTED_VALUE"""),12.6)</f>
        <v>12.6</v>
      </c>
      <c r="AX824" s="14">
        <f>IFERROR(__xludf.DUMMYFUNCTION("""COMPUTED_VALUE"""),1134000.0)</f>
        <v>1134000</v>
      </c>
      <c r="AY824" s="14">
        <f>IFERROR(__xludf.DUMMYFUNCTION("""COMPUTED_VALUE"""),0.5)</f>
        <v>0.5</v>
      </c>
      <c r="AZ824" s="14">
        <f>IFERROR(__xludf.DUMMYFUNCTION("""COMPUTED_VALUE"""),0.007)</f>
        <v>0.007</v>
      </c>
      <c r="BA824" s="14">
        <f t="shared" si="1"/>
        <v>13.107</v>
      </c>
    </row>
    <row r="825" ht="14.25" customHeight="1">
      <c r="A825" s="10" t="str">
        <f>IFERROR(__xludf.DUMMYFUNCTION("""COMPUTED_VALUE"""),"100423HA01")</f>
        <v>100423HA01</v>
      </c>
      <c r="B825" s="12" t="str">
        <f>IFERROR(__xludf.DUMMYFUNCTION("""COMPUTED_VALUE"""),"CON-Country")</f>
        <v>CON-Country</v>
      </c>
      <c r="C825" s="12"/>
      <c r="D825" s="12"/>
      <c r="E825" s="44">
        <f>IFERROR(__xludf.DUMMYFUNCTION("""COMPUTED_VALUE"""),45026.0)</f>
        <v>45026</v>
      </c>
      <c r="F825" s="12" t="str">
        <f>IFERROR(__xludf.DUMMYFUNCTION("""COMPUTED_VALUE"""),"TIPO I")</f>
        <v>TIPO I</v>
      </c>
      <c r="G825" s="12" t="str">
        <f>IFERROR(__xludf.DUMMYFUNCTION("""COMPUTED_VALUE"""),"Estructura del canal en concreto, no se observa color y no se percibe olor")</f>
        <v>Estructura del canal en concreto, no se observa color y no se percibe olor</v>
      </c>
      <c r="H825" s="45">
        <f>IFERROR(__xludf.DUMMYFUNCTION("""COMPUTED_VALUE"""),0.25)</f>
        <v>0.25</v>
      </c>
      <c r="I825" s="45">
        <f>IFERROR(__xludf.DUMMYFUNCTION("""COMPUTED_VALUE"""),0.3333333333321207)</f>
        <v>0.3333333333</v>
      </c>
      <c r="J825" s="12">
        <f>IFERROR(__xludf.DUMMYFUNCTION("""COMPUTED_VALUE"""),5.0)</f>
        <v>5</v>
      </c>
      <c r="K825" s="12">
        <f>IFERROR(__xludf.DUMMYFUNCTION("""COMPUTED_VALUE"""),0.1)</f>
        <v>0.1</v>
      </c>
      <c r="L825" s="14">
        <f>IFERROR(__xludf.DUMMYFUNCTION("""COMPUTED_VALUE"""),69.777)</f>
        <v>69.777</v>
      </c>
      <c r="M825" s="14">
        <f>IFERROR(__xludf.DUMMYFUNCTION("""COMPUTED_VALUE"""),72.443)</f>
        <v>72.443</v>
      </c>
      <c r="N825" s="14">
        <f>IFERROR(__xludf.DUMMYFUNCTION("""COMPUTED_VALUE"""),70.593)</f>
        <v>70.593</v>
      </c>
      <c r="O825" s="14">
        <f>IFERROR(__xludf.DUMMYFUNCTION("""COMPUTED_VALUE"""),70.034)</f>
        <v>70.034</v>
      </c>
      <c r="P825" s="14">
        <f>IFERROR(__xludf.DUMMYFUNCTION("""COMPUTED_VALUE"""),72.777)</f>
        <v>72.777</v>
      </c>
      <c r="Q825" s="14">
        <f>IFERROR(__xludf.DUMMYFUNCTION("""COMPUTED_VALUE"""),71.125)</f>
        <v>71.125</v>
      </c>
      <c r="R825" s="48">
        <f>IFERROR(__xludf.DUMMYFUNCTION("""COMPUTED_VALUE"""),7.54)</f>
        <v>7.54</v>
      </c>
      <c r="S825" s="48">
        <f>IFERROR(__xludf.DUMMYFUNCTION("""COMPUTED_VALUE"""),7.4)</f>
        <v>7.4</v>
      </c>
      <c r="T825" s="48">
        <f>IFERROR(__xludf.DUMMYFUNCTION("""COMPUTED_VALUE"""),7.46)</f>
        <v>7.46</v>
      </c>
      <c r="U825" s="48">
        <f>IFERROR(__xludf.DUMMYFUNCTION("""COMPUTED_VALUE"""),7.55)</f>
        <v>7.55</v>
      </c>
      <c r="V825" s="48">
        <f>IFERROR(__xludf.DUMMYFUNCTION("""COMPUTED_VALUE"""),7.63)</f>
        <v>7.63</v>
      </c>
      <c r="W825" s="14">
        <f>IFERROR(__xludf.DUMMYFUNCTION("""COMPUTED_VALUE"""),7.516000000000001)</f>
        <v>7.516</v>
      </c>
      <c r="X825" s="14">
        <f>IFERROR(__xludf.DUMMYFUNCTION("""COMPUTED_VALUE"""),15.5)</f>
        <v>15.5</v>
      </c>
      <c r="Y825" s="14">
        <f>IFERROR(__xludf.DUMMYFUNCTION("""COMPUTED_VALUE"""),15.7)</f>
        <v>15.7</v>
      </c>
      <c r="Z825" s="14">
        <f>IFERROR(__xludf.DUMMYFUNCTION("""COMPUTED_VALUE"""),15.8)</f>
        <v>15.8</v>
      </c>
      <c r="AA825" s="14">
        <f>IFERROR(__xludf.DUMMYFUNCTION("""COMPUTED_VALUE"""),16.7)</f>
        <v>16.7</v>
      </c>
      <c r="AB825" s="14">
        <f>IFERROR(__xludf.DUMMYFUNCTION("""COMPUTED_VALUE"""),17.0)</f>
        <v>17</v>
      </c>
      <c r="AC825" s="14">
        <f>IFERROR(__xludf.DUMMYFUNCTION("""COMPUTED_VALUE"""),16.14)</f>
        <v>16.14</v>
      </c>
      <c r="AD825" s="48">
        <f>IFERROR(__xludf.DUMMYFUNCTION("""COMPUTED_VALUE"""),225.0)</f>
        <v>225</v>
      </c>
      <c r="AE825" s="48">
        <f>IFERROR(__xludf.DUMMYFUNCTION("""COMPUTED_VALUE"""),261.0)</f>
        <v>261</v>
      </c>
      <c r="AF825" s="48">
        <f>IFERROR(__xludf.DUMMYFUNCTION("""COMPUTED_VALUE"""),236.0)</f>
        <v>236</v>
      </c>
      <c r="AG825" s="48">
        <f>IFERROR(__xludf.DUMMYFUNCTION("""COMPUTED_VALUE"""),329.0)</f>
        <v>329</v>
      </c>
      <c r="AH825" s="48">
        <f>IFERROR(__xludf.DUMMYFUNCTION("""COMPUTED_VALUE"""),326.0)</f>
        <v>326</v>
      </c>
      <c r="AI825" s="14">
        <f>IFERROR(__xludf.DUMMYFUNCTION("""COMPUTED_VALUE"""),275.4)</f>
        <v>275.4</v>
      </c>
      <c r="AJ825" s="14">
        <f>IFERROR(__xludf.DUMMYFUNCTION("""COMPUTED_VALUE"""),5.09)</f>
        <v>5.09</v>
      </c>
      <c r="AK825" s="14">
        <f>IFERROR(__xludf.DUMMYFUNCTION("""COMPUTED_VALUE"""),4.49)</f>
        <v>4.49</v>
      </c>
      <c r="AL825" s="14">
        <f>IFERROR(__xludf.DUMMYFUNCTION("""COMPUTED_VALUE"""),4.2)</f>
        <v>4.2</v>
      </c>
      <c r="AM825" s="14">
        <f>IFERROR(__xludf.DUMMYFUNCTION("""COMPUTED_VALUE"""),4.37)</f>
        <v>4.37</v>
      </c>
      <c r="AN825" s="14">
        <f>IFERROR(__xludf.DUMMYFUNCTION("""COMPUTED_VALUE"""),4.42)</f>
        <v>4.42</v>
      </c>
      <c r="AO825" s="14">
        <f>IFERROR(__xludf.DUMMYFUNCTION("""COMPUTED_VALUE"""),4.514)</f>
        <v>4.514</v>
      </c>
      <c r="AP825" s="14">
        <f>IFERROR(__xludf.DUMMYFUNCTION("""COMPUTED_VALUE"""),16.0)</f>
        <v>16</v>
      </c>
      <c r="AQ825" s="14">
        <f>IFERROR(__xludf.DUMMYFUNCTION("""COMPUTED_VALUE"""),25.0)</f>
        <v>25</v>
      </c>
      <c r="AR825" s="14">
        <f>IFERROR(__xludf.DUMMYFUNCTION("""COMPUTED_VALUE"""),13.0)</f>
        <v>13</v>
      </c>
      <c r="AS825" s="14">
        <f>IFERROR(__xludf.DUMMYFUNCTION("""COMPUTED_VALUE"""),4.2)</f>
        <v>4.2</v>
      </c>
      <c r="AT825" s="14">
        <f>IFERROR(__xludf.DUMMYFUNCTION("""COMPUTED_VALUE"""),0.37)</f>
        <v>0.37</v>
      </c>
      <c r="AU825" s="14">
        <f>IFERROR(__xludf.DUMMYFUNCTION("""COMPUTED_VALUE"""),1483000.0)</f>
        <v>1483000</v>
      </c>
      <c r="AV825" s="14">
        <f>IFERROR(__xludf.DUMMYFUNCTION("""COMPUTED_VALUE"""),1.05)</f>
        <v>1.05</v>
      </c>
      <c r="AW825" s="14">
        <f>IFERROR(__xludf.DUMMYFUNCTION("""COMPUTED_VALUE"""),9.5)</f>
        <v>9.5</v>
      </c>
      <c r="AX825" s="14">
        <f>IFERROR(__xludf.DUMMYFUNCTION("""COMPUTED_VALUE"""),888000.0)</f>
        <v>888000</v>
      </c>
      <c r="AY825" s="14">
        <f>IFERROR(__xludf.DUMMYFUNCTION("""COMPUTED_VALUE"""),0.8)</f>
        <v>0.8</v>
      </c>
      <c r="AZ825" s="14">
        <f>IFERROR(__xludf.DUMMYFUNCTION("""COMPUTED_VALUE"""),0.058)</f>
        <v>0.058</v>
      </c>
      <c r="BA825" s="14">
        <f t="shared" si="1"/>
        <v>10.358</v>
      </c>
    </row>
    <row r="826" ht="14.25" customHeight="1">
      <c r="A826" s="10" t="str">
        <f>IFERROR(__xludf.DUMMYFUNCTION("""COMPUTED_VALUE"""),"120423FE03")</f>
        <v>120423FE03</v>
      </c>
      <c r="B826" s="12" t="str">
        <f>IFERROR(__xludf.DUMMYFUNCTION("""COMPUTED_VALUE"""),"QZA-Quindío")</f>
        <v>QZA-Quindío</v>
      </c>
      <c r="C826" s="12"/>
      <c r="D826" s="12"/>
      <c r="E826" s="44">
        <f>IFERROR(__xludf.DUMMYFUNCTION("""COMPUTED_VALUE"""),45028.0)</f>
        <v>45028</v>
      </c>
      <c r="F826" s="12" t="str">
        <f>IFERROR(__xludf.DUMMYFUNCTION("""COMPUTED_VALUE"""),"TIPO I")</f>
        <v>TIPO I</v>
      </c>
      <c r="G826" s="12" t="str">
        <f>IFERROR(__xludf.DUMMYFUNCTION("""COMPUTED_VALUE"""),"Monitoreo realizado en canal natural con lecho rocoso, se observa presencia de residuos sólidos al margen del canal. ")</f>
        <v>Monitoreo realizado en canal natural con lecho rocoso, se observa presencia de residuos sólidos al margen del canal. </v>
      </c>
      <c r="H826" s="45">
        <f>IFERROR(__xludf.DUMMYFUNCTION("""COMPUTED_VALUE"""),0.5)</f>
        <v>0.5</v>
      </c>
      <c r="I826" s="45">
        <f>IFERROR(__xludf.DUMMYFUNCTION("""COMPUTED_VALUE"""),0.5833333333321207)</f>
        <v>0.5833333333</v>
      </c>
      <c r="J826" s="12">
        <f>IFERROR(__xludf.DUMMYFUNCTION("""COMPUTED_VALUE"""),0.72)</f>
        <v>0.72</v>
      </c>
      <c r="K826" s="12">
        <f>IFERROR(__xludf.DUMMYFUNCTION("""COMPUTED_VALUE"""),0.15)</f>
        <v>0.15</v>
      </c>
      <c r="L826" s="14">
        <f>IFERROR(__xludf.DUMMYFUNCTION("""COMPUTED_VALUE"""),17.219)</f>
        <v>17.219</v>
      </c>
      <c r="M826" s="14">
        <f>IFERROR(__xludf.DUMMYFUNCTION("""COMPUTED_VALUE"""),17.718)</f>
        <v>17.718</v>
      </c>
      <c r="N826" s="14">
        <f>IFERROR(__xludf.DUMMYFUNCTION("""COMPUTED_VALUE"""),18.341)</f>
        <v>18.341</v>
      </c>
      <c r="O826" s="14">
        <f>IFERROR(__xludf.DUMMYFUNCTION("""COMPUTED_VALUE"""),18.822)</f>
        <v>18.822</v>
      </c>
      <c r="P826" s="14">
        <f>IFERROR(__xludf.DUMMYFUNCTION("""COMPUTED_VALUE"""),19.13)</f>
        <v>19.13</v>
      </c>
      <c r="Q826" s="14">
        <f>IFERROR(__xludf.DUMMYFUNCTION("""COMPUTED_VALUE"""),18.246)</f>
        <v>18.246</v>
      </c>
      <c r="R826" s="48">
        <f>IFERROR(__xludf.DUMMYFUNCTION("""COMPUTED_VALUE"""),8.2)</f>
        <v>8.2</v>
      </c>
      <c r="S826" s="48">
        <f>IFERROR(__xludf.DUMMYFUNCTION("""COMPUTED_VALUE"""),7.43)</f>
        <v>7.43</v>
      </c>
      <c r="T826" s="48">
        <f>IFERROR(__xludf.DUMMYFUNCTION("""COMPUTED_VALUE"""),6.73)</f>
        <v>6.73</v>
      </c>
      <c r="U826" s="48">
        <f>IFERROR(__xludf.DUMMYFUNCTION("""COMPUTED_VALUE"""),6.89)</f>
        <v>6.89</v>
      </c>
      <c r="V826" s="48">
        <f>IFERROR(__xludf.DUMMYFUNCTION("""COMPUTED_VALUE"""),6.59)</f>
        <v>6.59</v>
      </c>
      <c r="W826" s="14">
        <f>IFERROR(__xludf.DUMMYFUNCTION("""COMPUTED_VALUE"""),7.168000000000001)</f>
        <v>7.168</v>
      </c>
      <c r="X826" s="14">
        <f>IFERROR(__xludf.DUMMYFUNCTION("""COMPUTED_VALUE"""),14.0)</f>
        <v>14</v>
      </c>
      <c r="Y826" s="14">
        <f>IFERROR(__xludf.DUMMYFUNCTION("""COMPUTED_VALUE"""),14.1)</f>
        <v>14.1</v>
      </c>
      <c r="Z826" s="14">
        <f>IFERROR(__xludf.DUMMYFUNCTION("""COMPUTED_VALUE"""),14.0)</f>
        <v>14</v>
      </c>
      <c r="AA826" s="14">
        <f>IFERROR(__xludf.DUMMYFUNCTION("""COMPUTED_VALUE"""),14.4)</f>
        <v>14.4</v>
      </c>
      <c r="AB826" s="14">
        <f>IFERROR(__xludf.DUMMYFUNCTION("""COMPUTED_VALUE"""),14.6)</f>
        <v>14.6</v>
      </c>
      <c r="AC826" s="14">
        <f>IFERROR(__xludf.DUMMYFUNCTION("""COMPUTED_VALUE"""),14.219999999999999)</f>
        <v>14.22</v>
      </c>
      <c r="AD826" s="48">
        <f>IFERROR(__xludf.DUMMYFUNCTION("""COMPUTED_VALUE"""),35.7)</f>
        <v>35.7</v>
      </c>
      <c r="AE826" s="48">
        <f>IFERROR(__xludf.DUMMYFUNCTION("""COMPUTED_VALUE"""),26.1)</f>
        <v>26.1</v>
      </c>
      <c r="AF826" s="48">
        <f>IFERROR(__xludf.DUMMYFUNCTION("""COMPUTED_VALUE"""),28.3)</f>
        <v>28.3</v>
      </c>
      <c r="AG826" s="48">
        <f>IFERROR(__xludf.DUMMYFUNCTION("""COMPUTED_VALUE"""),25.2)</f>
        <v>25.2</v>
      </c>
      <c r="AH826" s="48">
        <f>IFERROR(__xludf.DUMMYFUNCTION("""COMPUTED_VALUE"""),24.1)</f>
        <v>24.1</v>
      </c>
      <c r="AI826" s="14">
        <f>IFERROR(__xludf.DUMMYFUNCTION("""COMPUTED_VALUE"""),27.880000000000003)</f>
        <v>27.88</v>
      </c>
      <c r="AJ826" s="14">
        <f>IFERROR(__xludf.DUMMYFUNCTION("""COMPUTED_VALUE"""),7.57)</f>
        <v>7.57</v>
      </c>
      <c r="AK826" s="14">
        <f>IFERROR(__xludf.DUMMYFUNCTION("""COMPUTED_VALUE"""),7.73)</f>
        <v>7.73</v>
      </c>
      <c r="AL826" s="14">
        <f>IFERROR(__xludf.DUMMYFUNCTION("""COMPUTED_VALUE"""),7.58)</f>
        <v>7.58</v>
      </c>
      <c r="AM826" s="14">
        <f>IFERROR(__xludf.DUMMYFUNCTION("""COMPUTED_VALUE"""),7.6)</f>
        <v>7.6</v>
      </c>
      <c r="AN826" s="14">
        <f>IFERROR(__xludf.DUMMYFUNCTION("""COMPUTED_VALUE"""),7.53)</f>
        <v>7.53</v>
      </c>
      <c r="AO826" s="14">
        <f>IFERROR(__xludf.DUMMYFUNCTION("""COMPUTED_VALUE"""),7.602000000000001)</f>
        <v>7.602</v>
      </c>
      <c r="AP826" s="14">
        <f>IFERROR(__xludf.DUMMYFUNCTION("""COMPUTED_VALUE"""),6.0)</f>
        <v>6</v>
      </c>
      <c r="AQ826" s="14">
        <f>IFERROR(__xludf.DUMMYFUNCTION("""COMPUTED_VALUE"""),10.0)</f>
        <v>10</v>
      </c>
      <c r="AR826" s="14">
        <f>IFERROR(__xludf.DUMMYFUNCTION("""COMPUTED_VALUE"""),5.0)</f>
        <v>5</v>
      </c>
      <c r="AS826" s="14">
        <f>IFERROR(__xludf.DUMMYFUNCTION("""COMPUTED_VALUE"""),1.2)</f>
        <v>1.2</v>
      </c>
      <c r="AT826" s="14">
        <f>IFERROR(__xludf.DUMMYFUNCTION("""COMPUTED_VALUE"""),0.33)</f>
        <v>0.33</v>
      </c>
      <c r="AU826" s="14">
        <f>IFERROR(__xludf.DUMMYFUNCTION("""COMPUTED_VALUE"""),1.301E7)</f>
        <v>13010000</v>
      </c>
      <c r="AV826" s="14">
        <f>IFERROR(__xludf.DUMMYFUNCTION("""COMPUTED_VALUE"""),0.09)</f>
        <v>0.09</v>
      </c>
      <c r="AW826" s="14">
        <f>IFERROR(__xludf.DUMMYFUNCTION("""COMPUTED_VALUE"""),1.0)</f>
        <v>1</v>
      </c>
      <c r="AX826" s="14">
        <f>IFERROR(__xludf.DUMMYFUNCTION("""COMPUTED_VALUE"""),9110000.0)</f>
        <v>9110000</v>
      </c>
      <c r="AY826" s="14">
        <f>IFERROR(__xludf.DUMMYFUNCTION("""COMPUTED_VALUE"""),1.1)</f>
        <v>1.1</v>
      </c>
      <c r="AZ826" s="14">
        <f>IFERROR(__xludf.DUMMYFUNCTION("""COMPUTED_VALUE"""),0.007)</f>
        <v>0.007</v>
      </c>
      <c r="BA826" s="14">
        <f t="shared" si="1"/>
        <v>2.107</v>
      </c>
    </row>
    <row r="827" ht="14.25" customHeight="1">
      <c r="A827" s="10" t="str">
        <f>IFERROR(__xludf.DUMMYFUNCTION("""COMPUTED_VALUE"""),"110423DU03")</f>
        <v>110423DU03</v>
      </c>
      <c r="B827" s="12" t="str">
        <f>IFERROR(__xludf.DUMMYFUNCTION("""COMPUTED_VALUE"""),"QLI-El Satélite")</f>
        <v>QLI-El Satélite</v>
      </c>
      <c r="C827" s="12"/>
      <c r="D827" s="12"/>
      <c r="E827" s="44">
        <f>IFERROR(__xludf.DUMMYFUNCTION("""COMPUTED_VALUE"""),45027.0)</f>
        <v>45027</v>
      </c>
      <c r="F827" s="12" t="str">
        <f>IFERROR(__xludf.DUMMYFUNCTION("""COMPUTED_VALUE"""),"TIPO I")</f>
        <v>TIPO I</v>
      </c>
      <c r="G827" s="12" t="str">
        <f>IFERROR(__xludf.DUMMYFUNCTION("""COMPUTED_VALUE"""),"Estructura del canal en concreto, se observa color y se percibe olor")</f>
        <v>Estructura del canal en concreto, se observa color y se percibe olor</v>
      </c>
      <c r="H827" s="45">
        <f>IFERROR(__xludf.DUMMYFUNCTION("""COMPUTED_VALUE"""),0.5833333333321207)</f>
        <v>0.5833333333</v>
      </c>
      <c r="I827" s="45">
        <f>IFERROR(__xludf.DUMMYFUNCTION("""COMPUTED_VALUE"""),0.6666666666678793)</f>
        <v>0.6666666667</v>
      </c>
      <c r="J827" s="12">
        <f>IFERROR(__xludf.DUMMYFUNCTION("""COMPUTED_VALUE"""),3.0)</f>
        <v>3</v>
      </c>
      <c r="K827" s="12">
        <f>IFERROR(__xludf.DUMMYFUNCTION("""COMPUTED_VALUE"""),0.16)</f>
        <v>0.16</v>
      </c>
      <c r="L827" s="14">
        <f>IFERROR(__xludf.DUMMYFUNCTION("""COMPUTED_VALUE"""),84.683)</f>
        <v>84.683</v>
      </c>
      <c r="M827" s="14">
        <f>IFERROR(__xludf.DUMMYFUNCTION("""COMPUTED_VALUE"""),86.417)</f>
        <v>86.417</v>
      </c>
      <c r="N827" s="14">
        <f>IFERROR(__xludf.DUMMYFUNCTION("""COMPUTED_VALUE"""),85.076)</f>
        <v>85.076</v>
      </c>
      <c r="O827" s="14">
        <f>IFERROR(__xludf.DUMMYFUNCTION("""COMPUTED_VALUE"""),84.706)</f>
        <v>84.706</v>
      </c>
      <c r="P827" s="14">
        <f>IFERROR(__xludf.DUMMYFUNCTION("""COMPUTED_VALUE"""),83.603)</f>
        <v>83.603</v>
      </c>
      <c r="Q827" s="14">
        <f>IFERROR(__xludf.DUMMYFUNCTION("""COMPUTED_VALUE"""),84.897)</f>
        <v>84.897</v>
      </c>
      <c r="R827" s="48">
        <f>IFERROR(__xludf.DUMMYFUNCTION("""COMPUTED_VALUE"""),7.91)</f>
        <v>7.91</v>
      </c>
      <c r="S827" s="48">
        <f>IFERROR(__xludf.DUMMYFUNCTION("""COMPUTED_VALUE"""),7.83)</f>
        <v>7.83</v>
      </c>
      <c r="T827" s="48">
        <f>IFERROR(__xludf.DUMMYFUNCTION("""COMPUTED_VALUE"""),7.94)</f>
        <v>7.94</v>
      </c>
      <c r="U827" s="48">
        <f>IFERROR(__xludf.DUMMYFUNCTION("""COMPUTED_VALUE"""),7.7)</f>
        <v>7.7</v>
      </c>
      <c r="V827" s="48">
        <f>IFERROR(__xludf.DUMMYFUNCTION("""COMPUTED_VALUE"""),7.79)</f>
        <v>7.79</v>
      </c>
      <c r="W827" s="14">
        <f>IFERROR(__xludf.DUMMYFUNCTION("""COMPUTED_VALUE"""),7.8340000000000005)</f>
        <v>7.834</v>
      </c>
      <c r="X827" s="14">
        <f>IFERROR(__xludf.DUMMYFUNCTION("""COMPUTED_VALUE"""),19.9)</f>
        <v>19.9</v>
      </c>
      <c r="Y827" s="14">
        <f>IFERROR(__xludf.DUMMYFUNCTION("""COMPUTED_VALUE"""),19.8)</f>
        <v>19.8</v>
      </c>
      <c r="Z827" s="14">
        <f>IFERROR(__xludf.DUMMYFUNCTION("""COMPUTED_VALUE"""),20.1)</f>
        <v>20.1</v>
      </c>
      <c r="AA827" s="14">
        <f>IFERROR(__xludf.DUMMYFUNCTION("""COMPUTED_VALUE"""),20.2)</f>
        <v>20.2</v>
      </c>
      <c r="AB827" s="14">
        <f>IFERROR(__xludf.DUMMYFUNCTION("""COMPUTED_VALUE"""),21.1)</f>
        <v>21.1</v>
      </c>
      <c r="AC827" s="14">
        <f>IFERROR(__xludf.DUMMYFUNCTION("""COMPUTED_VALUE"""),20.22)</f>
        <v>20.22</v>
      </c>
      <c r="AD827" s="48">
        <f>IFERROR(__xludf.DUMMYFUNCTION("""COMPUTED_VALUE"""),597.0)</f>
        <v>597</v>
      </c>
      <c r="AE827" s="48">
        <f>IFERROR(__xludf.DUMMYFUNCTION("""COMPUTED_VALUE"""),610.0)</f>
        <v>610</v>
      </c>
      <c r="AF827" s="48">
        <f>IFERROR(__xludf.DUMMYFUNCTION("""COMPUTED_VALUE"""),551.0)</f>
        <v>551</v>
      </c>
      <c r="AG827" s="48">
        <f>IFERROR(__xludf.DUMMYFUNCTION("""COMPUTED_VALUE"""),592.0)</f>
        <v>592</v>
      </c>
      <c r="AH827" s="48">
        <f>IFERROR(__xludf.DUMMYFUNCTION("""COMPUTED_VALUE"""),600.0)</f>
        <v>600</v>
      </c>
      <c r="AI827" s="14">
        <f>IFERROR(__xludf.DUMMYFUNCTION("""COMPUTED_VALUE"""),590.0)</f>
        <v>590</v>
      </c>
      <c r="AJ827" s="14">
        <f>IFERROR(__xludf.DUMMYFUNCTION("""COMPUTED_VALUE"""),2.81)</f>
        <v>2.81</v>
      </c>
      <c r="AK827" s="14">
        <f>IFERROR(__xludf.DUMMYFUNCTION("""COMPUTED_VALUE"""),2.4)</f>
        <v>2.4</v>
      </c>
      <c r="AL827" s="14">
        <f>IFERROR(__xludf.DUMMYFUNCTION("""COMPUTED_VALUE"""),3.36)</f>
        <v>3.36</v>
      </c>
      <c r="AM827" s="14">
        <f>IFERROR(__xludf.DUMMYFUNCTION("""COMPUTED_VALUE"""),2.52)</f>
        <v>2.52</v>
      </c>
      <c r="AN827" s="14">
        <f>IFERROR(__xludf.DUMMYFUNCTION("""COMPUTED_VALUE"""),2.48)</f>
        <v>2.48</v>
      </c>
      <c r="AO827" s="14">
        <f>IFERROR(__xludf.DUMMYFUNCTION("""COMPUTED_VALUE"""),2.714)</f>
        <v>2.714</v>
      </c>
      <c r="AP827" s="14">
        <f>IFERROR(__xludf.DUMMYFUNCTION("""COMPUTED_VALUE"""),119.0)</f>
        <v>119</v>
      </c>
      <c r="AQ827" s="14">
        <f>IFERROR(__xludf.DUMMYFUNCTION("""COMPUTED_VALUE"""),176.0)</f>
        <v>176</v>
      </c>
      <c r="AR827" s="14">
        <f>IFERROR(__xludf.DUMMYFUNCTION("""COMPUTED_VALUE"""),156.0)</f>
        <v>156</v>
      </c>
      <c r="AS827" s="14">
        <f>IFERROR(__xludf.DUMMYFUNCTION("""COMPUTED_VALUE"""),6.2)</f>
        <v>6.2</v>
      </c>
      <c r="AT827" s="14">
        <f>IFERROR(__xludf.DUMMYFUNCTION("""COMPUTED_VALUE"""),2.65)</f>
        <v>2.65</v>
      </c>
      <c r="AU827" s="14">
        <f>IFERROR(__xludf.DUMMYFUNCTION("""COMPUTED_VALUE"""),1.21E7)</f>
        <v>12100000</v>
      </c>
      <c r="AV827" s="14">
        <f>IFERROR(__xludf.DUMMYFUNCTION("""COMPUTED_VALUE"""),3.6)</f>
        <v>3.6</v>
      </c>
      <c r="AW827" s="14">
        <f>IFERROR(__xludf.DUMMYFUNCTION("""COMPUTED_VALUE"""),21.8)</f>
        <v>21.8</v>
      </c>
      <c r="AX827" s="14">
        <f>IFERROR(__xludf.DUMMYFUNCTION("""COMPUTED_VALUE"""),855000.0)</f>
        <v>855000</v>
      </c>
      <c r="AY827" s="14">
        <f>IFERROR(__xludf.DUMMYFUNCTION("""COMPUTED_VALUE"""),1.3)</f>
        <v>1.3</v>
      </c>
      <c r="AZ827" s="14">
        <f>IFERROR(__xludf.DUMMYFUNCTION("""COMPUTED_VALUE"""),0.007)</f>
        <v>0.007</v>
      </c>
      <c r="BA827" s="14">
        <f t="shared" si="1"/>
        <v>23.107</v>
      </c>
    </row>
    <row r="828" ht="14.25" customHeight="1">
      <c r="A828" s="10" t="str">
        <f>IFERROR(__xludf.DUMMYFUNCTION("""COMPUTED_VALUE"""),"170423HA02")</f>
        <v>170423HA02</v>
      </c>
      <c r="B828" s="12" t="str">
        <f>IFERROR(__xludf.DUMMYFUNCTION("""COMPUTED_VALUE"""),"CMO-Cantón Norte")</f>
        <v>CMO-Cantón Norte</v>
      </c>
      <c r="C828" s="12"/>
      <c r="D828" s="12"/>
      <c r="E828" s="44">
        <f>IFERROR(__xludf.DUMMYFUNCTION("""COMPUTED_VALUE"""),45033.0)</f>
        <v>45033</v>
      </c>
      <c r="F828" s="12" t="str">
        <f>IFERROR(__xludf.DUMMYFUNCTION("""COMPUTED_VALUE"""),"TIPO I")</f>
        <v>TIPO I</v>
      </c>
      <c r="G828" s="12" t="str">
        <f>IFERROR(__xludf.DUMMYFUNCTION("""COMPUTED_VALUE"""),"Estructura en concreto, durante el monitoreo se observa color y se percibe olor.
Altitud: 2582 msnm. ")</f>
        <v>Estructura en concreto, durante el monitoreo se observa color y se percibe olor.
Altitud: 2582 msnm. </v>
      </c>
      <c r="H828" s="45">
        <f>IFERROR(__xludf.DUMMYFUNCTION("""COMPUTED_VALUE"""),0.4166666666678793)</f>
        <v>0.4166666667</v>
      </c>
      <c r="I828" s="45">
        <f>IFERROR(__xludf.DUMMYFUNCTION("""COMPUTED_VALUE"""),0.5)</f>
        <v>0.5</v>
      </c>
      <c r="J828" s="12">
        <f>IFERROR(__xludf.DUMMYFUNCTION("""COMPUTED_VALUE"""),2.1)</f>
        <v>2.1</v>
      </c>
      <c r="K828" s="12">
        <f>IFERROR(__xludf.DUMMYFUNCTION("""COMPUTED_VALUE"""),0.13)</f>
        <v>0.13</v>
      </c>
      <c r="L828" s="14">
        <f>IFERROR(__xludf.DUMMYFUNCTION("""COMPUTED_VALUE"""),188.042)</f>
        <v>188.042</v>
      </c>
      <c r="M828" s="14">
        <f>IFERROR(__xludf.DUMMYFUNCTION("""COMPUTED_VALUE"""),188.888)</f>
        <v>188.888</v>
      </c>
      <c r="N828" s="14">
        <f>IFERROR(__xludf.DUMMYFUNCTION("""COMPUTED_VALUE"""),188.672)</f>
        <v>188.672</v>
      </c>
      <c r="O828" s="14">
        <f>IFERROR(__xludf.DUMMYFUNCTION("""COMPUTED_VALUE"""),190.206)</f>
        <v>190.206</v>
      </c>
      <c r="P828" s="14">
        <f>IFERROR(__xludf.DUMMYFUNCTION("""COMPUTED_VALUE"""),187.531)</f>
        <v>187.531</v>
      </c>
      <c r="Q828" s="14">
        <f>IFERROR(__xludf.DUMMYFUNCTION("""COMPUTED_VALUE"""),188.668)</f>
        <v>188.668</v>
      </c>
      <c r="R828" s="48">
        <f>IFERROR(__xludf.DUMMYFUNCTION("""COMPUTED_VALUE"""),7.22)</f>
        <v>7.22</v>
      </c>
      <c r="S828" s="48">
        <f>IFERROR(__xludf.DUMMYFUNCTION("""COMPUTED_VALUE"""),7.81)</f>
        <v>7.81</v>
      </c>
      <c r="T828" s="48">
        <f>IFERROR(__xludf.DUMMYFUNCTION("""COMPUTED_VALUE"""),7.89)</f>
        <v>7.89</v>
      </c>
      <c r="U828" s="48">
        <f>IFERROR(__xludf.DUMMYFUNCTION("""COMPUTED_VALUE"""),7.77)</f>
        <v>7.77</v>
      </c>
      <c r="V828" s="48">
        <f>IFERROR(__xludf.DUMMYFUNCTION("""COMPUTED_VALUE"""),7.91)</f>
        <v>7.91</v>
      </c>
      <c r="W828" s="14">
        <f>IFERROR(__xludf.DUMMYFUNCTION("""COMPUTED_VALUE"""),7.719999999999999)</f>
        <v>7.72</v>
      </c>
      <c r="X828" s="14">
        <f>IFERROR(__xludf.DUMMYFUNCTION("""COMPUTED_VALUE"""),15.5)</f>
        <v>15.5</v>
      </c>
      <c r="Y828" s="14">
        <f>IFERROR(__xludf.DUMMYFUNCTION("""COMPUTED_VALUE"""),15.7)</f>
        <v>15.7</v>
      </c>
      <c r="Z828" s="14">
        <f>IFERROR(__xludf.DUMMYFUNCTION("""COMPUTED_VALUE"""),16.1)</f>
        <v>16.1</v>
      </c>
      <c r="AA828" s="14">
        <f>IFERROR(__xludf.DUMMYFUNCTION("""COMPUTED_VALUE"""),15.7)</f>
        <v>15.7</v>
      </c>
      <c r="AB828" s="14">
        <f>IFERROR(__xludf.DUMMYFUNCTION("""COMPUTED_VALUE"""),16.0)</f>
        <v>16</v>
      </c>
      <c r="AC828" s="14">
        <f>IFERROR(__xludf.DUMMYFUNCTION("""COMPUTED_VALUE"""),15.8)</f>
        <v>15.8</v>
      </c>
      <c r="AD828" s="48">
        <f>IFERROR(__xludf.DUMMYFUNCTION("""COMPUTED_VALUE"""),153.0)</f>
        <v>153</v>
      </c>
      <c r="AE828" s="48">
        <f>IFERROR(__xludf.DUMMYFUNCTION("""COMPUTED_VALUE"""),157.0)</f>
        <v>157</v>
      </c>
      <c r="AF828" s="48">
        <f>IFERROR(__xludf.DUMMYFUNCTION("""COMPUTED_VALUE"""),184.4)</f>
        <v>184.4</v>
      </c>
      <c r="AG828" s="48">
        <f>IFERROR(__xludf.DUMMYFUNCTION("""COMPUTED_VALUE"""),197.5)</f>
        <v>197.5</v>
      </c>
      <c r="AH828" s="48">
        <f>IFERROR(__xludf.DUMMYFUNCTION("""COMPUTED_VALUE"""),201.0)</f>
        <v>201</v>
      </c>
      <c r="AI828" s="14">
        <f>IFERROR(__xludf.DUMMYFUNCTION("""COMPUTED_VALUE"""),178.57999999999998)</f>
        <v>178.58</v>
      </c>
      <c r="AJ828" s="14">
        <f>IFERROR(__xludf.DUMMYFUNCTION("""COMPUTED_VALUE"""),6.08)</f>
        <v>6.08</v>
      </c>
      <c r="AK828" s="14">
        <f>IFERROR(__xludf.DUMMYFUNCTION("""COMPUTED_VALUE"""),6.17)</f>
        <v>6.17</v>
      </c>
      <c r="AL828" s="14">
        <f>IFERROR(__xludf.DUMMYFUNCTION("""COMPUTED_VALUE"""),6.28)</f>
        <v>6.28</v>
      </c>
      <c r="AM828" s="14">
        <f>IFERROR(__xludf.DUMMYFUNCTION("""COMPUTED_VALUE"""),6.03)</f>
        <v>6.03</v>
      </c>
      <c r="AN828" s="14">
        <f>IFERROR(__xludf.DUMMYFUNCTION("""COMPUTED_VALUE"""),6.25)</f>
        <v>6.25</v>
      </c>
      <c r="AO828" s="14">
        <f>IFERROR(__xludf.DUMMYFUNCTION("""COMPUTED_VALUE"""),6.162000000000001)</f>
        <v>6.162</v>
      </c>
      <c r="AP828" s="14">
        <f>IFERROR(__xludf.DUMMYFUNCTION("""COMPUTED_VALUE"""),12.0)</f>
        <v>12</v>
      </c>
      <c r="AQ828" s="14">
        <f>IFERROR(__xludf.DUMMYFUNCTION("""COMPUTED_VALUE"""),19.0)</f>
        <v>19</v>
      </c>
      <c r="AR828" s="14">
        <f>IFERROR(__xludf.DUMMYFUNCTION("""COMPUTED_VALUE"""),13.0)</f>
        <v>13</v>
      </c>
      <c r="AS828" s="14">
        <f>IFERROR(__xludf.DUMMYFUNCTION("""COMPUTED_VALUE"""),1.2)</f>
        <v>1.2</v>
      </c>
      <c r="AT828" s="14">
        <f>IFERROR(__xludf.DUMMYFUNCTION("""COMPUTED_VALUE"""),0.76)</f>
        <v>0.76</v>
      </c>
      <c r="AU828" s="14">
        <f>IFERROR(__xludf.DUMMYFUNCTION("""COMPUTED_VALUE"""),52.0)</f>
        <v>52</v>
      </c>
      <c r="AV828" s="14">
        <f>IFERROR(__xludf.DUMMYFUNCTION("""COMPUTED_VALUE"""),0.42)</f>
        <v>0.42</v>
      </c>
      <c r="AW828" s="14">
        <f>IFERROR(__xludf.DUMMYFUNCTION("""COMPUTED_VALUE"""),7.0)</f>
        <v>7</v>
      </c>
      <c r="AX828" s="14">
        <f>IFERROR(__xludf.DUMMYFUNCTION("""COMPUTED_VALUE"""),22.8)</f>
        <v>22.8</v>
      </c>
      <c r="AY828" s="14">
        <f>IFERROR(__xludf.DUMMYFUNCTION("""COMPUTED_VALUE"""),1.9)</f>
        <v>1.9</v>
      </c>
      <c r="AZ828" s="14">
        <f>IFERROR(__xludf.DUMMYFUNCTION("""COMPUTED_VALUE"""),0.151)</f>
        <v>0.151</v>
      </c>
      <c r="BA828" s="14">
        <f t="shared" si="1"/>
        <v>9.051</v>
      </c>
    </row>
    <row r="829" ht="14.25" customHeight="1">
      <c r="A829" s="10" t="str">
        <f>IFERROR(__xludf.DUMMYFUNCTION("""COMPUTED_VALUE"""),"170423MO01")</f>
        <v>170423MO01</v>
      </c>
      <c r="B829" s="12" t="str">
        <f>IFERROR(__xludf.DUMMYFUNCTION("""COMPUTED_VALUE"""),"CMO-Santa Ana")</f>
        <v>CMO-Santa Ana</v>
      </c>
      <c r="C829" s="12"/>
      <c r="D829" s="12"/>
      <c r="E829" s="44">
        <f>IFERROR(__xludf.DUMMYFUNCTION("""COMPUTED_VALUE"""),45033.0)</f>
        <v>45033</v>
      </c>
      <c r="F829" s="12" t="str">
        <f>IFERROR(__xludf.DUMMYFUNCTION("""COMPUTED_VALUE"""),"TIPO I")</f>
        <v>TIPO I</v>
      </c>
      <c r="G829" s="12" t="str">
        <f>IFERROR(__xludf.DUMMYFUNCTION("""COMPUTED_VALUE"""),"Estructura del canal en concreto, lecho rocoso, se observa color, residuos sólidos y se percibe olor. Altitud 2594 msnm")</f>
        <v>Estructura del canal en concreto, lecho rocoso, se observa color, residuos sólidos y se percibe olor. Altitud 2594 msnm</v>
      </c>
      <c r="H829" s="45">
        <f>IFERROR(__xludf.DUMMYFUNCTION("""COMPUTED_VALUE"""),0.25)</f>
        <v>0.25</v>
      </c>
      <c r="I829" s="45">
        <f>IFERROR(__xludf.DUMMYFUNCTION("""COMPUTED_VALUE"""),0.3333333333321207)</f>
        <v>0.3333333333</v>
      </c>
      <c r="J829" s="12">
        <f>IFERROR(__xludf.DUMMYFUNCTION("""COMPUTED_VALUE"""),3.5)</f>
        <v>3.5</v>
      </c>
      <c r="K829" s="12">
        <f>IFERROR(__xludf.DUMMYFUNCTION("""COMPUTED_VALUE"""),0.23)</f>
        <v>0.23</v>
      </c>
      <c r="L829" s="14">
        <f>IFERROR(__xludf.DUMMYFUNCTION("""COMPUTED_VALUE"""),264.487)</f>
        <v>264.487</v>
      </c>
      <c r="M829" s="14">
        <f>IFERROR(__xludf.DUMMYFUNCTION("""COMPUTED_VALUE"""),264.527)</f>
        <v>264.527</v>
      </c>
      <c r="N829" s="14">
        <f>IFERROR(__xludf.DUMMYFUNCTION("""COMPUTED_VALUE"""),259.94)</f>
        <v>259.94</v>
      </c>
      <c r="O829" s="14">
        <f>IFERROR(__xludf.DUMMYFUNCTION("""COMPUTED_VALUE"""),240.345)</f>
        <v>240.345</v>
      </c>
      <c r="P829" s="14">
        <f>IFERROR(__xludf.DUMMYFUNCTION("""COMPUTED_VALUE"""),241.984)</f>
        <v>241.984</v>
      </c>
      <c r="Q829" s="14">
        <f>IFERROR(__xludf.DUMMYFUNCTION("""COMPUTED_VALUE"""),254.257)</f>
        <v>254.257</v>
      </c>
      <c r="R829" s="48">
        <f>IFERROR(__xludf.DUMMYFUNCTION("""COMPUTED_VALUE"""),7.48)</f>
        <v>7.48</v>
      </c>
      <c r="S829" s="48">
        <f>IFERROR(__xludf.DUMMYFUNCTION("""COMPUTED_VALUE"""),7.43)</f>
        <v>7.43</v>
      </c>
      <c r="T829" s="48">
        <f>IFERROR(__xludf.DUMMYFUNCTION("""COMPUTED_VALUE"""),7.32)</f>
        <v>7.32</v>
      </c>
      <c r="U829" s="48">
        <f>IFERROR(__xludf.DUMMYFUNCTION("""COMPUTED_VALUE"""),7.21)</f>
        <v>7.21</v>
      </c>
      <c r="V829" s="48">
        <f>IFERROR(__xludf.DUMMYFUNCTION("""COMPUTED_VALUE"""),7.47)</f>
        <v>7.47</v>
      </c>
      <c r="W829" s="14">
        <f>IFERROR(__xludf.DUMMYFUNCTION("""COMPUTED_VALUE"""),7.382000000000001)</f>
        <v>7.382</v>
      </c>
      <c r="X829" s="14">
        <f>IFERROR(__xludf.DUMMYFUNCTION("""COMPUTED_VALUE"""),16.4)</f>
        <v>16.4</v>
      </c>
      <c r="Y829" s="14">
        <f>IFERROR(__xludf.DUMMYFUNCTION("""COMPUTED_VALUE"""),16.1)</f>
        <v>16.1</v>
      </c>
      <c r="Z829" s="14">
        <f>IFERROR(__xludf.DUMMYFUNCTION("""COMPUTED_VALUE"""),16.0)</f>
        <v>16</v>
      </c>
      <c r="AA829" s="14">
        <f>IFERROR(__xludf.DUMMYFUNCTION("""COMPUTED_VALUE"""),16.3)</f>
        <v>16.3</v>
      </c>
      <c r="AB829" s="14">
        <f>IFERROR(__xludf.DUMMYFUNCTION("""COMPUTED_VALUE"""),16.4)</f>
        <v>16.4</v>
      </c>
      <c r="AC829" s="14">
        <f>IFERROR(__xludf.DUMMYFUNCTION("""COMPUTED_VALUE"""),16.24)</f>
        <v>16.24</v>
      </c>
      <c r="AD829" s="48">
        <f>IFERROR(__xludf.DUMMYFUNCTION("""COMPUTED_VALUE"""),46.2)</f>
        <v>46.2</v>
      </c>
      <c r="AE829" s="48">
        <f>IFERROR(__xludf.DUMMYFUNCTION("""COMPUTED_VALUE"""),44.7)</f>
        <v>44.7</v>
      </c>
      <c r="AF829" s="48">
        <f>IFERROR(__xludf.DUMMYFUNCTION("""COMPUTED_VALUE"""),50.4)</f>
        <v>50.4</v>
      </c>
      <c r="AG829" s="48">
        <f>IFERROR(__xludf.DUMMYFUNCTION("""COMPUTED_VALUE"""),60.0)</f>
        <v>60</v>
      </c>
      <c r="AH829" s="48">
        <f>IFERROR(__xludf.DUMMYFUNCTION("""COMPUTED_VALUE"""),53.5)</f>
        <v>53.5</v>
      </c>
      <c r="AI829" s="14">
        <f>IFERROR(__xludf.DUMMYFUNCTION("""COMPUTED_VALUE"""),50.96)</f>
        <v>50.96</v>
      </c>
      <c r="AJ829" s="14">
        <f>IFERROR(__xludf.DUMMYFUNCTION("""COMPUTED_VALUE"""),4.32)</f>
        <v>4.32</v>
      </c>
      <c r="AK829" s="14">
        <f>IFERROR(__xludf.DUMMYFUNCTION("""COMPUTED_VALUE"""),4.09)</f>
        <v>4.09</v>
      </c>
      <c r="AL829" s="14">
        <f>IFERROR(__xludf.DUMMYFUNCTION("""COMPUTED_VALUE"""),4.29)</f>
        <v>4.29</v>
      </c>
      <c r="AM829" s="14">
        <f>IFERROR(__xludf.DUMMYFUNCTION("""COMPUTED_VALUE"""),4.31)</f>
        <v>4.31</v>
      </c>
      <c r="AN829" s="14">
        <f>IFERROR(__xludf.DUMMYFUNCTION("""COMPUTED_VALUE"""),4.12)</f>
        <v>4.12</v>
      </c>
      <c r="AO829" s="14">
        <f>IFERROR(__xludf.DUMMYFUNCTION("""COMPUTED_VALUE"""),4.226)</f>
        <v>4.226</v>
      </c>
      <c r="AP829" s="14">
        <f>IFERROR(__xludf.DUMMYFUNCTION("""COMPUTED_VALUE"""),13.0)</f>
        <v>13</v>
      </c>
      <c r="AQ829" s="14">
        <f>IFERROR(__xludf.DUMMYFUNCTION("""COMPUTED_VALUE"""),21.0)</f>
        <v>21</v>
      </c>
      <c r="AR829" s="14">
        <f>IFERROR(__xludf.DUMMYFUNCTION("""COMPUTED_VALUE"""),32.0)</f>
        <v>32</v>
      </c>
      <c r="AS829" s="14">
        <f>IFERROR(__xludf.DUMMYFUNCTION("""COMPUTED_VALUE"""),1.2)</f>
        <v>1.2</v>
      </c>
      <c r="AT829" s="14">
        <f>IFERROR(__xludf.DUMMYFUNCTION("""COMPUTED_VALUE"""),0.31)</f>
        <v>0.31</v>
      </c>
      <c r="AU829" s="14">
        <f>IFERROR(__xludf.DUMMYFUNCTION("""COMPUTED_VALUE"""),1430000.0)</f>
        <v>1430000</v>
      </c>
      <c r="AV829" s="14">
        <f>IFERROR(__xludf.DUMMYFUNCTION("""COMPUTED_VALUE"""),0.47)</f>
        <v>0.47</v>
      </c>
      <c r="AW829" s="14">
        <f>IFERROR(__xludf.DUMMYFUNCTION("""COMPUTED_VALUE"""),4.5)</f>
        <v>4.5</v>
      </c>
      <c r="AX829" s="14">
        <f>IFERROR(__xludf.DUMMYFUNCTION("""COMPUTED_VALUE"""),118700.0)</f>
        <v>118700</v>
      </c>
      <c r="AY829" s="14">
        <f>IFERROR(__xludf.DUMMYFUNCTION("""COMPUTED_VALUE"""),1.0)</f>
        <v>1</v>
      </c>
      <c r="AZ829" s="14">
        <f>IFERROR(__xludf.DUMMYFUNCTION("""COMPUTED_VALUE"""),0.112)</f>
        <v>0.112</v>
      </c>
      <c r="BA829" s="14">
        <f t="shared" si="1"/>
        <v>5.612</v>
      </c>
    </row>
    <row r="830" ht="14.25" customHeight="1">
      <c r="A830" s="10" t="str">
        <f>IFERROR(__xludf.DUMMYFUNCTION("""COMPUTED_VALUE"""),"170423MO02")</f>
        <v>170423MO02</v>
      </c>
      <c r="B830" s="12" t="str">
        <f>IFERROR(__xludf.DUMMYFUNCTION("""COMPUTED_VALUE"""),"CMO-Pepe Sierra")</f>
        <v>CMO-Pepe Sierra</v>
      </c>
      <c r="C830" s="12"/>
      <c r="D830" s="12"/>
      <c r="E830" s="44">
        <f>IFERROR(__xludf.DUMMYFUNCTION("""COMPUTED_VALUE"""),45033.0)</f>
        <v>45033</v>
      </c>
      <c r="F830" s="12" t="str">
        <f>IFERROR(__xludf.DUMMYFUNCTION("""COMPUTED_VALUE"""),"TIPO I")</f>
        <v>TIPO I</v>
      </c>
      <c r="G830" s="12" t="str">
        <f>IFERROR(__xludf.DUMMYFUNCTION("""COMPUTED_VALUE"""),"Estructura del canal en concreto, presencia de lama en el fondo del lecho, se observa color, se percibe olor. Se presentan lluvias intermitentes durante el monitoreo.")</f>
        <v>Estructura del canal en concreto, presencia de lama en el fondo del lecho, se observa color, se percibe olor. Se presentan lluvias intermitentes durante el monitoreo.</v>
      </c>
      <c r="H830" s="45">
        <f>IFERROR(__xludf.DUMMYFUNCTION("""COMPUTED_VALUE"""),0.4166666666678793)</f>
        <v>0.4166666667</v>
      </c>
      <c r="I830" s="45">
        <f>IFERROR(__xludf.DUMMYFUNCTION("""COMPUTED_VALUE"""),0.5)</f>
        <v>0.5</v>
      </c>
      <c r="J830" s="12">
        <f>IFERROR(__xludf.DUMMYFUNCTION("""COMPUTED_VALUE"""),8.55)</f>
        <v>8.55</v>
      </c>
      <c r="K830" s="12">
        <f>IFERROR(__xludf.DUMMYFUNCTION("""COMPUTED_VALUE"""),0.2)</f>
        <v>0.2</v>
      </c>
      <c r="L830" s="14">
        <f>IFERROR(__xludf.DUMMYFUNCTION("""COMPUTED_VALUE"""),486.665)</f>
        <v>486.665</v>
      </c>
      <c r="M830" s="14">
        <f>IFERROR(__xludf.DUMMYFUNCTION("""COMPUTED_VALUE"""),490.282)</f>
        <v>490.282</v>
      </c>
      <c r="N830" s="14">
        <f>IFERROR(__xludf.DUMMYFUNCTION("""COMPUTED_VALUE"""),516.931)</f>
        <v>516.931</v>
      </c>
      <c r="O830" s="14">
        <f>IFERROR(__xludf.DUMMYFUNCTION("""COMPUTED_VALUE"""),517.366)</f>
        <v>517.366</v>
      </c>
      <c r="P830" s="14">
        <f>IFERROR(__xludf.DUMMYFUNCTION("""COMPUTED_VALUE"""),515.657)</f>
        <v>515.657</v>
      </c>
      <c r="Q830" s="14">
        <f>IFERROR(__xludf.DUMMYFUNCTION("""COMPUTED_VALUE"""),505.38)</f>
        <v>505.38</v>
      </c>
      <c r="R830" s="48">
        <f>IFERROR(__xludf.DUMMYFUNCTION("""COMPUTED_VALUE"""),7.59)</f>
        <v>7.59</v>
      </c>
      <c r="S830" s="48">
        <f>IFERROR(__xludf.DUMMYFUNCTION("""COMPUTED_VALUE"""),7.75)</f>
        <v>7.75</v>
      </c>
      <c r="T830" s="48">
        <f>IFERROR(__xludf.DUMMYFUNCTION("""COMPUTED_VALUE"""),7.57)</f>
        <v>7.57</v>
      </c>
      <c r="U830" s="48">
        <f>IFERROR(__xludf.DUMMYFUNCTION("""COMPUTED_VALUE"""),7.57)</f>
        <v>7.57</v>
      </c>
      <c r="V830" s="48">
        <f>IFERROR(__xludf.DUMMYFUNCTION("""COMPUTED_VALUE"""),7.88)</f>
        <v>7.88</v>
      </c>
      <c r="W830" s="14">
        <f>IFERROR(__xludf.DUMMYFUNCTION("""COMPUTED_VALUE"""),7.672)</f>
        <v>7.672</v>
      </c>
      <c r="X830" s="14">
        <f>IFERROR(__xludf.DUMMYFUNCTION("""COMPUTED_VALUE"""),17.9)</f>
        <v>17.9</v>
      </c>
      <c r="Y830" s="14">
        <f>IFERROR(__xludf.DUMMYFUNCTION("""COMPUTED_VALUE"""),18.1)</f>
        <v>18.1</v>
      </c>
      <c r="Z830" s="14">
        <f>IFERROR(__xludf.DUMMYFUNCTION("""COMPUTED_VALUE"""),18.4)</f>
        <v>18.4</v>
      </c>
      <c r="AA830" s="14">
        <f>IFERROR(__xludf.DUMMYFUNCTION("""COMPUTED_VALUE"""),18.8)</f>
        <v>18.8</v>
      </c>
      <c r="AB830" s="14">
        <f>IFERROR(__xludf.DUMMYFUNCTION("""COMPUTED_VALUE"""),18.7)</f>
        <v>18.7</v>
      </c>
      <c r="AC830" s="14">
        <f>IFERROR(__xludf.DUMMYFUNCTION("""COMPUTED_VALUE"""),18.380000000000003)</f>
        <v>18.38</v>
      </c>
      <c r="AD830" s="48">
        <f>IFERROR(__xludf.DUMMYFUNCTION("""COMPUTED_VALUE"""),67.4)</f>
        <v>67.4</v>
      </c>
      <c r="AE830" s="48">
        <f>IFERROR(__xludf.DUMMYFUNCTION("""COMPUTED_VALUE"""),65.3)</f>
        <v>65.3</v>
      </c>
      <c r="AF830" s="48">
        <f>IFERROR(__xludf.DUMMYFUNCTION("""COMPUTED_VALUE"""),43.5)</f>
        <v>43.5</v>
      </c>
      <c r="AG830" s="48">
        <f>IFERROR(__xludf.DUMMYFUNCTION("""COMPUTED_VALUE"""),51.3)</f>
        <v>51.3</v>
      </c>
      <c r="AH830" s="48">
        <f>IFERROR(__xludf.DUMMYFUNCTION("""COMPUTED_VALUE"""),96.1)</f>
        <v>96.1</v>
      </c>
      <c r="AI830" s="14">
        <f>IFERROR(__xludf.DUMMYFUNCTION("""COMPUTED_VALUE"""),64.72)</f>
        <v>64.72</v>
      </c>
      <c r="AJ830" s="14">
        <f>IFERROR(__xludf.DUMMYFUNCTION("""COMPUTED_VALUE"""),2.77)</f>
        <v>2.77</v>
      </c>
      <c r="AK830" s="14">
        <f>IFERROR(__xludf.DUMMYFUNCTION("""COMPUTED_VALUE"""),2.71)</f>
        <v>2.71</v>
      </c>
      <c r="AL830" s="14">
        <f>IFERROR(__xludf.DUMMYFUNCTION("""COMPUTED_VALUE"""),2.74)</f>
        <v>2.74</v>
      </c>
      <c r="AM830" s="14">
        <f>IFERROR(__xludf.DUMMYFUNCTION("""COMPUTED_VALUE"""),2.53)</f>
        <v>2.53</v>
      </c>
      <c r="AN830" s="14">
        <f>IFERROR(__xludf.DUMMYFUNCTION("""COMPUTED_VALUE"""),2.76)</f>
        <v>2.76</v>
      </c>
      <c r="AO830" s="14">
        <f>IFERROR(__xludf.DUMMYFUNCTION("""COMPUTED_VALUE"""),2.702)</f>
        <v>2.702</v>
      </c>
      <c r="AP830" s="14">
        <f>IFERROR(__xludf.DUMMYFUNCTION("""COMPUTED_VALUE"""),20.0)</f>
        <v>20</v>
      </c>
      <c r="AQ830" s="14">
        <f>IFERROR(__xludf.DUMMYFUNCTION("""COMPUTED_VALUE"""),30.0)</f>
        <v>30</v>
      </c>
      <c r="AR830" s="14">
        <f>IFERROR(__xludf.DUMMYFUNCTION("""COMPUTED_VALUE"""),39.0)</f>
        <v>39</v>
      </c>
      <c r="AS830" s="14">
        <f>IFERROR(__xludf.DUMMYFUNCTION("""COMPUTED_VALUE"""),12.0)</f>
        <v>12</v>
      </c>
      <c r="AT830" s="14">
        <f>IFERROR(__xludf.DUMMYFUNCTION("""COMPUTED_VALUE"""),1.49)</f>
        <v>1.49</v>
      </c>
      <c r="AU830" s="14">
        <f>IFERROR(__xludf.DUMMYFUNCTION("""COMPUTED_VALUE"""),1153000.0)</f>
        <v>1153000</v>
      </c>
      <c r="AV830" s="14">
        <f>IFERROR(__xludf.DUMMYFUNCTION("""COMPUTED_VALUE"""),0.78)</f>
        <v>0.78</v>
      </c>
      <c r="AW830" s="14">
        <f>IFERROR(__xludf.DUMMYFUNCTION("""COMPUTED_VALUE"""),10.6)</f>
        <v>10.6</v>
      </c>
      <c r="AX830" s="14">
        <f>IFERROR(__xludf.DUMMYFUNCTION("""COMPUTED_VALUE"""),1022000.0)</f>
        <v>1022000</v>
      </c>
      <c r="AY830" s="14">
        <f>IFERROR(__xludf.DUMMYFUNCTION("""COMPUTED_VALUE"""),0.5)</f>
        <v>0.5</v>
      </c>
      <c r="AZ830" s="14">
        <f>IFERROR(__xludf.DUMMYFUNCTION("""COMPUTED_VALUE"""),0.181)</f>
        <v>0.181</v>
      </c>
      <c r="BA830" s="14">
        <f t="shared" si="1"/>
        <v>11.281</v>
      </c>
    </row>
    <row r="831" ht="14.25" customHeight="1">
      <c r="A831" s="10" t="str">
        <f>IFERROR(__xludf.DUMMYFUNCTION("""COMPUTED_VALUE"""),"100423WI01")</f>
        <v>100423WI01</v>
      </c>
      <c r="B831" s="12" t="str">
        <f>IFERROR(__xludf.DUMMYFUNCTION("""COMPUTED_VALUE"""),"CON-Camino del Contador")</f>
        <v>CON-Camino del Contador</v>
      </c>
      <c r="C831" s="12"/>
      <c r="D831" s="12"/>
      <c r="E831" s="44">
        <f>IFERROR(__xludf.DUMMYFUNCTION("""COMPUTED_VALUE"""),45026.0)</f>
        <v>45026</v>
      </c>
      <c r="F831" s="12" t="str">
        <f>IFERROR(__xludf.DUMMYFUNCTION("""COMPUTED_VALUE"""),"TIPO I")</f>
        <v>TIPO I</v>
      </c>
      <c r="G831" s="12" t="str">
        <f>IFERROR(__xludf.DUMMYFUNCTION("""COMPUTED_VALUE"""),"Canal en concreto, se observan residuos sólidos y lodos al margen del canal. Altitud 2556 msnm.")</f>
        <v>Canal en concreto, se observan residuos sólidos y lodos al margen del canal. Altitud 2556 msnm.</v>
      </c>
      <c r="H831" s="45">
        <f>IFERROR(__xludf.DUMMYFUNCTION("""COMPUTED_VALUE"""),0.3333333333321207)</f>
        <v>0.3333333333</v>
      </c>
      <c r="I831" s="45">
        <f>IFERROR(__xludf.DUMMYFUNCTION("""COMPUTED_VALUE"""),0.4166666666678793)</f>
        <v>0.4166666667</v>
      </c>
      <c r="J831" s="12">
        <f>IFERROR(__xludf.DUMMYFUNCTION("""COMPUTED_VALUE"""),5.7)</f>
        <v>5.7</v>
      </c>
      <c r="K831" s="12">
        <f>IFERROR(__xludf.DUMMYFUNCTION("""COMPUTED_VALUE"""),0.1)</f>
        <v>0.1</v>
      </c>
      <c r="L831" s="14">
        <f>IFERROR(__xludf.DUMMYFUNCTION("""COMPUTED_VALUE"""),69.386)</f>
        <v>69.386</v>
      </c>
      <c r="M831" s="14">
        <f>IFERROR(__xludf.DUMMYFUNCTION("""COMPUTED_VALUE"""),71.032)</f>
        <v>71.032</v>
      </c>
      <c r="N831" s="14">
        <f>IFERROR(__xludf.DUMMYFUNCTION("""COMPUTED_VALUE"""),69.086)</f>
        <v>69.086</v>
      </c>
      <c r="O831" s="14">
        <f>IFERROR(__xludf.DUMMYFUNCTION("""COMPUTED_VALUE"""),69.939)</f>
        <v>69.939</v>
      </c>
      <c r="P831" s="14">
        <f>IFERROR(__xludf.DUMMYFUNCTION("""COMPUTED_VALUE"""),70.804)</f>
        <v>70.804</v>
      </c>
      <c r="Q831" s="14">
        <f>IFERROR(__xludf.DUMMYFUNCTION("""COMPUTED_VALUE"""),70.049)</f>
        <v>70.049</v>
      </c>
      <c r="R831" s="48">
        <f>IFERROR(__xludf.DUMMYFUNCTION("""COMPUTED_VALUE"""),7.63)</f>
        <v>7.63</v>
      </c>
      <c r="S831" s="48">
        <f>IFERROR(__xludf.DUMMYFUNCTION("""COMPUTED_VALUE"""),7.7)</f>
        <v>7.7</v>
      </c>
      <c r="T831" s="48">
        <f>IFERROR(__xludf.DUMMYFUNCTION("""COMPUTED_VALUE"""),7.81)</f>
        <v>7.81</v>
      </c>
      <c r="U831" s="48">
        <f>IFERROR(__xludf.DUMMYFUNCTION("""COMPUTED_VALUE"""),7.97)</f>
        <v>7.97</v>
      </c>
      <c r="V831" s="48">
        <f>IFERROR(__xludf.DUMMYFUNCTION("""COMPUTED_VALUE"""),7.83)</f>
        <v>7.83</v>
      </c>
      <c r="W831" s="14">
        <f>IFERROR(__xludf.DUMMYFUNCTION("""COMPUTED_VALUE"""),7.787999999999999)</f>
        <v>7.788</v>
      </c>
      <c r="X831" s="14">
        <f>IFERROR(__xludf.DUMMYFUNCTION("""COMPUTED_VALUE"""),17.5)</f>
        <v>17.5</v>
      </c>
      <c r="Y831" s="14">
        <f>IFERROR(__xludf.DUMMYFUNCTION("""COMPUTED_VALUE"""),18.1)</f>
        <v>18.1</v>
      </c>
      <c r="Z831" s="14">
        <f>IFERROR(__xludf.DUMMYFUNCTION("""COMPUTED_VALUE"""),18.3)</f>
        <v>18.3</v>
      </c>
      <c r="AA831" s="14">
        <f>IFERROR(__xludf.DUMMYFUNCTION("""COMPUTED_VALUE"""),19.0)</f>
        <v>19</v>
      </c>
      <c r="AB831" s="14">
        <f>IFERROR(__xludf.DUMMYFUNCTION("""COMPUTED_VALUE"""),19.1)</f>
        <v>19.1</v>
      </c>
      <c r="AC831" s="14">
        <f>IFERROR(__xludf.DUMMYFUNCTION("""COMPUTED_VALUE"""),18.4)</f>
        <v>18.4</v>
      </c>
      <c r="AD831" s="48">
        <f>IFERROR(__xludf.DUMMYFUNCTION("""COMPUTED_VALUE"""),241.0)</f>
        <v>241</v>
      </c>
      <c r="AE831" s="48">
        <f>IFERROR(__xludf.DUMMYFUNCTION("""COMPUTED_VALUE"""),183.0)</f>
        <v>183</v>
      </c>
      <c r="AF831" s="48">
        <f>IFERROR(__xludf.DUMMYFUNCTION("""COMPUTED_VALUE"""),117.9)</f>
        <v>117.9</v>
      </c>
      <c r="AG831" s="48">
        <f>IFERROR(__xludf.DUMMYFUNCTION("""COMPUTED_VALUE"""),193.2)</f>
        <v>193.2</v>
      </c>
      <c r="AH831" s="48">
        <f>IFERROR(__xludf.DUMMYFUNCTION("""COMPUTED_VALUE"""),198.0)</f>
        <v>198</v>
      </c>
      <c r="AI831" s="14">
        <f>IFERROR(__xludf.DUMMYFUNCTION("""COMPUTED_VALUE"""),186.61999999999998)</f>
        <v>186.62</v>
      </c>
      <c r="AJ831" s="14">
        <f>IFERROR(__xludf.DUMMYFUNCTION("""COMPUTED_VALUE"""),4.78)</f>
        <v>4.78</v>
      </c>
      <c r="AK831" s="14">
        <f>IFERROR(__xludf.DUMMYFUNCTION("""COMPUTED_VALUE"""),4.8)</f>
        <v>4.8</v>
      </c>
      <c r="AL831" s="14">
        <f>IFERROR(__xludf.DUMMYFUNCTION("""COMPUTED_VALUE"""),4.83)</f>
        <v>4.83</v>
      </c>
      <c r="AM831" s="14">
        <f>IFERROR(__xludf.DUMMYFUNCTION("""COMPUTED_VALUE"""),4.86)</f>
        <v>4.86</v>
      </c>
      <c r="AN831" s="14">
        <f>IFERROR(__xludf.DUMMYFUNCTION("""COMPUTED_VALUE"""),4.71)</f>
        <v>4.71</v>
      </c>
      <c r="AO831" s="14">
        <f>IFERROR(__xludf.DUMMYFUNCTION("""COMPUTED_VALUE"""),4.796)</f>
        <v>4.796</v>
      </c>
      <c r="AP831" s="14">
        <f>IFERROR(__xludf.DUMMYFUNCTION("""COMPUTED_VALUE"""),13.0)</f>
        <v>13</v>
      </c>
      <c r="AQ831" s="14">
        <f>IFERROR(__xludf.DUMMYFUNCTION("""COMPUTED_VALUE"""),20.0)</f>
        <v>20</v>
      </c>
      <c r="AR831" s="14">
        <f>IFERROR(__xludf.DUMMYFUNCTION("""COMPUTED_VALUE"""),11.0)</f>
        <v>11</v>
      </c>
      <c r="AS831" s="14">
        <f>IFERROR(__xludf.DUMMYFUNCTION("""COMPUTED_VALUE"""),1.2)</f>
        <v>1.2</v>
      </c>
      <c r="AT831" s="14">
        <f>IFERROR(__xludf.DUMMYFUNCTION("""COMPUTED_VALUE"""),0.07)</f>
        <v>0.07</v>
      </c>
      <c r="AU831" s="14">
        <f>IFERROR(__xludf.DUMMYFUNCTION("""COMPUTED_VALUE"""),1291000.0)</f>
        <v>1291000</v>
      </c>
      <c r="AV831" s="14">
        <f>IFERROR(__xludf.DUMMYFUNCTION("""COMPUTED_VALUE"""),0.4)</f>
        <v>0.4</v>
      </c>
      <c r="AW831" s="14">
        <f>IFERROR(__xludf.DUMMYFUNCTION("""COMPUTED_VALUE"""),2.8)</f>
        <v>2.8</v>
      </c>
      <c r="AX831" s="14">
        <f>IFERROR(__xludf.DUMMYFUNCTION("""COMPUTED_VALUE"""),876000.0)</f>
        <v>876000</v>
      </c>
      <c r="AY831" s="14">
        <f>IFERROR(__xludf.DUMMYFUNCTION("""COMPUTED_VALUE"""),1.2)</f>
        <v>1.2</v>
      </c>
      <c r="AZ831" s="14">
        <f>IFERROR(__xludf.DUMMYFUNCTION("""COMPUTED_VALUE"""),0.08)</f>
        <v>0.08</v>
      </c>
      <c r="BA831" s="14">
        <f t="shared" si="1"/>
        <v>4.08</v>
      </c>
    </row>
    <row r="832" ht="14.25" customHeight="1">
      <c r="A832" s="10" t="str">
        <f>IFERROR(__xludf.DUMMYFUNCTION("""COMPUTED_VALUE"""),"110423FE04")</f>
        <v>110423FE04</v>
      </c>
      <c r="B832" s="12" t="str">
        <f>IFERROR(__xludf.DUMMYFUNCTION("""COMPUTED_VALUE"""),"QLI-Bella Flor")</f>
        <v>QLI-Bella Flor</v>
      </c>
      <c r="C832" s="12"/>
      <c r="D832" s="12"/>
      <c r="E832" s="44">
        <f>IFERROR(__xludf.DUMMYFUNCTION("""COMPUTED_VALUE"""),45027.0)</f>
        <v>45027</v>
      </c>
      <c r="F832" s="12" t="str">
        <f>IFERROR(__xludf.DUMMYFUNCTION("""COMPUTED_VALUE"""),"TIPO I")</f>
        <v>TIPO I</v>
      </c>
      <c r="G832" s="12" t="str">
        <f>IFERROR(__xludf.DUMMYFUNCTION("""COMPUTED_VALUE"""),"Se observa color, residuos sólidos, material flotante y se percibe olor. Altitud 2800 msnm.")</f>
        <v>Se observa color, residuos sólidos, material flotante y se percibe olor. Altitud 2800 msnm.</v>
      </c>
      <c r="H832" s="45">
        <f>IFERROR(__xludf.DUMMYFUNCTION("""COMPUTED_VALUE"""),0.5833333333321207)</f>
        <v>0.5833333333</v>
      </c>
      <c r="I832" s="45">
        <f>IFERROR(__xludf.DUMMYFUNCTION("""COMPUTED_VALUE"""),0.6666666666678793)</f>
        <v>0.6666666667</v>
      </c>
      <c r="J832" s="12">
        <f>IFERROR(__xludf.DUMMYFUNCTION("""COMPUTED_VALUE"""),0.9)</f>
        <v>0.9</v>
      </c>
      <c r="K832" s="12">
        <f>IFERROR(__xludf.DUMMYFUNCTION("""COMPUTED_VALUE"""),0.2)</f>
        <v>0.2</v>
      </c>
      <c r="L832" s="14">
        <f>IFERROR(__xludf.DUMMYFUNCTION("""COMPUTED_VALUE"""),42.717)</f>
        <v>42.717</v>
      </c>
      <c r="M832" s="14">
        <f>IFERROR(__xludf.DUMMYFUNCTION("""COMPUTED_VALUE"""),43.684)</f>
        <v>43.684</v>
      </c>
      <c r="N832" s="14">
        <f>IFERROR(__xludf.DUMMYFUNCTION("""COMPUTED_VALUE"""),44.083)</f>
        <v>44.083</v>
      </c>
      <c r="O832" s="14">
        <f>IFERROR(__xludf.DUMMYFUNCTION("""COMPUTED_VALUE"""),44.954)</f>
        <v>44.954</v>
      </c>
      <c r="P832" s="14">
        <f>IFERROR(__xludf.DUMMYFUNCTION("""COMPUTED_VALUE"""),45.502)</f>
        <v>45.502</v>
      </c>
      <c r="Q832" s="14">
        <f>IFERROR(__xludf.DUMMYFUNCTION("""COMPUTED_VALUE"""),44.188)</f>
        <v>44.188</v>
      </c>
      <c r="R832" s="48">
        <f>IFERROR(__xludf.DUMMYFUNCTION("""COMPUTED_VALUE"""),7.82)</f>
        <v>7.82</v>
      </c>
      <c r="S832" s="48">
        <f>IFERROR(__xludf.DUMMYFUNCTION("""COMPUTED_VALUE"""),7.8)</f>
        <v>7.8</v>
      </c>
      <c r="T832" s="48">
        <f>IFERROR(__xludf.DUMMYFUNCTION("""COMPUTED_VALUE"""),7.79)</f>
        <v>7.79</v>
      </c>
      <c r="U832" s="48">
        <f>IFERROR(__xludf.DUMMYFUNCTION("""COMPUTED_VALUE"""),7.81)</f>
        <v>7.81</v>
      </c>
      <c r="V832" s="48">
        <f>IFERROR(__xludf.DUMMYFUNCTION("""COMPUTED_VALUE"""),7.79)</f>
        <v>7.79</v>
      </c>
      <c r="W832" s="14">
        <f>IFERROR(__xludf.DUMMYFUNCTION("""COMPUTED_VALUE"""),7.802)</f>
        <v>7.802</v>
      </c>
      <c r="X832" s="14">
        <f>IFERROR(__xludf.DUMMYFUNCTION("""COMPUTED_VALUE"""),18.5)</f>
        <v>18.5</v>
      </c>
      <c r="Y832" s="14">
        <f>IFERROR(__xludf.DUMMYFUNCTION("""COMPUTED_VALUE"""),18.4)</f>
        <v>18.4</v>
      </c>
      <c r="Z832" s="14">
        <f>IFERROR(__xludf.DUMMYFUNCTION("""COMPUTED_VALUE"""),18.6)</f>
        <v>18.6</v>
      </c>
      <c r="AA832" s="14">
        <f>IFERROR(__xludf.DUMMYFUNCTION("""COMPUTED_VALUE"""),18.6)</f>
        <v>18.6</v>
      </c>
      <c r="AB832" s="14">
        <f>IFERROR(__xludf.DUMMYFUNCTION("""COMPUTED_VALUE"""),18.5)</f>
        <v>18.5</v>
      </c>
      <c r="AC832" s="14">
        <f>IFERROR(__xludf.DUMMYFUNCTION("""COMPUTED_VALUE"""),18.52)</f>
        <v>18.52</v>
      </c>
      <c r="AD832" s="48">
        <f>IFERROR(__xludf.DUMMYFUNCTION("""COMPUTED_VALUE"""),328.0)</f>
        <v>328</v>
      </c>
      <c r="AE832" s="48">
        <f>IFERROR(__xludf.DUMMYFUNCTION("""COMPUTED_VALUE"""),324.0)</f>
        <v>324</v>
      </c>
      <c r="AF832" s="48">
        <f>IFERROR(__xludf.DUMMYFUNCTION("""COMPUTED_VALUE"""),315.0)</f>
        <v>315</v>
      </c>
      <c r="AG832" s="48">
        <f>IFERROR(__xludf.DUMMYFUNCTION("""COMPUTED_VALUE"""),307.0)</f>
        <v>307</v>
      </c>
      <c r="AH832" s="48">
        <f>IFERROR(__xludf.DUMMYFUNCTION("""COMPUTED_VALUE"""),310.0)</f>
        <v>310</v>
      </c>
      <c r="AI832" s="14">
        <f>IFERROR(__xludf.DUMMYFUNCTION("""COMPUTED_VALUE"""),316.8)</f>
        <v>316.8</v>
      </c>
      <c r="AJ832" s="14">
        <f>IFERROR(__xludf.DUMMYFUNCTION("""COMPUTED_VALUE"""),5.54)</f>
        <v>5.54</v>
      </c>
      <c r="AK832" s="14">
        <f>IFERROR(__xludf.DUMMYFUNCTION("""COMPUTED_VALUE"""),5.36)</f>
        <v>5.36</v>
      </c>
      <c r="AL832" s="14">
        <f>IFERROR(__xludf.DUMMYFUNCTION("""COMPUTED_VALUE"""),5.37)</f>
        <v>5.37</v>
      </c>
      <c r="AM832" s="14">
        <f>IFERROR(__xludf.DUMMYFUNCTION("""COMPUTED_VALUE"""),5.16)</f>
        <v>5.16</v>
      </c>
      <c r="AN832" s="14">
        <f>IFERROR(__xludf.DUMMYFUNCTION("""COMPUTED_VALUE"""),5.23)</f>
        <v>5.23</v>
      </c>
      <c r="AO832" s="14">
        <f>IFERROR(__xludf.DUMMYFUNCTION("""COMPUTED_VALUE"""),5.332)</f>
        <v>5.332</v>
      </c>
      <c r="AP832" s="14">
        <f>IFERROR(__xludf.DUMMYFUNCTION("""COMPUTED_VALUE"""),20.0)</f>
        <v>20</v>
      </c>
      <c r="AQ832" s="14">
        <f>IFERROR(__xludf.DUMMYFUNCTION("""COMPUTED_VALUE"""),31.0)</f>
        <v>31</v>
      </c>
      <c r="AR832" s="14">
        <f>IFERROR(__xludf.DUMMYFUNCTION("""COMPUTED_VALUE"""),39.0)</f>
        <v>39</v>
      </c>
      <c r="AS832" s="14">
        <f>IFERROR(__xludf.DUMMYFUNCTION("""COMPUTED_VALUE"""),1.2)</f>
        <v>1.2</v>
      </c>
      <c r="AT832" s="14">
        <f>IFERROR(__xludf.DUMMYFUNCTION("""COMPUTED_VALUE"""),1.26)</f>
        <v>1.26</v>
      </c>
      <c r="AU832" s="14">
        <f>IFERROR(__xludf.DUMMYFUNCTION("""COMPUTED_VALUE"""),1095000.0)</f>
        <v>1095000</v>
      </c>
      <c r="AV832" s="14">
        <f>IFERROR(__xludf.DUMMYFUNCTION("""COMPUTED_VALUE"""),1.04)</f>
        <v>1.04</v>
      </c>
      <c r="AW832" s="14">
        <f>IFERROR(__xludf.DUMMYFUNCTION("""COMPUTED_VALUE"""),10.9)</f>
        <v>10.9</v>
      </c>
      <c r="AX832" s="14">
        <f>IFERROR(__xludf.DUMMYFUNCTION("""COMPUTED_VALUE"""),95800.0)</f>
        <v>95800</v>
      </c>
      <c r="AY832" s="14">
        <f>IFERROR(__xludf.DUMMYFUNCTION("""COMPUTED_VALUE"""),1.4)</f>
        <v>1.4</v>
      </c>
      <c r="AZ832" s="14">
        <f>IFERROR(__xludf.DUMMYFUNCTION("""COMPUTED_VALUE"""),0.137)</f>
        <v>0.137</v>
      </c>
      <c r="BA832" s="14">
        <f t="shared" si="1"/>
        <v>12.437</v>
      </c>
    </row>
    <row r="833" ht="14.25" customHeight="1">
      <c r="A833" s="10" t="str">
        <f>IFERROR(__xludf.DUMMYFUNCTION("""COMPUTED_VALUE"""),"030523FE01")</f>
        <v>030523FE01</v>
      </c>
      <c r="B833" s="12" t="str">
        <f>IFERROR(__xludf.DUMMYFUNCTION("""COMPUTED_VALUE"""),"CRN-Quebrada Chicó")</f>
        <v>CRN-Quebrada Chicó</v>
      </c>
      <c r="C833" s="12"/>
      <c r="D833" s="12"/>
      <c r="E833" s="44">
        <f>IFERROR(__xludf.DUMMYFUNCTION("""COMPUTED_VALUE"""),45049.0)</f>
        <v>45049</v>
      </c>
      <c r="F833" s="12" t="str">
        <f>IFERROR(__xludf.DUMMYFUNCTION("""COMPUTED_VALUE"""),"TIPO I")</f>
        <v>TIPO I</v>
      </c>
      <c r="G833" s="12" t="str">
        <f>IFERROR(__xludf.DUMMYFUNCTION("""COMPUTED_VALUE"""),"Canal artificial en mampostería, no se percibe olor ni se observa color, se observa lama en el lecho y residuos sólidos al margen del canal. Altitud 2649 msnm.")</f>
        <v>Canal artificial en mampostería, no se percibe olor ni se observa color, se observa lama en el lecho y residuos sólidos al margen del canal. Altitud 2649 msnm.</v>
      </c>
      <c r="H833" s="45">
        <f>IFERROR(__xludf.DUMMYFUNCTION("""COMPUTED_VALUE"""),0.25)</f>
        <v>0.25</v>
      </c>
      <c r="I833" s="45">
        <f>IFERROR(__xludf.DUMMYFUNCTION("""COMPUTED_VALUE"""),0.3333333333321207)</f>
        <v>0.3333333333</v>
      </c>
      <c r="J833" s="12">
        <f>IFERROR(__xludf.DUMMYFUNCTION("""COMPUTED_VALUE"""),1.9)</f>
        <v>1.9</v>
      </c>
      <c r="K833" s="12">
        <f>IFERROR(__xludf.DUMMYFUNCTION("""COMPUTED_VALUE"""),0.15)</f>
        <v>0.15</v>
      </c>
      <c r="L833" s="14">
        <f>IFERROR(__xludf.DUMMYFUNCTION("""COMPUTED_VALUE"""),8.138)</f>
        <v>8.138</v>
      </c>
      <c r="M833" s="14">
        <f>IFERROR(__xludf.DUMMYFUNCTION("""COMPUTED_VALUE"""),7.034)</f>
        <v>7.034</v>
      </c>
      <c r="N833" s="14">
        <f>IFERROR(__xludf.DUMMYFUNCTION("""COMPUTED_VALUE"""),10.322)</f>
        <v>10.322</v>
      </c>
      <c r="O833" s="14">
        <f>IFERROR(__xludf.DUMMYFUNCTION("""COMPUTED_VALUE"""),6.183)</f>
        <v>6.183</v>
      </c>
      <c r="P833" s="14">
        <f>IFERROR(__xludf.DUMMYFUNCTION("""COMPUTED_VALUE"""),9.77)</f>
        <v>9.77</v>
      </c>
      <c r="Q833" s="14">
        <f>IFERROR(__xludf.DUMMYFUNCTION("""COMPUTED_VALUE"""),8.29)</f>
        <v>8.29</v>
      </c>
      <c r="R833" s="48">
        <f>IFERROR(__xludf.DUMMYFUNCTION("""COMPUTED_VALUE"""),6.76)</f>
        <v>6.76</v>
      </c>
      <c r="S833" s="48">
        <f>IFERROR(__xludf.DUMMYFUNCTION("""COMPUTED_VALUE"""),6.99)</f>
        <v>6.99</v>
      </c>
      <c r="T833" s="48">
        <f>IFERROR(__xludf.DUMMYFUNCTION("""COMPUTED_VALUE"""),6.86)</f>
        <v>6.86</v>
      </c>
      <c r="U833" s="48">
        <f>IFERROR(__xludf.DUMMYFUNCTION("""COMPUTED_VALUE"""),6.82)</f>
        <v>6.82</v>
      </c>
      <c r="V833" s="48">
        <f>IFERROR(__xludf.DUMMYFUNCTION("""COMPUTED_VALUE"""),6.61)</f>
        <v>6.61</v>
      </c>
      <c r="W833" s="14">
        <f>IFERROR(__xludf.DUMMYFUNCTION("""COMPUTED_VALUE"""),6.808)</f>
        <v>6.808</v>
      </c>
      <c r="X833" s="14">
        <f>IFERROR(__xludf.DUMMYFUNCTION("""COMPUTED_VALUE"""),16.6)</f>
        <v>16.6</v>
      </c>
      <c r="Y833" s="14">
        <f>IFERROR(__xludf.DUMMYFUNCTION("""COMPUTED_VALUE"""),16.4)</f>
        <v>16.4</v>
      </c>
      <c r="Z833" s="14">
        <f>IFERROR(__xludf.DUMMYFUNCTION("""COMPUTED_VALUE"""),16.5)</f>
        <v>16.5</v>
      </c>
      <c r="AA833" s="14">
        <f>IFERROR(__xludf.DUMMYFUNCTION("""COMPUTED_VALUE"""),16.6)</f>
        <v>16.6</v>
      </c>
      <c r="AB833" s="14">
        <f>IFERROR(__xludf.DUMMYFUNCTION("""COMPUTED_VALUE"""),16.4)</f>
        <v>16.4</v>
      </c>
      <c r="AC833" s="14">
        <f>IFERROR(__xludf.DUMMYFUNCTION("""COMPUTED_VALUE"""),16.5)</f>
        <v>16.5</v>
      </c>
      <c r="AD833" s="48">
        <f>IFERROR(__xludf.DUMMYFUNCTION("""COMPUTED_VALUE"""),42.8)</f>
        <v>42.8</v>
      </c>
      <c r="AE833" s="48">
        <f>IFERROR(__xludf.DUMMYFUNCTION("""COMPUTED_VALUE"""),44.5)</f>
        <v>44.5</v>
      </c>
      <c r="AF833" s="48">
        <f>IFERROR(__xludf.DUMMYFUNCTION("""COMPUTED_VALUE"""),42.3)</f>
        <v>42.3</v>
      </c>
      <c r="AG833" s="48">
        <f>IFERROR(__xludf.DUMMYFUNCTION("""COMPUTED_VALUE"""),40.8)</f>
        <v>40.8</v>
      </c>
      <c r="AH833" s="48">
        <f>IFERROR(__xludf.DUMMYFUNCTION("""COMPUTED_VALUE"""),39.2)</f>
        <v>39.2</v>
      </c>
      <c r="AI833" s="14">
        <f>IFERROR(__xludf.DUMMYFUNCTION("""COMPUTED_VALUE"""),41.919999999999995)</f>
        <v>41.92</v>
      </c>
      <c r="AJ833" s="14">
        <f>IFERROR(__xludf.DUMMYFUNCTION("""COMPUTED_VALUE"""),5.65)</f>
        <v>5.65</v>
      </c>
      <c r="AK833" s="14">
        <f>IFERROR(__xludf.DUMMYFUNCTION("""COMPUTED_VALUE"""),5.52)</f>
        <v>5.52</v>
      </c>
      <c r="AL833" s="14">
        <f>IFERROR(__xludf.DUMMYFUNCTION("""COMPUTED_VALUE"""),5.42)</f>
        <v>5.42</v>
      </c>
      <c r="AM833" s="14">
        <f>IFERROR(__xludf.DUMMYFUNCTION("""COMPUTED_VALUE"""),5.29)</f>
        <v>5.29</v>
      </c>
      <c r="AN833" s="14">
        <f>IFERROR(__xludf.DUMMYFUNCTION("""COMPUTED_VALUE"""),5.21)</f>
        <v>5.21</v>
      </c>
      <c r="AO833" s="14">
        <f>IFERROR(__xludf.DUMMYFUNCTION("""COMPUTED_VALUE"""),5.418)</f>
        <v>5.418</v>
      </c>
      <c r="AP833" s="14">
        <f>IFERROR(__xludf.DUMMYFUNCTION("""COMPUTED_VALUE"""),5.0)</f>
        <v>5</v>
      </c>
      <c r="AQ833" s="14">
        <f>IFERROR(__xludf.DUMMYFUNCTION("""COMPUTED_VALUE"""),8.0)</f>
        <v>8</v>
      </c>
      <c r="AR833" s="14">
        <f>IFERROR(__xludf.DUMMYFUNCTION("""COMPUTED_VALUE"""),5.0)</f>
        <v>5</v>
      </c>
      <c r="AS833" s="14">
        <f>IFERROR(__xludf.DUMMYFUNCTION("""COMPUTED_VALUE"""),1.2)</f>
        <v>1.2</v>
      </c>
      <c r="AT833" s="14">
        <f>IFERROR(__xludf.DUMMYFUNCTION("""COMPUTED_VALUE"""),0.26)</f>
        <v>0.26</v>
      </c>
      <c r="AU833" s="14">
        <f>IFERROR(__xludf.DUMMYFUNCTION("""COMPUTED_VALUE"""),1336000.0)</f>
        <v>1336000</v>
      </c>
      <c r="AV833" s="14">
        <f>IFERROR(__xludf.DUMMYFUNCTION("""COMPUTED_VALUE"""),0.09)</f>
        <v>0.09</v>
      </c>
      <c r="AW833" s="14">
        <f>IFERROR(__xludf.DUMMYFUNCTION("""COMPUTED_VALUE"""),1.0)</f>
        <v>1</v>
      </c>
      <c r="AX833" s="14">
        <f>IFERROR(__xludf.DUMMYFUNCTION("""COMPUTED_VALUE"""),98300.0)</f>
        <v>98300</v>
      </c>
      <c r="AY833" s="14">
        <f>IFERROR(__xludf.DUMMYFUNCTION("""COMPUTED_VALUE"""),1.6)</f>
        <v>1.6</v>
      </c>
      <c r="AZ833" s="14">
        <f>IFERROR(__xludf.DUMMYFUNCTION("""COMPUTED_VALUE"""),0.007)</f>
        <v>0.007</v>
      </c>
      <c r="BA833" s="14">
        <f t="shared" si="1"/>
        <v>2.607</v>
      </c>
    </row>
    <row r="834" ht="14.25" customHeight="1">
      <c r="A834" s="10" t="str">
        <f>IFERROR(__xludf.DUMMYFUNCTION("""COMPUTED_VALUE"""),"050523WI01")</f>
        <v>050523WI01</v>
      </c>
      <c r="B834" s="12" t="str">
        <f>IFERROR(__xludf.DUMMYFUNCTION("""COMPUTED_VALUE"""),"QSL-Barranquillita")</f>
        <v>QSL-Barranquillita</v>
      </c>
      <c r="C834" s="12"/>
      <c r="D834" s="12"/>
      <c r="E834" s="44">
        <f>IFERROR(__xludf.DUMMYFUNCTION("""COMPUTED_VALUE"""),45051.0)</f>
        <v>45051</v>
      </c>
      <c r="F834" s="12" t="str">
        <f>IFERROR(__xludf.DUMMYFUNCTION("""COMPUTED_VALUE"""),"TIPO I")</f>
        <v>TIPO I</v>
      </c>
      <c r="G834" s="12" t="str">
        <f>IFERROR(__xludf.DUMMYFUNCTION("""COMPUTED_VALUE"""),"Lecho rocoso- arenoso, se observa color y se percibe olor. Altitud 2638 msnm.")</f>
        <v>Lecho rocoso- arenoso, se observa color y se percibe olor. Altitud 2638 msnm.</v>
      </c>
      <c r="H834" s="45">
        <f>IFERROR(__xludf.DUMMYFUNCTION("""COMPUTED_VALUE"""),0.3333333333321207)</f>
        <v>0.3333333333</v>
      </c>
      <c r="I834" s="45">
        <f>IFERROR(__xludf.DUMMYFUNCTION("""COMPUTED_VALUE"""),0.4166666666678793)</f>
        <v>0.4166666667</v>
      </c>
      <c r="J834" s="12">
        <f>IFERROR(__xludf.DUMMYFUNCTION("""COMPUTED_VALUE"""),2.0)</f>
        <v>2</v>
      </c>
      <c r="K834" s="12">
        <f>IFERROR(__xludf.DUMMYFUNCTION("""COMPUTED_VALUE"""),0.11)</f>
        <v>0.11</v>
      </c>
      <c r="L834" s="14">
        <f>IFERROR(__xludf.DUMMYFUNCTION("""COMPUTED_VALUE"""),44.97)</f>
        <v>44.97</v>
      </c>
      <c r="M834" s="14">
        <f>IFERROR(__xludf.DUMMYFUNCTION("""COMPUTED_VALUE"""),45.502)</f>
        <v>45.502</v>
      </c>
      <c r="N834" s="14">
        <f>IFERROR(__xludf.DUMMYFUNCTION("""COMPUTED_VALUE"""),46.15)</f>
        <v>46.15</v>
      </c>
      <c r="O834" s="14">
        <f>IFERROR(__xludf.DUMMYFUNCTION("""COMPUTED_VALUE"""),46.35)</f>
        <v>46.35</v>
      </c>
      <c r="P834" s="14">
        <f>IFERROR(__xludf.DUMMYFUNCTION("""COMPUTED_VALUE"""),45.905)</f>
        <v>45.905</v>
      </c>
      <c r="Q834" s="14">
        <f>IFERROR(__xludf.DUMMYFUNCTION("""COMPUTED_VALUE"""),45.775)</f>
        <v>45.775</v>
      </c>
      <c r="R834" s="48">
        <f>IFERROR(__xludf.DUMMYFUNCTION("""COMPUTED_VALUE"""),7.37)</f>
        <v>7.37</v>
      </c>
      <c r="S834" s="48">
        <f>IFERROR(__xludf.DUMMYFUNCTION("""COMPUTED_VALUE"""),7.8)</f>
        <v>7.8</v>
      </c>
      <c r="T834" s="48">
        <f>IFERROR(__xludf.DUMMYFUNCTION("""COMPUTED_VALUE"""),7.77)</f>
        <v>7.77</v>
      </c>
      <c r="U834" s="48">
        <f>IFERROR(__xludf.DUMMYFUNCTION("""COMPUTED_VALUE"""),7.83)</f>
        <v>7.83</v>
      </c>
      <c r="V834" s="48">
        <f>IFERROR(__xludf.DUMMYFUNCTION("""COMPUTED_VALUE"""),7.66)</f>
        <v>7.66</v>
      </c>
      <c r="W834" s="14">
        <f>IFERROR(__xludf.DUMMYFUNCTION("""COMPUTED_VALUE"""),7.685999999999998)</f>
        <v>7.686</v>
      </c>
      <c r="X834" s="14">
        <f>IFERROR(__xludf.DUMMYFUNCTION("""COMPUTED_VALUE"""),15.8)</f>
        <v>15.8</v>
      </c>
      <c r="Y834" s="14">
        <f>IFERROR(__xludf.DUMMYFUNCTION("""COMPUTED_VALUE"""),15.7)</f>
        <v>15.7</v>
      </c>
      <c r="Z834" s="14">
        <f>IFERROR(__xludf.DUMMYFUNCTION("""COMPUTED_VALUE"""),15.8)</f>
        <v>15.8</v>
      </c>
      <c r="AA834" s="14">
        <f>IFERROR(__xludf.DUMMYFUNCTION("""COMPUTED_VALUE"""),15.7)</f>
        <v>15.7</v>
      </c>
      <c r="AB834" s="14">
        <f>IFERROR(__xludf.DUMMYFUNCTION("""COMPUTED_VALUE"""),16.0)</f>
        <v>16</v>
      </c>
      <c r="AC834" s="14">
        <f>IFERROR(__xludf.DUMMYFUNCTION("""COMPUTED_VALUE"""),15.8)</f>
        <v>15.8</v>
      </c>
      <c r="AD834" s="48">
        <f>IFERROR(__xludf.DUMMYFUNCTION("""COMPUTED_VALUE"""),280.0)</f>
        <v>280</v>
      </c>
      <c r="AE834" s="48">
        <f>IFERROR(__xludf.DUMMYFUNCTION("""COMPUTED_VALUE"""),297.0)</f>
        <v>297</v>
      </c>
      <c r="AF834" s="48">
        <f>IFERROR(__xludf.DUMMYFUNCTION("""COMPUTED_VALUE"""),313.0)</f>
        <v>313</v>
      </c>
      <c r="AG834" s="48">
        <f>IFERROR(__xludf.DUMMYFUNCTION("""COMPUTED_VALUE"""),319.0)</f>
        <v>319</v>
      </c>
      <c r="AH834" s="48">
        <f>IFERROR(__xludf.DUMMYFUNCTION("""COMPUTED_VALUE"""),309.0)</f>
        <v>309</v>
      </c>
      <c r="AI834" s="14">
        <f>IFERROR(__xludf.DUMMYFUNCTION("""COMPUTED_VALUE"""),303.6)</f>
        <v>303.6</v>
      </c>
      <c r="AJ834" s="14">
        <f>IFERROR(__xludf.DUMMYFUNCTION("""COMPUTED_VALUE"""),5.25)</f>
        <v>5.25</v>
      </c>
      <c r="AK834" s="14">
        <f>IFERROR(__xludf.DUMMYFUNCTION("""COMPUTED_VALUE"""),5.87)</f>
        <v>5.87</v>
      </c>
      <c r="AL834" s="14">
        <f>IFERROR(__xludf.DUMMYFUNCTION("""COMPUTED_VALUE"""),5.31)</f>
        <v>5.31</v>
      </c>
      <c r="AM834" s="14">
        <f>IFERROR(__xludf.DUMMYFUNCTION("""COMPUTED_VALUE"""),5.21)</f>
        <v>5.21</v>
      </c>
      <c r="AN834" s="14">
        <f>IFERROR(__xludf.DUMMYFUNCTION("""COMPUTED_VALUE"""),5.7)</f>
        <v>5.7</v>
      </c>
      <c r="AO834" s="14">
        <f>IFERROR(__xludf.DUMMYFUNCTION("""COMPUTED_VALUE"""),5.468)</f>
        <v>5.468</v>
      </c>
      <c r="AP834" s="14">
        <f>IFERROR(__xludf.DUMMYFUNCTION("""COMPUTED_VALUE"""),15.0)</f>
        <v>15</v>
      </c>
      <c r="AQ834" s="14">
        <f>IFERROR(__xludf.DUMMYFUNCTION("""COMPUTED_VALUE"""),23.0)</f>
        <v>23</v>
      </c>
      <c r="AR834" s="14">
        <f>IFERROR(__xludf.DUMMYFUNCTION("""COMPUTED_VALUE"""),18.0)</f>
        <v>18</v>
      </c>
      <c r="AS834" s="14">
        <f>IFERROR(__xludf.DUMMYFUNCTION("""COMPUTED_VALUE"""),1.2)</f>
        <v>1.2</v>
      </c>
      <c r="AT834" s="14">
        <f>IFERROR(__xludf.DUMMYFUNCTION("""COMPUTED_VALUE"""),0.46)</f>
        <v>0.46</v>
      </c>
      <c r="AU834" s="14">
        <f>IFERROR(__xludf.DUMMYFUNCTION("""COMPUTED_VALUE"""),15760.0)</f>
        <v>15760</v>
      </c>
      <c r="AV834" s="14">
        <f>IFERROR(__xludf.DUMMYFUNCTION("""COMPUTED_VALUE"""),1.24)</f>
        <v>1.24</v>
      </c>
      <c r="AW834" s="14">
        <f>IFERROR(__xludf.DUMMYFUNCTION("""COMPUTED_VALUE"""),12.0)</f>
        <v>12</v>
      </c>
      <c r="AX834" s="14">
        <f>IFERROR(__xludf.DUMMYFUNCTION("""COMPUTED_VALUE"""),7800.0)</f>
        <v>7800</v>
      </c>
      <c r="AY834" s="14">
        <f>IFERROR(__xludf.DUMMYFUNCTION("""COMPUTED_VALUE"""),0.9)</f>
        <v>0.9</v>
      </c>
      <c r="AZ834" s="14">
        <f>IFERROR(__xludf.DUMMYFUNCTION("""COMPUTED_VALUE"""),0.199)</f>
        <v>0.199</v>
      </c>
      <c r="BA834" s="14">
        <f t="shared" si="1"/>
        <v>13.099</v>
      </c>
    </row>
    <row r="835" ht="14.25" customHeight="1">
      <c r="A835" s="10" t="str">
        <f>IFERROR(__xludf.DUMMYFUNCTION("""COMPUTED_VALUE"""),"030523DA03")</f>
        <v>030523DA03</v>
      </c>
      <c r="B835" s="12" t="str">
        <f>IFERROR(__xludf.DUMMYFUNCTION("""COMPUTED_VALUE"""),"CRN-El Virrey")</f>
        <v>CRN-El Virrey</v>
      </c>
      <c r="C835" s="12"/>
      <c r="D835" s="12"/>
      <c r="E835" s="44">
        <f>IFERROR(__xludf.DUMMYFUNCTION("""COMPUTED_VALUE"""),45049.0)</f>
        <v>45049</v>
      </c>
      <c r="F835" s="12" t="str">
        <f>IFERROR(__xludf.DUMMYFUNCTION("""COMPUTED_VALUE"""),"TIPO I")</f>
        <v>TIPO I</v>
      </c>
      <c r="G835" s="12" t="str">
        <f>IFERROR(__xludf.DUMMYFUNCTION("""COMPUTED_VALUE"""),"Estructura del canal en mampostería, durante el monitoreo se observa color y se percibe olor. 
Altitud: 2575msnm. ")</f>
        <v>Estructura del canal en mampostería, durante el monitoreo se observa color y se percibe olor. 
Altitud: 2575msnm. </v>
      </c>
      <c r="H835" s="45">
        <f>IFERROR(__xludf.DUMMYFUNCTION("""COMPUTED_VALUE"""),0.6666666666678793)</f>
        <v>0.6666666667</v>
      </c>
      <c r="I835" s="45">
        <f>IFERROR(__xludf.DUMMYFUNCTION("""COMPUTED_VALUE"""),0.75)</f>
        <v>0.75</v>
      </c>
      <c r="J835" s="12">
        <f>IFERROR(__xludf.DUMMYFUNCTION("""COMPUTED_VALUE"""),2.5)</f>
        <v>2.5</v>
      </c>
      <c r="K835" s="12">
        <f>IFERROR(__xludf.DUMMYFUNCTION("""COMPUTED_VALUE"""),0.25)</f>
        <v>0.25</v>
      </c>
      <c r="L835" s="14">
        <f>IFERROR(__xludf.DUMMYFUNCTION("""COMPUTED_VALUE"""),266.852)</f>
        <v>266.852</v>
      </c>
      <c r="M835" s="14">
        <f>IFERROR(__xludf.DUMMYFUNCTION("""COMPUTED_VALUE"""),265.609)</f>
        <v>265.609</v>
      </c>
      <c r="N835" s="14">
        <f>IFERROR(__xludf.DUMMYFUNCTION("""COMPUTED_VALUE"""),266.958)</f>
        <v>266.958</v>
      </c>
      <c r="O835" s="14">
        <f>IFERROR(__xludf.DUMMYFUNCTION("""COMPUTED_VALUE"""),268.031)</f>
        <v>268.031</v>
      </c>
      <c r="P835" s="14">
        <f>IFERROR(__xludf.DUMMYFUNCTION("""COMPUTED_VALUE"""),278.318)</f>
        <v>278.318</v>
      </c>
      <c r="Q835" s="14">
        <f>IFERROR(__xludf.DUMMYFUNCTION("""COMPUTED_VALUE"""),269.153)</f>
        <v>269.153</v>
      </c>
      <c r="R835" s="48">
        <f>IFERROR(__xludf.DUMMYFUNCTION("""COMPUTED_VALUE"""),7.38)</f>
        <v>7.38</v>
      </c>
      <c r="S835" s="48">
        <f>IFERROR(__xludf.DUMMYFUNCTION("""COMPUTED_VALUE"""),7.3)</f>
        <v>7.3</v>
      </c>
      <c r="T835" s="48">
        <f>IFERROR(__xludf.DUMMYFUNCTION("""COMPUTED_VALUE"""),7.56)</f>
        <v>7.56</v>
      </c>
      <c r="U835" s="48">
        <f>IFERROR(__xludf.DUMMYFUNCTION("""COMPUTED_VALUE"""),7.55)</f>
        <v>7.55</v>
      </c>
      <c r="V835" s="48">
        <f>IFERROR(__xludf.DUMMYFUNCTION("""COMPUTED_VALUE"""),7.26)</f>
        <v>7.26</v>
      </c>
      <c r="W835" s="14">
        <f>IFERROR(__xludf.DUMMYFUNCTION("""COMPUTED_VALUE"""),7.409999999999999)</f>
        <v>7.41</v>
      </c>
      <c r="X835" s="14">
        <f>IFERROR(__xludf.DUMMYFUNCTION("""COMPUTED_VALUE"""),19.3)</f>
        <v>19.3</v>
      </c>
      <c r="Y835" s="14">
        <f>IFERROR(__xludf.DUMMYFUNCTION("""COMPUTED_VALUE"""),19.2)</f>
        <v>19.2</v>
      </c>
      <c r="Z835" s="14">
        <f>IFERROR(__xludf.DUMMYFUNCTION("""COMPUTED_VALUE"""),19.4)</f>
        <v>19.4</v>
      </c>
      <c r="AA835" s="14">
        <f>IFERROR(__xludf.DUMMYFUNCTION("""COMPUTED_VALUE"""),19.2)</f>
        <v>19.2</v>
      </c>
      <c r="AB835" s="14">
        <f>IFERROR(__xludf.DUMMYFUNCTION("""COMPUTED_VALUE"""),18.9)</f>
        <v>18.9</v>
      </c>
      <c r="AC835" s="14">
        <f>IFERROR(__xludf.DUMMYFUNCTION("""COMPUTED_VALUE"""),19.2)</f>
        <v>19.2</v>
      </c>
      <c r="AD835" s="48">
        <f>IFERROR(__xludf.DUMMYFUNCTION("""COMPUTED_VALUE"""),460.0)</f>
        <v>460</v>
      </c>
      <c r="AE835" s="48">
        <f>IFERROR(__xludf.DUMMYFUNCTION("""COMPUTED_VALUE"""),431.0)</f>
        <v>431</v>
      </c>
      <c r="AF835" s="48">
        <f>IFERROR(__xludf.DUMMYFUNCTION("""COMPUTED_VALUE"""),393.0)</f>
        <v>393</v>
      </c>
      <c r="AG835" s="48">
        <f>IFERROR(__xludf.DUMMYFUNCTION("""COMPUTED_VALUE"""),429.0)</f>
        <v>429</v>
      </c>
      <c r="AH835" s="48">
        <f>IFERROR(__xludf.DUMMYFUNCTION("""COMPUTED_VALUE"""),425.0)</f>
        <v>425</v>
      </c>
      <c r="AI835" s="14">
        <f>IFERROR(__xludf.DUMMYFUNCTION("""COMPUTED_VALUE"""),427.6)</f>
        <v>427.6</v>
      </c>
      <c r="AJ835" s="14">
        <f>IFERROR(__xludf.DUMMYFUNCTION("""COMPUTED_VALUE"""),1.99)</f>
        <v>1.99</v>
      </c>
      <c r="AK835" s="14">
        <f>IFERROR(__xludf.DUMMYFUNCTION("""COMPUTED_VALUE"""),1.67)</f>
        <v>1.67</v>
      </c>
      <c r="AL835" s="14">
        <f>IFERROR(__xludf.DUMMYFUNCTION("""COMPUTED_VALUE"""),1.97)</f>
        <v>1.97</v>
      </c>
      <c r="AM835" s="14">
        <f>IFERROR(__xludf.DUMMYFUNCTION("""COMPUTED_VALUE"""),1.45)</f>
        <v>1.45</v>
      </c>
      <c r="AN835" s="14">
        <f>IFERROR(__xludf.DUMMYFUNCTION("""COMPUTED_VALUE"""),1.49)</f>
        <v>1.49</v>
      </c>
      <c r="AO835" s="14">
        <f>IFERROR(__xludf.DUMMYFUNCTION("""COMPUTED_VALUE"""),1.714)</f>
        <v>1.714</v>
      </c>
      <c r="AP835" s="14">
        <f>IFERROR(__xludf.DUMMYFUNCTION("""COMPUTED_VALUE"""),202.0)</f>
        <v>202</v>
      </c>
      <c r="AQ835" s="14">
        <f>IFERROR(__xludf.DUMMYFUNCTION("""COMPUTED_VALUE"""),321.0)</f>
        <v>321</v>
      </c>
      <c r="AR835" s="14">
        <f>IFERROR(__xludf.DUMMYFUNCTION("""COMPUTED_VALUE"""),145.0)</f>
        <v>145</v>
      </c>
      <c r="AS835" s="14">
        <f>IFERROR(__xludf.DUMMYFUNCTION("""COMPUTED_VALUE"""),85.0)</f>
        <v>85</v>
      </c>
      <c r="AT835" s="14">
        <f>IFERROR(__xludf.DUMMYFUNCTION("""COMPUTED_VALUE"""),2.11)</f>
        <v>2.11</v>
      </c>
      <c r="AU835" s="14">
        <f>IFERROR(__xludf.DUMMYFUNCTION("""COMPUTED_VALUE"""),1.314E7)</f>
        <v>13140000</v>
      </c>
      <c r="AV835" s="14">
        <f>IFERROR(__xludf.DUMMYFUNCTION("""COMPUTED_VALUE"""),2.14)</f>
        <v>2.14</v>
      </c>
      <c r="AW835" s="14">
        <f>IFERROR(__xludf.DUMMYFUNCTION("""COMPUTED_VALUE"""),27.4)</f>
        <v>27.4</v>
      </c>
      <c r="AX835" s="14">
        <f>IFERROR(__xludf.DUMMYFUNCTION("""COMPUTED_VALUE"""),63800.0)</f>
        <v>63800</v>
      </c>
      <c r="AY835" s="14">
        <f>IFERROR(__xludf.DUMMYFUNCTION("""COMPUTED_VALUE"""),0.6)</f>
        <v>0.6</v>
      </c>
      <c r="AZ835" s="14">
        <f>IFERROR(__xludf.DUMMYFUNCTION("""COMPUTED_VALUE"""),0.007)</f>
        <v>0.007</v>
      </c>
      <c r="BA835" s="14">
        <f t="shared" si="1"/>
        <v>28.007</v>
      </c>
    </row>
    <row r="836" ht="14.25" customHeight="1">
      <c r="A836" s="10" t="str">
        <f>IFERROR(__xludf.DUMMYFUNCTION("""COMPUTED_VALUE"""),"050523WI02")</f>
        <v>050523WI02</v>
      </c>
      <c r="B836" s="12" t="str">
        <f>IFERROR(__xludf.DUMMYFUNCTION("""COMPUTED_VALUE"""),"QSL-Alfonso López")</f>
        <v>QSL-Alfonso López</v>
      </c>
      <c r="C836" s="12"/>
      <c r="D836" s="12"/>
      <c r="E836" s="44">
        <f>IFERROR(__xludf.DUMMYFUNCTION("""COMPUTED_VALUE"""),45051.0)</f>
        <v>45051</v>
      </c>
      <c r="F836" s="12" t="str">
        <f>IFERROR(__xludf.DUMMYFUNCTION("""COMPUTED_VALUE"""),"TIPO I")</f>
        <v>TIPO I</v>
      </c>
      <c r="G836" s="12" t="str">
        <f>IFERROR(__xludf.DUMMYFUNCTION("""COMPUTED_VALUE"""),"Lecho rocoso - lodoso, durante el monitoreo se percibe olor, se observa color y residuos sólidos.
Altitud: 2769 msnm. ")</f>
        <v>Lecho rocoso - lodoso, durante el monitoreo se percibe olor, se observa color y residuos sólidos.
Altitud: 2769 msnm. </v>
      </c>
      <c r="H836" s="45">
        <f>IFERROR(__xludf.DUMMYFUNCTION("""COMPUTED_VALUE"""),0.5)</f>
        <v>0.5</v>
      </c>
      <c r="I836" s="45">
        <f>IFERROR(__xludf.DUMMYFUNCTION("""COMPUTED_VALUE"""),0.5833333333321207)</f>
        <v>0.5833333333</v>
      </c>
      <c r="J836" s="12">
        <f>IFERROR(__xludf.DUMMYFUNCTION("""COMPUTED_VALUE"""),1.3)</f>
        <v>1.3</v>
      </c>
      <c r="K836" s="12">
        <f>IFERROR(__xludf.DUMMYFUNCTION("""COMPUTED_VALUE"""),0.14)</f>
        <v>0.14</v>
      </c>
      <c r="L836" s="14">
        <f>IFERROR(__xludf.DUMMYFUNCTION("""COMPUTED_VALUE"""),20.566)</f>
        <v>20.566</v>
      </c>
      <c r="M836" s="14">
        <f>IFERROR(__xludf.DUMMYFUNCTION("""COMPUTED_VALUE"""),21.208)</f>
        <v>21.208</v>
      </c>
      <c r="N836" s="14">
        <f>IFERROR(__xludf.DUMMYFUNCTION("""COMPUTED_VALUE"""),21.298)</f>
        <v>21.298</v>
      </c>
      <c r="O836" s="14">
        <f>IFERROR(__xludf.DUMMYFUNCTION("""COMPUTED_VALUE"""),21.905)</f>
        <v>21.905</v>
      </c>
      <c r="P836" s="14">
        <f>IFERROR(__xludf.DUMMYFUNCTION("""COMPUTED_VALUE"""),22.164)</f>
        <v>22.164</v>
      </c>
      <c r="Q836" s="14">
        <f>IFERROR(__xludf.DUMMYFUNCTION("""COMPUTED_VALUE"""),21.428)</f>
        <v>21.428</v>
      </c>
      <c r="R836" s="48">
        <f>IFERROR(__xludf.DUMMYFUNCTION("""COMPUTED_VALUE"""),7.65)</f>
        <v>7.65</v>
      </c>
      <c r="S836" s="48">
        <f>IFERROR(__xludf.DUMMYFUNCTION("""COMPUTED_VALUE"""),7.7)</f>
        <v>7.7</v>
      </c>
      <c r="T836" s="48">
        <f>IFERROR(__xludf.DUMMYFUNCTION("""COMPUTED_VALUE"""),7.61)</f>
        <v>7.61</v>
      </c>
      <c r="U836" s="48">
        <f>IFERROR(__xludf.DUMMYFUNCTION("""COMPUTED_VALUE"""),7.71)</f>
        <v>7.71</v>
      </c>
      <c r="V836" s="48">
        <f>IFERROR(__xludf.DUMMYFUNCTION("""COMPUTED_VALUE"""),7.63)</f>
        <v>7.63</v>
      </c>
      <c r="W836" s="14">
        <f>IFERROR(__xludf.DUMMYFUNCTION("""COMPUTED_VALUE"""),7.660000000000001)</f>
        <v>7.66</v>
      </c>
      <c r="X836" s="14">
        <f>IFERROR(__xludf.DUMMYFUNCTION("""COMPUTED_VALUE"""),15.0)</f>
        <v>15</v>
      </c>
      <c r="Y836" s="14">
        <f>IFERROR(__xludf.DUMMYFUNCTION("""COMPUTED_VALUE"""),14.5)</f>
        <v>14.5</v>
      </c>
      <c r="Z836" s="14">
        <f>IFERROR(__xludf.DUMMYFUNCTION("""COMPUTED_VALUE"""),14.6)</f>
        <v>14.6</v>
      </c>
      <c r="AA836" s="14">
        <f>IFERROR(__xludf.DUMMYFUNCTION("""COMPUTED_VALUE"""),14.9)</f>
        <v>14.9</v>
      </c>
      <c r="AB836" s="14">
        <f>IFERROR(__xludf.DUMMYFUNCTION("""COMPUTED_VALUE"""),14.5)</f>
        <v>14.5</v>
      </c>
      <c r="AC836" s="14">
        <f>IFERROR(__xludf.DUMMYFUNCTION("""COMPUTED_VALUE"""),14.7)</f>
        <v>14.7</v>
      </c>
      <c r="AD836" s="48">
        <f>IFERROR(__xludf.DUMMYFUNCTION("""COMPUTED_VALUE"""),200.0)</f>
        <v>200</v>
      </c>
      <c r="AE836" s="48">
        <f>IFERROR(__xludf.DUMMYFUNCTION("""COMPUTED_VALUE"""),204.0)</f>
        <v>204</v>
      </c>
      <c r="AF836" s="48">
        <f>IFERROR(__xludf.DUMMYFUNCTION("""COMPUTED_VALUE"""),206.0)</f>
        <v>206</v>
      </c>
      <c r="AG836" s="48">
        <f>IFERROR(__xludf.DUMMYFUNCTION("""COMPUTED_VALUE"""),197.0)</f>
        <v>197</v>
      </c>
      <c r="AH836" s="48">
        <f>IFERROR(__xludf.DUMMYFUNCTION("""COMPUTED_VALUE"""),212.0)</f>
        <v>212</v>
      </c>
      <c r="AI836" s="14">
        <f>IFERROR(__xludf.DUMMYFUNCTION("""COMPUTED_VALUE"""),203.8)</f>
        <v>203.8</v>
      </c>
      <c r="AJ836" s="14">
        <f>IFERROR(__xludf.DUMMYFUNCTION("""COMPUTED_VALUE"""),5.74)</f>
        <v>5.74</v>
      </c>
      <c r="AK836" s="14">
        <f>IFERROR(__xludf.DUMMYFUNCTION("""COMPUTED_VALUE"""),6.14)</f>
        <v>6.14</v>
      </c>
      <c r="AL836" s="14">
        <f>IFERROR(__xludf.DUMMYFUNCTION("""COMPUTED_VALUE"""),5.9)</f>
        <v>5.9</v>
      </c>
      <c r="AM836" s="14">
        <f>IFERROR(__xludf.DUMMYFUNCTION("""COMPUTED_VALUE"""),5.52)</f>
        <v>5.52</v>
      </c>
      <c r="AN836" s="14">
        <f>IFERROR(__xludf.DUMMYFUNCTION("""COMPUTED_VALUE"""),5.65)</f>
        <v>5.65</v>
      </c>
      <c r="AO836" s="14">
        <f>IFERROR(__xludf.DUMMYFUNCTION("""COMPUTED_VALUE"""),5.790000000000001)</f>
        <v>5.79</v>
      </c>
      <c r="AP836" s="14">
        <f>IFERROR(__xludf.DUMMYFUNCTION("""COMPUTED_VALUE"""),8.0)</f>
        <v>8</v>
      </c>
      <c r="AQ836" s="14">
        <f>IFERROR(__xludf.DUMMYFUNCTION("""COMPUTED_VALUE"""),14.0)</f>
        <v>14</v>
      </c>
      <c r="AR836" s="14">
        <f>IFERROR(__xludf.DUMMYFUNCTION("""COMPUTED_VALUE"""),55.0)</f>
        <v>55</v>
      </c>
      <c r="AS836" s="14">
        <f>IFERROR(__xludf.DUMMYFUNCTION("""COMPUTED_VALUE"""),1.2)</f>
        <v>1.2</v>
      </c>
      <c r="AT836" s="14">
        <f>IFERROR(__xludf.DUMMYFUNCTION("""COMPUTED_VALUE"""),0.14)</f>
        <v>0.14</v>
      </c>
      <c r="AU836" s="14">
        <f>IFERROR(__xludf.DUMMYFUNCTION("""COMPUTED_VALUE"""),166.4)</f>
        <v>166.4</v>
      </c>
      <c r="AV836" s="14">
        <f>IFERROR(__xludf.DUMMYFUNCTION("""COMPUTED_VALUE"""),0.2)</f>
        <v>0.2</v>
      </c>
      <c r="AW836" s="14">
        <f>IFERROR(__xludf.DUMMYFUNCTION("""COMPUTED_VALUE"""),1.4)</f>
        <v>1.4</v>
      </c>
      <c r="AX836" s="14">
        <f>IFERROR(__xludf.DUMMYFUNCTION("""COMPUTED_VALUE"""),48.8)</f>
        <v>48.8</v>
      </c>
      <c r="AY836" s="14">
        <f>IFERROR(__xludf.DUMMYFUNCTION("""COMPUTED_VALUE"""),4.5)</f>
        <v>4.5</v>
      </c>
      <c r="AZ836" s="14">
        <f>IFERROR(__xludf.DUMMYFUNCTION("""COMPUTED_VALUE"""),0.131)</f>
        <v>0.131</v>
      </c>
      <c r="BA836" s="14">
        <f t="shared" si="1"/>
        <v>6.031</v>
      </c>
    </row>
    <row r="837" ht="14.25" customHeight="1">
      <c r="A837" s="10" t="str">
        <f>IFERROR(__xludf.DUMMYFUNCTION("""COMPUTED_VALUE"""),"030523FE03")</f>
        <v>030523FE03</v>
      </c>
      <c r="B837" s="12" t="str">
        <f>IFERROR(__xludf.DUMMYFUNCTION("""COMPUTED_VALUE"""),"CRN-La Castellana")</f>
        <v>CRN-La Castellana</v>
      </c>
      <c r="C837" s="12"/>
      <c r="D837" s="12"/>
      <c r="E837" s="44">
        <f>IFERROR(__xludf.DUMMYFUNCTION("""COMPUTED_VALUE"""),45049.0)</f>
        <v>45049</v>
      </c>
      <c r="F837" s="12" t="str">
        <f>IFERROR(__xludf.DUMMYFUNCTION("""COMPUTED_VALUE"""),"TIPO I")</f>
        <v>TIPO I</v>
      </c>
      <c r="G837" s="12" t="str">
        <f>IFERROR(__xludf.DUMMYFUNCTION("""COMPUTED_VALUE"""),"Se percibe olor, se observa color y material flotante")</f>
        <v>Se percibe olor, se observa color y material flotante</v>
      </c>
      <c r="H837" s="45">
        <f>IFERROR(__xludf.DUMMYFUNCTION("""COMPUTED_VALUE"""),0.4166666666678793)</f>
        <v>0.4166666667</v>
      </c>
      <c r="I837" s="45">
        <f>IFERROR(__xludf.DUMMYFUNCTION("""COMPUTED_VALUE"""),0.5)</f>
        <v>0.5</v>
      </c>
      <c r="J837" s="12">
        <f>IFERROR(__xludf.DUMMYFUNCTION("""COMPUTED_VALUE"""),5.6)</f>
        <v>5.6</v>
      </c>
      <c r="K837" s="12">
        <f>IFERROR(__xludf.DUMMYFUNCTION("""COMPUTED_VALUE"""),0.26)</f>
        <v>0.26</v>
      </c>
      <c r="L837" s="14">
        <f>IFERROR(__xludf.DUMMYFUNCTION("""COMPUTED_VALUE"""),446.613)</f>
        <v>446.613</v>
      </c>
      <c r="M837" s="14">
        <f>IFERROR(__xludf.DUMMYFUNCTION("""COMPUTED_VALUE"""),448.08)</f>
        <v>448.08</v>
      </c>
      <c r="N837" s="14">
        <f>IFERROR(__xludf.DUMMYFUNCTION("""COMPUTED_VALUE"""),451.12)</f>
        <v>451.12</v>
      </c>
      <c r="O837" s="14">
        <f>IFERROR(__xludf.DUMMYFUNCTION("""COMPUTED_VALUE"""),453.393)</f>
        <v>453.393</v>
      </c>
      <c r="P837" s="14">
        <f>IFERROR(__xludf.DUMMYFUNCTION("""COMPUTED_VALUE"""),463.923)</f>
        <v>463.923</v>
      </c>
      <c r="Q837" s="14">
        <f>IFERROR(__xludf.DUMMYFUNCTION("""COMPUTED_VALUE"""),452.626)</f>
        <v>452.626</v>
      </c>
      <c r="R837" s="48">
        <f>IFERROR(__xludf.DUMMYFUNCTION("""COMPUTED_VALUE"""),7.68)</f>
        <v>7.68</v>
      </c>
      <c r="S837" s="48">
        <f>IFERROR(__xludf.DUMMYFUNCTION("""COMPUTED_VALUE"""),7.68)</f>
        <v>7.68</v>
      </c>
      <c r="T837" s="48">
        <f>IFERROR(__xludf.DUMMYFUNCTION("""COMPUTED_VALUE"""),7.69)</f>
        <v>7.69</v>
      </c>
      <c r="U837" s="48">
        <f>IFERROR(__xludf.DUMMYFUNCTION("""COMPUTED_VALUE"""),7.36)</f>
        <v>7.36</v>
      </c>
      <c r="V837" s="48">
        <f>IFERROR(__xludf.DUMMYFUNCTION("""COMPUTED_VALUE"""),7.77)</f>
        <v>7.77</v>
      </c>
      <c r="W837" s="14">
        <f>IFERROR(__xludf.DUMMYFUNCTION("""COMPUTED_VALUE"""),7.636)</f>
        <v>7.636</v>
      </c>
      <c r="X837" s="14">
        <f>IFERROR(__xludf.DUMMYFUNCTION("""COMPUTED_VALUE"""),23.6)</f>
        <v>23.6</v>
      </c>
      <c r="Y837" s="14">
        <f>IFERROR(__xludf.DUMMYFUNCTION("""COMPUTED_VALUE"""),22.1)</f>
        <v>22.1</v>
      </c>
      <c r="Z837" s="14">
        <f>IFERROR(__xludf.DUMMYFUNCTION("""COMPUTED_VALUE"""),21.7)</f>
        <v>21.7</v>
      </c>
      <c r="AA837" s="14">
        <f>IFERROR(__xludf.DUMMYFUNCTION("""COMPUTED_VALUE"""),22.3)</f>
        <v>22.3</v>
      </c>
      <c r="AB837" s="14">
        <f>IFERROR(__xludf.DUMMYFUNCTION("""COMPUTED_VALUE"""),21.5)</f>
        <v>21.5</v>
      </c>
      <c r="AC837" s="14">
        <f>IFERROR(__xludf.DUMMYFUNCTION("""COMPUTED_VALUE"""),22.240000000000002)</f>
        <v>22.24</v>
      </c>
      <c r="AD837" s="48">
        <f>IFERROR(__xludf.DUMMYFUNCTION("""COMPUTED_VALUE"""),439.0)</f>
        <v>439</v>
      </c>
      <c r="AE837" s="48">
        <f>IFERROR(__xludf.DUMMYFUNCTION("""COMPUTED_VALUE"""),427.0)</f>
        <v>427</v>
      </c>
      <c r="AF837" s="48">
        <f>IFERROR(__xludf.DUMMYFUNCTION("""COMPUTED_VALUE"""),405.0)</f>
        <v>405</v>
      </c>
      <c r="AG837" s="48">
        <f>IFERROR(__xludf.DUMMYFUNCTION("""COMPUTED_VALUE"""),372.0)</f>
        <v>372</v>
      </c>
      <c r="AH837" s="48">
        <f>IFERROR(__xludf.DUMMYFUNCTION("""COMPUTED_VALUE"""),381.0)</f>
        <v>381</v>
      </c>
      <c r="AI837" s="14">
        <f>IFERROR(__xludf.DUMMYFUNCTION("""COMPUTED_VALUE"""),404.8)</f>
        <v>404.8</v>
      </c>
      <c r="AJ837" s="14">
        <f>IFERROR(__xludf.DUMMYFUNCTION("""COMPUTED_VALUE"""),2.27)</f>
        <v>2.27</v>
      </c>
      <c r="AK837" s="14">
        <f>IFERROR(__xludf.DUMMYFUNCTION("""COMPUTED_VALUE"""),1.94)</f>
        <v>1.94</v>
      </c>
      <c r="AL837" s="14">
        <f>IFERROR(__xludf.DUMMYFUNCTION("""COMPUTED_VALUE"""),2.14)</f>
        <v>2.14</v>
      </c>
      <c r="AM837" s="14">
        <f>IFERROR(__xludf.DUMMYFUNCTION("""COMPUTED_VALUE"""),1.8)</f>
        <v>1.8</v>
      </c>
      <c r="AN837" s="14">
        <f>IFERROR(__xludf.DUMMYFUNCTION("""COMPUTED_VALUE"""),1.97)</f>
        <v>1.97</v>
      </c>
      <c r="AO837" s="14">
        <f>IFERROR(__xludf.DUMMYFUNCTION("""COMPUTED_VALUE"""),2.024)</f>
        <v>2.024</v>
      </c>
      <c r="AP837" s="14">
        <f>IFERROR(__xludf.DUMMYFUNCTION("""COMPUTED_VALUE"""),217.0)</f>
        <v>217</v>
      </c>
      <c r="AQ837" s="14">
        <f>IFERROR(__xludf.DUMMYFUNCTION("""COMPUTED_VALUE"""),306.0)</f>
        <v>306</v>
      </c>
      <c r="AR837" s="14">
        <f>IFERROR(__xludf.DUMMYFUNCTION("""COMPUTED_VALUE"""),164.0)</f>
        <v>164</v>
      </c>
      <c r="AS837" s="14">
        <f>IFERROR(__xludf.DUMMYFUNCTION("""COMPUTED_VALUE"""),78.0)</f>
        <v>78</v>
      </c>
      <c r="AT837" s="14">
        <f>IFERROR(__xludf.DUMMYFUNCTION("""COMPUTED_VALUE"""),2.22)</f>
        <v>2.22</v>
      </c>
      <c r="AU837" s="14">
        <f>IFERROR(__xludf.DUMMYFUNCTION("""COMPUTED_VALUE"""),2.367E8)</f>
        <v>236700000</v>
      </c>
      <c r="AV837" s="14">
        <f>IFERROR(__xludf.DUMMYFUNCTION("""COMPUTED_VALUE"""),1.67)</f>
        <v>1.67</v>
      </c>
      <c r="AW837" s="14">
        <f>IFERROR(__xludf.DUMMYFUNCTION("""COMPUTED_VALUE"""),11.8)</f>
        <v>11.8</v>
      </c>
      <c r="AX837" s="14">
        <f>IFERROR(__xludf.DUMMYFUNCTION("""COMPUTED_VALUE"""),2.14E8)</f>
        <v>214000000</v>
      </c>
      <c r="AY837" s="14">
        <f>IFERROR(__xludf.DUMMYFUNCTION("""COMPUTED_VALUE"""),0.8)</f>
        <v>0.8</v>
      </c>
      <c r="AZ837" s="14">
        <f>IFERROR(__xludf.DUMMYFUNCTION("""COMPUTED_VALUE"""),0.007)</f>
        <v>0.007</v>
      </c>
      <c r="BA837" s="14">
        <f t="shared" si="1"/>
        <v>12.607</v>
      </c>
    </row>
    <row r="838" ht="14.25" customHeight="1">
      <c r="A838" s="10" t="str">
        <f>IFERROR(__xludf.DUMMYFUNCTION("""COMPUTED_VALUE"""),"050523WI03")</f>
        <v>050523WI03</v>
      </c>
      <c r="B838" s="12" t="str">
        <f>IFERROR(__xludf.DUMMYFUNCTION("""COMPUTED_VALUE"""),"QSL-Portal Usme")</f>
        <v>QSL-Portal Usme</v>
      </c>
      <c r="C838" s="12"/>
      <c r="D838" s="12"/>
      <c r="E838" s="44">
        <f>IFERROR(__xludf.DUMMYFUNCTION("""COMPUTED_VALUE"""),45051.0)</f>
        <v>45051</v>
      </c>
      <c r="F838" s="12" t="str">
        <f>IFERROR(__xludf.DUMMYFUNCTION("""COMPUTED_VALUE"""),"TIPO I")</f>
        <v>TIPO I</v>
      </c>
      <c r="G838" s="12" t="str">
        <f>IFERROR(__xludf.DUMMYFUNCTION("""COMPUTED_VALUE"""),"Lecho en concreto, se observa color, se percibe olor")</f>
        <v>Lecho en concreto, se observa color, se percibe olor</v>
      </c>
      <c r="H838" s="45">
        <f>IFERROR(__xludf.DUMMYFUNCTION("""COMPUTED_VALUE"""),0.6666666666678793)</f>
        <v>0.6666666667</v>
      </c>
      <c r="I838" s="45">
        <f>IFERROR(__xludf.DUMMYFUNCTION("""COMPUTED_VALUE"""),0.75)</f>
        <v>0.75</v>
      </c>
      <c r="J838" s="12">
        <f>IFERROR(__xludf.DUMMYFUNCTION("""COMPUTED_VALUE"""),1.8)</f>
        <v>1.8</v>
      </c>
      <c r="K838" s="12">
        <f>IFERROR(__xludf.DUMMYFUNCTION("""COMPUTED_VALUE"""),0.22)</f>
        <v>0.22</v>
      </c>
      <c r="L838" s="14">
        <f>IFERROR(__xludf.DUMMYFUNCTION("""COMPUTED_VALUE"""),93.905)</f>
        <v>93.905</v>
      </c>
      <c r="M838" s="14">
        <f>IFERROR(__xludf.DUMMYFUNCTION("""COMPUTED_VALUE"""),92.815)</f>
        <v>92.815</v>
      </c>
      <c r="N838" s="14">
        <f>IFERROR(__xludf.DUMMYFUNCTION("""COMPUTED_VALUE"""),93.45)</f>
        <v>93.45</v>
      </c>
      <c r="O838" s="14">
        <f>IFERROR(__xludf.DUMMYFUNCTION("""COMPUTED_VALUE"""),95.588)</f>
        <v>95.588</v>
      </c>
      <c r="P838" s="14">
        <f>IFERROR(__xludf.DUMMYFUNCTION("""COMPUTED_VALUE"""),98.862)</f>
        <v>98.862</v>
      </c>
      <c r="Q838" s="14">
        <f>IFERROR(__xludf.DUMMYFUNCTION("""COMPUTED_VALUE"""),94.924)</f>
        <v>94.924</v>
      </c>
      <c r="R838" s="48">
        <f>IFERROR(__xludf.DUMMYFUNCTION("""COMPUTED_VALUE"""),7.48)</f>
        <v>7.48</v>
      </c>
      <c r="S838" s="48">
        <f>IFERROR(__xludf.DUMMYFUNCTION("""COMPUTED_VALUE"""),7.29)</f>
        <v>7.29</v>
      </c>
      <c r="T838" s="48">
        <f>IFERROR(__xludf.DUMMYFUNCTION("""COMPUTED_VALUE"""),7.54)</f>
        <v>7.54</v>
      </c>
      <c r="U838" s="48">
        <f>IFERROR(__xludf.DUMMYFUNCTION("""COMPUTED_VALUE"""),7.5)</f>
        <v>7.5</v>
      </c>
      <c r="V838" s="48">
        <f>IFERROR(__xludf.DUMMYFUNCTION("""COMPUTED_VALUE"""),7.61)</f>
        <v>7.61</v>
      </c>
      <c r="W838" s="14">
        <f>IFERROR(__xludf.DUMMYFUNCTION("""COMPUTED_VALUE"""),7.484)</f>
        <v>7.484</v>
      </c>
      <c r="X838" s="14">
        <f>IFERROR(__xludf.DUMMYFUNCTION("""COMPUTED_VALUE"""),18.6)</f>
        <v>18.6</v>
      </c>
      <c r="Y838" s="14">
        <f>IFERROR(__xludf.DUMMYFUNCTION("""COMPUTED_VALUE"""),18.8)</f>
        <v>18.8</v>
      </c>
      <c r="Z838" s="14">
        <f>IFERROR(__xludf.DUMMYFUNCTION("""COMPUTED_VALUE"""),18.7)</f>
        <v>18.7</v>
      </c>
      <c r="AA838" s="14">
        <f>IFERROR(__xludf.DUMMYFUNCTION("""COMPUTED_VALUE"""),18.3)</f>
        <v>18.3</v>
      </c>
      <c r="AB838" s="14">
        <f>IFERROR(__xludf.DUMMYFUNCTION("""COMPUTED_VALUE"""),18.5)</f>
        <v>18.5</v>
      </c>
      <c r="AC838" s="14">
        <f>IFERROR(__xludf.DUMMYFUNCTION("""COMPUTED_VALUE"""),18.580000000000002)</f>
        <v>18.58</v>
      </c>
      <c r="AD838" s="48">
        <f>IFERROR(__xludf.DUMMYFUNCTION("""COMPUTED_VALUE"""),406.0)</f>
        <v>406</v>
      </c>
      <c r="AE838" s="48">
        <f>IFERROR(__xludf.DUMMYFUNCTION("""COMPUTED_VALUE"""),412.0)</f>
        <v>412</v>
      </c>
      <c r="AF838" s="48">
        <f>IFERROR(__xludf.DUMMYFUNCTION("""COMPUTED_VALUE"""),420.0)</f>
        <v>420</v>
      </c>
      <c r="AG838" s="48">
        <f>IFERROR(__xludf.DUMMYFUNCTION("""COMPUTED_VALUE"""),385.0)</f>
        <v>385</v>
      </c>
      <c r="AH838" s="48">
        <f>IFERROR(__xludf.DUMMYFUNCTION("""COMPUTED_VALUE"""),417.0)</f>
        <v>417</v>
      </c>
      <c r="AI838" s="14">
        <f>IFERROR(__xludf.DUMMYFUNCTION("""COMPUTED_VALUE"""),408.0)</f>
        <v>408</v>
      </c>
      <c r="AJ838" s="14">
        <f>IFERROR(__xludf.DUMMYFUNCTION("""COMPUTED_VALUE"""),2.73)</f>
        <v>2.73</v>
      </c>
      <c r="AK838" s="14">
        <f>IFERROR(__xludf.DUMMYFUNCTION("""COMPUTED_VALUE"""),2.48)</f>
        <v>2.48</v>
      </c>
      <c r="AL838" s="14">
        <f>IFERROR(__xludf.DUMMYFUNCTION("""COMPUTED_VALUE"""),2.12)</f>
        <v>2.12</v>
      </c>
      <c r="AM838" s="14">
        <f>IFERROR(__xludf.DUMMYFUNCTION("""COMPUTED_VALUE"""),2.2)</f>
        <v>2.2</v>
      </c>
      <c r="AN838" s="14">
        <f>IFERROR(__xludf.DUMMYFUNCTION("""COMPUTED_VALUE"""),2.0)</f>
        <v>2</v>
      </c>
      <c r="AO838" s="14">
        <f>IFERROR(__xludf.DUMMYFUNCTION("""COMPUTED_VALUE"""),2.306)</f>
        <v>2.306</v>
      </c>
      <c r="AP838" s="14">
        <f>IFERROR(__xludf.DUMMYFUNCTION("""COMPUTED_VALUE"""),102.0)</f>
        <v>102</v>
      </c>
      <c r="AQ838" s="14">
        <f>IFERROR(__xludf.DUMMYFUNCTION("""COMPUTED_VALUE"""),166.0)</f>
        <v>166</v>
      </c>
      <c r="AR838" s="14">
        <f>IFERROR(__xludf.DUMMYFUNCTION("""COMPUTED_VALUE"""),103.0)</f>
        <v>103</v>
      </c>
      <c r="AS838" s="14">
        <f>IFERROR(__xludf.DUMMYFUNCTION("""COMPUTED_VALUE"""),44.0)</f>
        <v>44</v>
      </c>
      <c r="AT838" s="14">
        <f>IFERROR(__xludf.DUMMYFUNCTION("""COMPUTED_VALUE"""),3.04)</f>
        <v>3.04</v>
      </c>
      <c r="AU838" s="14">
        <f>IFERROR(__xludf.DUMMYFUNCTION("""COMPUTED_VALUE"""),1.314E7)</f>
        <v>13140000</v>
      </c>
      <c r="AV838" s="14">
        <f>IFERROR(__xludf.DUMMYFUNCTION("""COMPUTED_VALUE"""),1.41)</f>
        <v>1.41</v>
      </c>
      <c r="AW838" s="14">
        <f>IFERROR(__xludf.DUMMYFUNCTION("""COMPUTED_VALUE"""),9.2)</f>
        <v>9.2</v>
      </c>
      <c r="AX838" s="14">
        <f>IFERROR(__xludf.DUMMYFUNCTION("""COMPUTED_VALUE"""),6970000.0)</f>
        <v>6970000</v>
      </c>
      <c r="AY838" s="14">
        <f>IFERROR(__xludf.DUMMYFUNCTION("""COMPUTED_VALUE"""),0.5)</f>
        <v>0.5</v>
      </c>
      <c r="AZ838" s="14">
        <f>IFERROR(__xludf.DUMMYFUNCTION("""COMPUTED_VALUE"""),0.007)</f>
        <v>0.007</v>
      </c>
      <c r="BA838" s="14">
        <f t="shared" si="1"/>
        <v>9.707</v>
      </c>
    </row>
    <row r="839" ht="14.25" customHeight="1">
      <c r="A839" s="10" t="str">
        <f>IFERROR(__xludf.DUMMYFUNCTION("""COMPUTED_VALUE"""),"080523DU01")</f>
        <v>080523DU01</v>
      </c>
      <c r="B839" s="12" t="str">
        <f>IFERROR(__xludf.DUMMYFUNCTION("""COMPUTED_VALUE"""),"QYO-Arrayanal")</f>
        <v>QYO-Arrayanal</v>
      </c>
      <c r="C839" s="12"/>
      <c r="D839" s="12"/>
      <c r="E839" s="44">
        <f>IFERROR(__xludf.DUMMYFUNCTION("""COMPUTED_VALUE"""),45054.0)</f>
        <v>45054</v>
      </c>
      <c r="F839" s="12" t="str">
        <f>IFERROR(__xludf.DUMMYFUNCTION("""COMPUTED_VALUE"""),"TIPO I")</f>
        <v>TIPO I</v>
      </c>
      <c r="G839" s="12" t="str">
        <f>IFERROR(__xludf.DUMMYFUNCTION("""COMPUTED_VALUE"""),"Lecho rocoso-arenoso, se observa color")</f>
        <v>Lecho rocoso-arenoso, se observa color</v>
      </c>
      <c r="H839" s="45">
        <f>IFERROR(__xludf.DUMMYFUNCTION("""COMPUTED_VALUE"""),0.3333333333321207)</f>
        <v>0.3333333333</v>
      </c>
      <c r="I839" s="45">
        <f>IFERROR(__xludf.DUMMYFUNCTION("""COMPUTED_VALUE"""),0.4166666666678793)</f>
        <v>0.4166666667</v>
      </c>
      <c r="J839" s="12">
        <f>IFERROR(__xludf.DUMMYFUNCTION("""COMPUTED_VALUE"""),2.8)</f>
        <v>2.8</v>
      </c>
      <c r="K839" s="12">
        <f>IFERROR(__xludf.DUMMYFUNCTION("""COMPUTED_VALUE"""),0.36)</f>
        <v>0.36</v>
      </c>
      <c r="L839" s="14">
        <f>IFERROR(__xludf.DUMMYFUNCTION("""COMPUTED_VALUE"""),170.819)</f>
        <v>170.819</v>
      </c>
      <c r="M839" s="14">
        <f>IFERROR(__xludf.DUMMYFUNCTION("""COMPUTED_VALUE"""),171.074)</f>
        <v>171.074</v>
      </c>
      <c r="N839" s="14">
        <f>IFERROR(__xludf.DUMMYFUNCTION("""COMPUTED_VALUE"""),178.123)</f>
        <v>178.123</v>
      </c>
      <c r="O839" s="14">
        <f>IFERROR(__xludf.DUMMYFUNCTION("""COMPUTED_VALUE"""),180.785)</f>
        <v>180.785</v>
      </c>
      <c r="P839" s="14">
        <f>IFERROR(__xludf.DUMMYFUNCTION("""COMPUTED_VALUE"""),183.585)</f>
        <v>183.585</v>
      </c>
      <c r="Q839" s="14">
        <f>IFERROR(__xludf.DUMMYFUNCTION("""COMPUTED_VALUE"""),176.877)</f>
        <v>176.877</v>
      </c>
      <c r="R839" s="48">
        <f>IFERROR(__xludf.DUMMYFUNCTION("""COMPUTED_VALUE"""),6.66)</f>
        <v>6.66</v>
      </c>
      <c r="S839" s="48">
        <f>IFERROR(__xludf.DUMMYFUNCTION("""COMPUTED_VALUE"""),7.0)</f>
        <v>7</v>
      </c>
      <c r="T839" s="48">
        <f>IFERROR(__xludf.DUMMYFUNCTION("""COMPUTED_VALUE"""),6.95)</f>
        <v>6.95</v>
      </c>
      <c r="U839" s="48">
        <f>IFERROR(__xludf.DUMMYFUNCTION("""COMPUTED_VALUE"""),7.23)</f>
        <v>7.23</v>
      </c>
      <c r="V839" s="48">
        <f>IFERROR(__xludf.DUMMYFUNCTION("""COMPUTED_VALUE"""),7.16)</f>
        <v>7.16</v>
      </c>
      <c r="W839" s="14">
        <f>IFERROR(__xludf.DUMMYFUNCTION("""COMPUTED_VALUE"""),7.0)</f>
        <v>7</v>
      </c>
      <c r="X839" s="14">
        <f>IFERROR(__xludf.DUMMYFUNCTION("""COMPUTED_VALUE"""),13.4)</f>
        <v>13.4</v>
      </c>
      <c r="Y839" s="14">
        <f>IFERROR(__xludf.DUMMYFUNCTION("""COMPUTED_VALUE"""),13.5)</f>
        <v>13.5</v>
      </c>
      <c r="Z839" s="14">
        <f>IFERROR(__xludf.DUMMYFUNCTION("""COMPUTED_VALUE"""),13.3)</f>
        <v>13.3</v>
      </c>
      <c r="AA839" s="14">
        <f>IFERROR(__xludf.DUMMYFUNCTION("""COMPUTED_VALUE"""),13.4)</f>
        <v>13.4</v>
      </c>
      <c r="AB839" s="14">
        <f>IFERROR(__xludf.DUMMYFUNCTION("""COMPUTED_VALUE"""),13.6)</f>
        <v>13.6</v>
      </c>
      <c r="AC839" s="14">
        <f>IFERROR(__xludf.DUMMYFUNCTION("""COMPUTED_VALUE"""),13.440000000000001)</f>
        <v>13.44</v>
      </c>
      <c r="AD839" s="48">
        <f>IFERROR(__xludf.DUMMYFUNCTION("""COMPUTED_VALUE"""),180.2)</f>
        <v>180.2</v>
      </c>
      <c r="AE839" s="48">
        <f>IFERROR(__xludf.DUMMYFUNCTION("""COMPUTED_VALUE"""),136.9)</f>
        <v>136.9</v>
      </c>
      <c r="AF839" s="48">
        <f>IFERROR(__xludf.DUMMYFUNCTION("""COMPUTED_VALUE"""),134.4)</f>
        <v>134.4</v>
      </c>
      <c r="AG839" s="48">
        <f>IFERROR(__xludf.DUMMYFUNCTION("""COMPUTED_VALUE"""),135.4)</f>
        <v>135.4</v>
      </c>
      <c r="AH839" s="48">
        <f>IFERROR(__xludf.DUMMYFUNCTION("""COMPUTED_VALUE"""),137.0)</f>
        <v>137</v>
      </c>
      <c r="AI839" s="14">
        <f>IFERROR(__xludf.DUMMYFUNCTION("""COMPUTED_VALUE"""),144.78)</f>
        <v>144.78</v>
      </c>
      <c r="AJ839" s="14">
        <f>IFERROR(__xludf.DUMMYFUNCTION("""COMPUTED_VALUE"""),6.06)</f>
        <v>6.06</v>
      </c>
      <c r="AK839" s="14">
        <f>IFERROR(__xludf.DUMMYFUNCTION("""COMPUTED_VALUE"""),5.61)</f>
        <v>5.61</v>
      </c>
      <c r="AL839" s="14">
        <f>IFERROR(__xludf.DUMMYFUNCTION("""COMPUTED_VALUE"""),5.44)</f>
        <v>5.44</v>
      </c>
      <c r="AM839" s="14">
        <f>IFERROR(__xludf.DUMMYFUNCTION("""COMPUTED_VALUE"""),5.62)</f>
        <v>5.62</v>
      </c>
      <c r="AN839" s="14">
        <f>IFERROR(__xludf.DUMMYFUNCTION("""COMPUTED_VALUE"""),5.58)</f>
        <v>5.58</v>
      </c>
      <c r="AO839" s="14">
        <f>IFERROR(__xludf.DUMMYFUNCTION("""COMPUTED_VALUE"""),5.662000000000001)</f>
        <v>5.662</v>
      </c>
      <c r="AP839" s="14">
        <f>IFERROR(__xludf.DUMMYFUNCTION("""COMPUTED_VALUE"""),7.0)</f>
        <v>7</v>
      </c>
      <c r="AQ839" s="14">
        <f>IFERROR(__xludf.DUMMYFUNCTION("""COMPUTED_VALUE"""),11.0)</f>
        <v>11</v>
      </c>
      <c r="AR839" s="14">
        <f>IFERROR(__xludf.DUMMYFUNCTION("""COMPUTED_VALUE"""),12.0)</f>
        <v>12</v>
      </c>
      <c r="AS839" s="14">
        <f>IFERROR(__xludf.DUMMYFUNCTION("""COMPUTED_VALUE"""),1.2)</f>
        <v>1.2</v>
      </c>
      <c r="AT839" s="14">
        <f>IFERROR(__xludf.DUMMYFUNCTION("""COMPUTED_VALUE"""),0.22)</f>
        <v>0.22</v>
      </c>
      <c r="AU839" s="14">
        <f>IFERROR(__xludf.DUMMYFUNCTION("""COMPUTED_VALUE"""),1.24E8)</f>
        <v>124000000</v>
      </c>
      <c r="AV839" s="14">
        <f>IFERROR(__xludf.DUMMYFUNCTION("""COMPUTED_VALUE"""),0.49)</f>
        <v>0.49</v>
      </c>
      <c r="AW839" s="14">
        <f>IFERROR(__xludf.DUMMYFUNCTION("""COMPUTED_VALUE"""),5.3)</f>
        <v>5.3</v>
      </c>
      <c r="AX839" s="14">
        <f>IFERROR(__xludf.DUMMYFUNCTION("""COMPUTED_VALUE"""),1.093E8)</f>
        <v>109300000</v>
      </c>
      <c r="AY839" s="14">
        <f>IFERROR(__xludf.DUMMYFUNCTION("""COMPUTED_VALUE"""),1.0)</f>
        <v>1</v>
      </c>
      <c r="AZ839" s="14">
        <f>IFERROR(__xludf.DUMMYFUNCTION("""COMPUTED_VALUE"""),0.033)</f>
        <v>0.033</v>
      </c>
      <c r="BA839" s="14">
        <f t="shared" si="1"/>
        <v>6.333</v>
      </c>
    </row>
    <row r="840" ht="14.25" customHeight="1">
      <c r="A840" s="10" t="str">
        <f>IFERROR(__xludf.DUMMYFUNCTION("""COMPUTED_VALUE"""),"080523DU02")</f>
        <v>080523DU02</v>
      </c>
      <c r="B840" s="12" t="str">
        <f>IFERROR(__xludf.DUMMYFUNCTION("""COMPUTED_VALUE"""),"QYO-Bolonia")</f>
        <v>QYO-Bolonia</v>
      </c>
      <c r="C840" s="12"/>
      <c r="D840" s="12"/>
      <c r="E840" s="44">
        <f>IFERROR(__xludf.DUMMYFUNCTION("""COMPUTED_VALUE"""),45054.0)</f>
        <v>45054</v>
      </c>
      <c r="F840" s="12" t="str">
        <f>IFERROR(__xludf.DUMMYFUNCTION("""COMPUTED_VALUE"""),"TIPO I")</f>
        <v>TIPO I</v>
      </c>
      <c r="G840" s="12" t="str">
        <f>IFERROR(__xludf.DUMMYFUNCTION("""COMPUTED_VALUE"""),"Lecho-arenoso, se percibe olor, se observa color y residuos solidos")</f>
        <v>Lecho-arenoso, se percibe olor, se observa color y residuos solidos</v>
      </c>
      <c r="H840" s="45">
        <f>IFERROR(__xludf.DUMMYFUNCTION("""COMPUTED_VALUE"""),0.5)</f>
        <v>0.5</v>
      </c>
      <c r="I840" s="45">
        <f>IFERROR(__xludf.DUMMYFUNCTION("""COMPUTED_VALUE"""),0.5833333333321207)</f>
        <v>0.5833333333</v>
      </c>
      <c r="J840" s="12">
        <f>IFERROR(__xludf.DUMMYFUNCTION("""COMPUTED_VALUE"""),3.2)</f>
        <v>3.2</v>
      </c>
      <c r="K840" s="12">
        <f>IFERROR(__xludf.DUMMYFUNCTION("""COMPUTED_VALUE"""),0.45)</f>
        <v>0.45</v>
      </c>
      <c r="L840" s="14">
        <f>IFERROR(__xludf.DUMMYFUNCTION("""COMPUTED_VALUE"""),231.923)</f>
        <v>231.923</v>
      </c>
      <c r="M840" s="14">
        <f>IFERROR(__xludf.DUMMYFUNCTION("""COMPUTED_VALUE"""),237.121)</f>
        <v>237.121</v>
      </c>
      <c r="N840" s="14">
        <f>IFERROR(__xludf.DUMMYFUNCTION("""COMPUTED_VALUE"""),238.757)</f>
        <v>238.757</v>
      </c>
      <c r="O840" s="14">
        <f>IFERROR(__xludf.DUMMYFUNCTION("""COMPUTED_VALUE"""),242.018)</f>
        <v>242.018</v>
      </c>
      <c r="P840" s="14">
        <f>IFERROR(__xludf.DUMMYFUNCTION("""COMPUTED_VALUE"""),240.55)</f>
        <v>240.55</v>
      </c>
      <c r="Q840" s="14">
        <f>IFERROR(__xludf.DUMMYFUNCTION("""COMPUTED_VALUE"""),238.074)</f>
        <v>238.074</v>
      </c>
      <c r="R840" s="48">
        <f>IFERROR(__xludf.DUMMYFUNCTION("""COMPUTED_VALUE"""),7.31)</f>
        <v>7.31</v>
      </c>
      <c r="S840" s="48">
        <f>IFERROR(__xludf.DUMMYFUNCTION("""COMPUTED_VALUE"""),7.49)</f>
        <v>7.49</v>
      </c>
      <c r="T840" s="48">
        <f>IFERROR(__xludf.DUMMYFUNCTION("""COMPUTED_VALUE"""),7.54)</f>
        <v>7.54</v>
      </c>
      <c r="U840" s="48">
        <f>IFERROR(__xludf.DUMMYFUNCTION("""COMPUTED_VALUE"""),7.47)</f>
        <v>7.47</v>
      </c>
      <c r="V840" s="48">
        <f>IFERROR(__xludf.DUMMYFUNCTION("""COMPUTED_VALUE"""),7.59)</f>
        <v>7.59</v>
      </c>
      <c r="W840" s="14">
        <f>IFERROR(__xludf.DUMMYFUNCTION("""COMPUTED_VALUE"""),7.4799999999999995)</f>
        <v>7.48</v>
      </c>
      <c r="X840" s="14">
        <f>IFERROR(__xludf.DUMMYFUNCTION("""COMPUTED_VALUE"""),14.7)</f>
        <v>14.7</v>
      </c>
      <c r="Y840" s="14">
        <f>IFERROR(__xludf.DUMMYFUNCTION("""COMPUTED_VALUE"""),14.9)</f>
        <v>14.9</v>
      </c>
      <c r="Z840" s="14">
        <f>IFERROR(__xludf.DUMMYFUNCTION("""COMPUTED_VALUE"""),14.7)</f>
        <v>14.7</v>
      </c>
      <c r="AA840" s="14">
        <f>IFERROR(__xludf.DUMMYFUNCTION("""COMPUTED_VALUE"""),15.0)</f>
        <v>15</v>
      </c>
      <c r="AB840" s="14">
        <f>IFERROR(__xludf.DUMMYFUNCTION("""COMPUTED_VALUE"""),15.2)</f>
        <v>15.2</v>
      </c>
      <c r="AC840" s="14">
        <f>IFERROR(__xludf.DUMMYFUNCTION("""COMPUTED_VALUE"""),14.9)</f>
        <v>14.9</v>
      </c>
      <c r="AD840" s="48">
        <f>IFERROR(__xludf.DUMMYFUNCTION("""COMPUTED_VALUE"""),166.2)</f>
        <v>166.2</v>
      </c>
      <c r="AE840" s="48">
        <f>IFERROR(__xludf.DUMMYFUNCTION("""COMPUTED_VALUE"""),179.9)</f>
        <v>179.9</v>
      </c>
      <c r="AF840" s="48">
        <f>IFERROR(__xludf.DUMMYFUNCTION("""COMPUTED_VALUE"""),183.0)</f>
        <v>183</v>
      </c>
      <c r="AG840" s="48">
        <f>IFERROR(__xludf.DUMMYFUNCTION("""COMPUTED_VALUE"""),181.7)</f>
        <v>181.7</v>
      </c>
      <c r="AH840" s="48">
        <f>IFERROR(__xludf.DUMMYFUNCTION("""COMPUTED_VALUE"""),180.3)</f>
        <v>180.3</v>
      </c>
      <c r="AI840" s="14">
        <f>IFERROR(__xludf.DUMMYFUNCTION("""COMPUTED_VALUE"""),178.21999999999997)</f>
        <v>178.22</v>
      </c>
      <c r="AJ840" s="14">
        <f>IFERROR(__xludf.DUMMYFUNCTION("""COMPUTED_VALUE"""),4.83)</f>
        <v>4.83</v>
      </c>
      <c r="AK840" s="14">
        <f>IFERROR(__xludf.DUMMYFUNCTION("""COMPUTED_VALUE"""),4.61)</f>
        <v>4.61</v>
      </c>
      <c r="AL840" s="14">
        <f>IFERROR(__xludf.DUMMYFUNCTION("""COMPUTED_VALUE"""),4.83)</f>
        <v>4.83</v>
      </c>
      <c r="AM840" s="14">
        <f>IFERROR(__xludf.DUMMYFUNCTION("""COMPUTED_VALUE"""),4.96)</f>
        <v>4.96</v>
      </c>
      <c r="AN840" s="14">
        <f>IFERROR(__xludf.DUMMYFUNCTION("""COMPUTED_VALUE"""),4.92)</f>
        <v>4.92</v>
      </c>
      <c r="AO840" s="14">
        <f>IFERROR(__xludf.DUMMYFUNCTION("""COMPUTED_VALUE"""),4.83)</f>
        <v>4.83</v>
      </c>
      <c r="AP840" s="14">
        <f>IFERROR(__xludf.DUMMYFUNCTION("""COMPUTED_VALUE"""),12.0)</f>
        <v>12</v>
      </c>
      <c r="AQ840" s="14">
        <f>IFERROR(__xludf.DUMMYFUNCTION("""COMPUTED_VALUE"""),17.0)</f>
        <v>17</v>
      </c>
      <c r="AR840" s="14">
        <f>IFERROR(__xludf.DUMMYFUNCTION("""COMPUTED_VALUE"""),14.0)</f>
        <v>14</v>
      </c>
      <c r="AS840" s="14">
        <f>IFERROR(__xludf.DUMMYFUNCTION("""COMPUTED_VALUE"""),1.2)</f>
        <v>1.2</v>
      </c>
      <c r="AT840" s="14">
        <f>IFERROR(__xludf.DUMMYFUNCTION("""COMPUTED_VALUE"""),0.45)</f>
        <v>0.45</v>
      </c>
      <c r="AU840" s="14">
        <f>IFERROR(__xludf.DUMMYFUNCTION("""COMPUTED_VALUE"""),131100.0)</f>
        <v>131100</v>
      </c>
      <c r="AV840" s="14">
        <f>IFERROR(__xludf.DUMMYFUNCTION("""COMPUTED_VALUE"""),0.5)</f>
        <v>0.5</v>
      </c>
      <c r="AW840" s="14">
        <f>IFERROR(__xludf.DUMMYFUNCTION("""COMPUTED_VALUE"""),6.7)</f>
        <v>6.7</v>
      </c>
      <c r="AX840" s="14">
        <f>IFERROR(__xludf.DUMMYFUNCTION("""COMPUTED_VALUE"""),116400.0)</f>
        <v>116400</v>
      </c>
      <c r="AY840" s="14">
        <f>IFERROR(__xludf.DUMMYFUNCTION("""COMPUTED_VALUE"""),1.1)</f>
        <v>1.1</v>
      </c>
      <c r="AZ840" s="14">
        <f>IFERROR(__xludf.DUMMYFUNCTION("""COMPUTED_VALUE"""),0.086)</f>
        <v>0.086</v>
      </c>
      <c r="BA840" s="14">
        <f t="shared" si="1"/>
        <v>7.886</v>
      </c>
    </row>
    <row r="841" ht="14.25" customHeight="1">
      <c r="A841" s="10" t="str">
        <f>IFERROR(__xludf.DUMMYFUNCTION("""COMPUTED_VALUE"""),"080523DU03")</f>
        <v>080523DU03</v>
      </c>
      <c r="B841" s="12" t="str">
        <f>IFERROR(__xludf.DUMMYFUNCTION("""COMPUTED_VALUE"""),"QYO-Monte Blanco")</f>
        <v>QYO-Monte Blanco</v>
      </c>
      <c r="C841" s="12"/>
      <c r="D841" s="12"/>
      <c r="E841" s="44">
        <f>IFERROR(__xludf.DUMMYFUNCTION("""COMPUTED_VALUE"""),45054.0)</f>
        <v>45054</v>
      </c>
      <c r="F841" s="12" t="str">
        <f>IFERROR(__xludf.DUMMYFUNCTION("""COMPUTED_VALUE"""),"TIPO I")</f>
        <v>TIPO I</v>
      </c>
      <c r="G841" s="12" t="str">
        <f>IFERROR(__xludf.DUMMYFUNCTION("""COMPUTED_VALUE"""),"Lecho rocoso-arenoso, se percibe olor, se observa color y residuos solidos en el cauce.")</f>
        <v>Lecho rocoso-arenoso, se percibe olor, se observa color y residuos solidos en el cauce.</v>
      </c>
      <c r="H841" s="45">
        <f>IFERROR(__xludf.DUMMYFUNCTION("""COMPUTED_VALUE"""),0.6666666666678793)</f>
        <v>0.6666666667</v>
      </c>
      <c r="I841" s="45">
        <f>IFERROR(__xludf.DUMMYFUNCTION("""COMPUTED_VALUE"""),0.75)</f>
        <v>0.75</v>
      </c>
      <c r="J841" s="12">
        <f>IFERROR(__xludf.DUMMYFUNCTION("""COMPUTED_VALUE"""),4.0)</f>
        <v>4</v>
      </c>
      <c r="K841" s="12">
        <f>IFERROR(__xludf.DUMMYFUNCTION("""COMPUTED_VALUE"""),0.33)</f>
        <v>0.33</v>
      </c>
      <c r="L841" s="14">
        <f>IFERROR(__xludf.DUMMYFUNCTION("""COMPUTED_VALUE"""),394.664)</f>
        <v>394.664</v>
      </c>
      <c r="M841" s="14">
        <f>IFERROR(__xludf.DUMMYFUNCTION("""COMPUTED_VALUE"""),399.414)</f>
        <v>399.414</v>
      </c>
      <c r="N841" s="14">
        <f>IFERROR(__xludf.DUMMYFUNCTION("""COMPUTED_VALUE"""),406.137)</f>
        <v>406.137</v>
      </c>
      <c r="O841" s="14">
        <f>IFERROR(__xludf.DUMMYFUNCTION("""COMPUTED_VALUE"""),413.215)</f>
        <v>413.215</v>
      </c>
      <c r="P841" s="14">
        <f>IFERROR(__xludf.DUMMYFUNCTION("""COMPUTED_VALUE"""),420.673)</f>
        <v>420.673</v>
      </c>
      <c r="Q841" s="14">
        <f>IFERROR(__xludf.DUMMYFUNCTION("""COMPUTED_VALUE"""),406.821)</f>
        <v>406.821</v>
      </c>
      <c r="R841" s="48">
        <f>IFERROR(__xludf.DUMMYFUNCTION("""COMPUTED_VALUE"""),7.49)</f>
        <v>7.49</v>
      </c>
      <c r="S841" s="48">
        <f>IFERROR(__xludf.DUMMYFUNCTION("""COMPUTED_VALUE"""),7.39)</f>
        <v>7.39</v>
      </c>
      <c r="T841" s="48">
        <f>IFERROR(__xludf.DUMMYFUNCTION("""COMPUTED_VALUE"""),7.47)</f>
        <v>7.47</v>
      </c>
      <c r="U841" s="48">
        <f>IFERROR(__xludf.DUMMYFUNCTION("""COMPUTED_VALUE"""),7.38)</f>
        <v>7.38</v>
      </c>
      <c r="V841" s="48">
        <f>IFERROR(__xludf.DUMMYFUNCTION("""COMPUTED_VALUE"""),7.51)</f>
        <v>7.51</v>
      </c>
      <c r="W841" s="14">
        <f>IFERROR(__xludf.DUMMYFUNCTION("""COMPUTED_VALUE"""),7.447999999999999)</f>
        <v>7.448</v>
      </c>
      <c r="X841" s="14">
        <f>IFERROR(__xludf.DUMMYFUNCTION("""COMPUTED_VALUE"""),17.0)</f>
        <v>17</v>
      </c>
      <c r="Y841" s="14">
        <f>IFERROR(__xludf.DUMMYFUNCTION("""COMPUTED_VALUE"""),16.8)</f>
        <v>16.8</v>
      </c>
      <c r="Z841" s="14">
        <f>IFERROR(__xludf.DUMMYFUNCTION("""COMPUTED_VALUE"""),16.5)</f>
        <v>16.5</v>
      </c>
      <c r="AA841" s="14">
        <f>IFERROR(__xludf.DUMMYFUNCTION("""COMPUTED_VALUE"""),16.4)</f>
        <v>16.4</v>
      </c>
      <c r="AB841" s="14">
        <f>IFERROR(__xludf.DUMMYFUNCTION("""COMPUTED_VALUE"""),16.3)</f>
        <v>16.3</v>
      </c>
      <c r="AC841" s="14">
        <f>IFERROR(__xludf.DUMMYFUNCTION("""COMPUTED_VALUE"""),16.599999999999998)</f>
        <v>16.6</v>
      </c>
      <c r="AD841" s="48">
        <f>IFERROR(__xludf.DUMMYFUNCTION("""COMPUTED_VALUE"""),255.0)</f>
        <v>255</v>
      </c>
      <c r="AE841" s="48">
        <f>IFERROR(__xludf.DUMMYFUNCTION("""COMPUTED_VALUE"""),258.0)</f>
        <v>258</v>
      </c>
      <c r="AF841" s="48">
        <f>IFERROR(__xludf.DUMMYFUNCTION("""COMPUTED_VALUE"""),255.0)</f>
        <v>255</v>
      </c>
      <c r="AG841" s="48">
        <f>IFERROR(__xludf.DUMMYFUNCTION("""COMPUTED_VALUE"""),261.0)</f>
        <v>261</v>
      </c>
      <c r="AH841" s="48">
        <f>IFERROR(__xludf.DUMMYFUNCTION("""COMPUTED_VALUE"""),259.0)</f>
        <v>259</v>
      </c>
      <c r="AI841" s="14">
        <f>IFERROR(__xludf.DUMMYFUNCTION("""COMPUTED_VALUE"""),257.6)</f>
        <v>257.6</v>
      </c>
      <c r="AJ841" s="14">
        <f>IFERROR(__xludf.DUMMYFUNCTION("""COMPUTED_VALUE"""),3.99)</f>
        <v>3.99</v>
      </c>
      <c r="AK841" s="14">
        <f>IFERROR(__xludf.DUMMYFUNCTION("""COMPUTED_VALUE"""),3.96)</f>
        <v>3.96</v>
      </c>
      <c r="AL841" s="14">
        <f>IFERROR(__xludf.DUMMYFUNCTION("""COMPUTED_VALUE"""),3.82)</f>
        <v>3.82</v>
      </c>
      <c r="AM841" s="14">
        <f>IFERROR(__xludf.DUMMYFUNCTION("""COMPUTED_VALUE"""),3.86)</f>
        <v>3.86</v>
      </c>
      <c r="AN841" s="14">
        <f>IFERROR(__xludf.DUMMYFUNCTION("""COMPUTED_VALUE"""),3.82)</f>
        <v>3.82</v>
      </c>
      <c r="AO841" s="14">
        <f>IFERROR(__xludf.DUMMYFUNCTION("""COMPUTED_VALUE"""),3.8899999999999997)</f>
        <v>3.89</v>
      </c>
      <c r="AP841" s="14">
        <f>IFERROR(__xludf.DUMMYFUNCTION("""COMPUTED_VALUE"""),18.0)</f>
        <v>18</v>
      </c>
      <c r="AQ841" s="14">
        <f>IFERROR(__xludf.DUMMYFUNCTION("""COMPUTED_VALUE"""),27.0)</f>
        <v>27</v>
      </c>
      <c r="AR841" s="14">
        <f>IFERROR(__xludf.DUMMYFUNCTION("""COMPUTED_VALUE"""),35.0)</f>
        <v>35</v>
      </c>
      <c r="AS841" s="14">
        <f>IFERROR(__xludf.DUMMYFUNCTION("""COMPUTED_VALUE"""),1.2)</f>
        <v>1.2</v>
      </c>
      <c r="AT841" s="14">
        <f>IFERROR(__xludf.DUMMYFUNCTION("""COMPUTED_VALUE"""),2.63)</f>
        <v>2.63</v>
      </c>
      <c r="AU841" s="14">
        <f>IFERROR(__xludf.DUMMYFUNCTION("""COMPUTED_VALUE"""),988000.0)</f>
        <v>988000</v>
      </c>
      <c r="AV841" s="14">
        <f>IFERROR(__xludf.DUMMYFUNCTION("""COMPUTED_VALUE"""),0.76)</f>
        <v>0.76</v>
      </c>
      <c r="AW841" s="14">
        <f>IFERROR(__xludf.DUMMYFUNCTION("""COMPUTED_VALUE"""),8.7)</f>
        <v>8.7</v>
      </c>
      <c r="AX841" s="14">
        <f>IFERROR(__xludf.DUMMYFUNCTION("""COMPUTED_VALUE"""),520000.0)</f>
        <v>520000</v>
      </c>
      <c r="AY841" s="14">
        <f>IFERROR(__xludf.DUMMYFUNCTION("""COMPUTED_VALUE"""),0.7)</f>
        <v>0.7</v>
      </c>
      <c r="AZ841" s="14">
        <f>IFERROR(__xludf.DUMMYFUNCTION("""COMPUTED_VALUE"""),0.159)</f>
        <v>0.159</v>
      </c>
      <c r="BA841" s="14">
        <f t="shared" si="1"/>
        <v>9.559</v>
      </c>
    </row>
    <row r="842" ht="14.25" customHeight="1">
      <c r="A842" s="10" t="str">
        <f>IFERROR(__xludf.DUMMYFUNCTION("""COMPUTED_VALUE"""),"120523MO01")</f>
        <v>120523MO01</v>
      </c>
      <c r="B842" s="12" t="str">
        <f>IFERROR(__xludf.DUMMYFUNCTION("""COMPUTED_VALUE"""),"COR-Humedal Córdoba")</f>
        <v>COR-Humedal Córdoba</v>
      </c>
      <c r="C842" s="12"/>
      <c r="D842" s="12"/>
      <c r="E842" s="44">
        <f>IFERROR(__xludf.DUMMYFUNCTION("""COMPUTED_VALUE"""),45058.0)</f>
        <v>45058</v>
      </c>
      <c r="F842" s="12" t="str">
        <f>IFERROR(__xludf.DUMMYFUNCTION("""COMPUTED_VALUE"""),"TIPO I")</f>
        <v>TIPO I</v>
      </c>
      <c r="G842" s="12" t="str">
        <f>IFERROR(__xludf.DUMMYFUNCTION("""COMPUTED_VALUE"""),"Toma de muestra en canal natural, lecho rocoso, arenoso, lodoso, durante el monitoreo se observa color y se percibe olor.
Altitud: 2560msnm. ")</f>
        <v>Toma de muestra en canal natural, lecho rocoso, arenoso, lodoso, durante el monitoreo se observa color y se percibe olor.
Altitud: 2560msnm. </v>
      </c>
      <c r="H842" s="45">
        <f>IFERROR(__xludf.DUMMYFUNCTION("""COMPUTED_VALUE"""),0.25)</f>
        <v>0.25</v>
      </c>
      <c r="I842" s="45">
        <f>IFERROR(__xludf.DUMMYFUNCTION("""COMPUTED_VALUE"""),0.3333333333321207)</f>
        <v>0.3333333333</v>
      </c>
      <c r="J842" s="12">
        <f>IFERROR(__xludf.DUMMYFUNCTION("""COMPUTED_VALUE"""),7.2)</f>
        <v>7.2</v>
      </c>
      <c r="K842" s="12">
        <f>IFERROR(__xludf.DUMMYFUNCTION("""COMPUTED_VALUE"""),0.54)</f>
        <v>0.54</v>
      </c>
      <c r="L842" s="14">
        <f>IFERROR(__xludf.DUMMYFUNCTION("""COMPUTED_VALUE"""),522.917)</f>
        <v>522.917</v>
      </c>
      <c r="M842" s="14">
        <f>IFERROR(__xludf.DUMMYFUNCTION("""COMPUTED_VALUE"""),541.43)</f>
        <v>541.43</v>
      </c>
      <c r="N842" s="14">
        <f>IFERROR(__xludf.DUMMYFUNCTION("""COMPUTED_VALUE"""),549.805)</f>
        <v>549.805</v>
      </c>
      <c r="O842" s="14">
        <f>IFERROR(__xludf.DUMMYFUNCTION("""COMPUTED_VALUE"""),539.604)</f>
        <v>539.604</v>
      </c>
      <c r="P842" s="14">
        <f>IFERROR(__xludf.DUMMYFUNCTION("""COMPUTED_VALUE"""),541.633)</f>
        <v>541.633</v>
      </c>
      <c r="Q842" s="14">
        <f>IFERROR(__xludf.DUMMYFUNCTION("""COMPUTED_VALUE"""),539.078)</f>
        <v>539.078</v>
      </c>
      <c r="R842" s="48">
        <f>IFERROR(__xludf.DUMMYFUNCTION("""COMPUTED_VALUE"""),7.04)</f>
        <v>7.04</v>
      </c>
      <c r="S842" s="48">
        <f>IFERROR(__xludf.DUMMYFUNCTION("""COMPUTED_VALUE"""),7.0)</f>
        <v>7</v>
      </c>
      <c r="T842" s="48">
        <f>IFERROR(__xludf.DUMMYFUNCTION("""COMPUTED_VALUE"""),6.75)</f>
        <v>6.75</v>
      </c>
      <c r="U842" s="48">
        <f>IFERROR(__xludf.DUMMYFUNCTION("""COMPUTED_VALUE"""),6.82)</f>
        <v>6.82</v>
      </c>
      <c r="V842" s="48">
        <f>IFERROR(__xludf.DUMMYFUNCTION("""COMPUTED_VALUE"""),6.99)</f>
        <v>6.99</v>
      </c>
      <c r="W842" s="14">
        <f>IFERROR(__xludf.DUMMYFUNCTION("""COMPUTED_VALUE"""),6.92)</f>
        <v>6.92</v>
      </c>
      <c r="X842" s="14">
        <f>IFERROR(__xludf.DUMMYFUNCTION("""COMPUTED_VALUE"""),18.0)</f>
        <v>18</v>
      </c>
      <c r="Y842" s="14">
        <f>IFERROR(__xludf.DUMMYFUNCTION("""COMPUTED_VALUE"""),18.0)</f>
        <v>18</v>
      </c>
      <c r="Z842" s="14">
        <f>IFERROR(__xludf.DUMMYFUNCTION("""COMPUTED_VALUE"""),18.3)</f>
        <v>18.3</v>
      </c>
      <c r="AA842" s="14">
        <f>IFERROR(__xludf.DUMMYFUNCTION("""COMPUTED_VALUE"""),18.1)</f>
        <v>18.1</v>
      </c>
      <c r="AB842" s="14">
        <f>IFERROR(__xludf.DUMMYFUNCTION("""COMPUTED_VALUE"""),17.8)</f>
        <v>17.8</v>
      </c>
      <c r="AC842" s="14">
        <f>IFERROR(__xludf.DUMMYFUNCTION("""COMPUTED_VALUE"""),18.04)</f>
        <v>18.04</v>
      </c>
      <c r="AD842" s="48">
        <f>IFERROR(__xludf.DUMMYFUNCTION("""COMPUTED_VALUE"""),316.0)</f>
        <v>316</v>
      </c>
      <c r="AE842" s="48">
        <f>IFERROR(__xludf.DUMMYFUNCTION("""COMPUTED_VALUE"""),326.0)</f>
        <v>326</v>
      </c>
      <c r="AF842" s="48">
        <f>IFERROR(__xludf.DUMMYFUNCTION("""COMPUTED_VALUE"""),290.0)</f>
        <v>290</v>
      </c>
      <c r="AG842" s="48">
        <f>IFERROR(__xludf.DUMMYFUNCTION("""COMPUTED_VALUE"""),330.0)</f>
        <v>330</v>
      </c>
      <c r="AH842" s="48">
        <f>IFERROR(__xludf.DUMMYFUNCTION("""COMPUTED_VALUE"""),314.0)</f>
        <v>314</v>
      </c>
      <c r="AI842" s="14">
        <f>IFERROR(__xludf.DUMMYFUNCTION("""COMPUTED_VALUE"""),315.2)</f>
        <v>315.2</v>
      </c>
      <c r="AJ842" s="14">
        <f>IFERROR(__xludf.DUMMYFUNCTION("""COMPUTED_VALUE"""),1.1)</f>
        <v>1.1</v>
      </c>
      <c r="AK842" s="14">
        <f>IFERROR(__xludf.DUMMYFUNCTION("""COMPUTED_VALUE"""),2.08)</f>
        <v>2.08</v>
      </c>
      <c r="AL842" s="14">
        <f>IFERROR(__xludf.DUMMYFUNCTION("""COMPUTED_VALUE"""),1.58)</f>
        <v>1.58</v>
      </c>
      <c r="AM842" s="14">
        <f>IFERROR(__xludf.DUMMYFUNCTION("""COMPUTED_VALUE"""),1.21)</f>
        <v>1.21</v>
      </c>
      <c r="AN842" s="14">
        <f>IFERROR(__xludf.DUMMYFUNCTION("""COMPUTED_VALUE"""),1.4)</f>
        <v>1.4</v>
      </c>
      <c r="AO842" s="14">
        <f>IFERROR(__xludf.DUMMYFUNCTION("""COMPUTED_VALUE"""),1.4739999999999998)</f>
        <v>1.474</v>
      </c>
      <c r="AP842" s="14">
        <f>IFERROR(__xludf.DUMMYFUNCTION("""COMPUTED_VALUE"""),26.0)</f>
        <v>26</v>
      </c>
      <c r="AQ842" s="14">
        <f>IFERROR(__xludf.DUMMYFUNCTION("""COMPUTED_VALUE"""),39.0)</f>
        <v>39</v>
      </c>
      <c r="AR842" s="14">
        <f>IFERROR(__xludf.DUMMYFUNCTION("""COMPUTED_VALUE"""),32.0)</f>
        <v>32</v>
      </c>
      <c r="AS842" s="14">
        <f>IFERROR(__xludf.DUMMYFUNCTION("""COMPUTED_VALUE"""),1.2)</f>
        <v>1.2</v>
      </c>
      <c r="AT842" s="14">
        <f>IFERROR(__xludf.DUMMYFUNCTION("""COMPUTED_VALUE"""),1.84)</f>
        <v>1.84</v>
      </c>
      <c r="AU842" s="14">
        <f>IFERROR(__xludf.DUMMYFUNCTION("""COMPUTED_VALUE"""),1565000.0)</f>
        <v>1565000</v>
      </c>
      <c r="AV842" s="14">
        <f>IFERROR(__xludf.DUMMYFUNCTION("""COMPUTED_VALUE"""),1.0)</f>
        <v>1</v>
      </c>
      <c r="AW842" s="14">
        <f>IFERROR(__xludf.DUMMYFUNCTION("""COMPUTED_VALUE"""),12.6)</f>
        <v>12.6</v>
      </c>
      <c r="AX842" s="14">
        <f>IFERROR(__xludf.DUMMYFUNCTION("""COMPUTED_VALUE"""),1450000.0)</f>
        <v>1450000</v>
      </c>
      <c r="AY842" s="14">
        <f>IFERROR(__xludf.DUMMYFUNCTION("""COMPUTED_VALUE"""),0.4)</f>
        <v>0.4</v>
      </c>
      <c r="AZ842" s="14">
        <f>IFERROR(__xludf.DUMMYFUNCTION("""COMPUTED_VALUE"""),0.007)</f>
        <v>0.007</v>
      </c>
      <c r="BA842" s="14">
        <f t="shared" si="1"/>
        <v>13.007</v>
      </c>
    </row>
    <row r="843" ht="14.25" customHeight="1">
      <c r="A843" s="10" t="str">
        <f>IFERROR(__xludf.DUMMYFUNCTION("""COMPUTED_VALUE"""),"090523DU03")</f>
        <v>090523DU03</v>
      </c>
      <c r="B843" s="12" t="str">
        <f>IFERROR(__xludf.DUMMYFUNCTION("""COMPUTED_VALUE"""),"QCH-Cantarrana")</f>
        <v>QCH-Cantarrana</v>
      </c>
      <c r="C843" s="12"/>
      <c r="D843" s="12"/>
      <c r="E843" s="44">
        <f>IFERROR(__xludf.DUMMYFUNCTION("""COMPUTED_VALUE"""),45055.0)</f>
        <v>45055</v>
      </c>
      <c r="F843" s="12" t="str">
        <f>IFERROR(__xludf.DUMMYFUNCTION("""COMPUTED_VALUE"""),"TIPO I")</f>
        <v>TIPO I</v>
      </c>
      <c r="G843" s="12" t="str">
        <f>IFERROR(__xludf.DUMMYFUNCTION("""COMPUTED_VALUE"""),"Monitoreo realizado en canal lecho rocoso y lodoso; durante las toma de muestra se observa color, residuos sólidos y se percibe olor. 
Altitud: 2655 ms.n.m.")</f>
        <v>Monitoreo realizado en canal lecho rocoso y lodoso; durante las toma de muestra se observa color, residuos sólidos y se percibe olor. 
Altitud: 2655 ms.n.m.</v>
      </c>
      <c r="H843" s="45">
        <f>IFERROR(__xludf.DUMMYFUNCTION("""COMPUTED_VALUE"""),0.5833333333321207)</f>
        <v>0.5833333333</v>
      </c>
      <c r="I843" s="45">
        <f>IFERROR(__xludf.DUMMYFUNCTION("""COMPUTED_VALUE"""),0.6666666666678793)</f>
        <v>0.6666666667</v>
      </c>
      <c r="J843" s="12">
        <f>IFERROR(__xludf.DUMMYFUNCTION("""COMPUTED_VALUE"""),0.8)</f>
        <v>0.8</v>
      </c>
      <c r="K843" s="12">
        <f>IFERROR(__xludf.DUMMYFUNCTION("""COMPUTED_VALUE"""),0.38)</f>
        <v>0.38</v>
      </c>
      <c r="L843" s="14">
        <f>IFERROR(__xludf.DUMMYFUNCTION("""COMPUTED_VALUE"""),50.545)</f>
        <v>50.545</v>
      </c>
      <c r="M843" s="14">
        <f>IFERROR(__xludf.DUMMYFUNCTION("""COMPUTED_VALUE"""),53.744)</f>
        <v>53.744</v>
      </c>
      <c r="N843" s="14">
        <f>IFERROR(__xludf.DUMMYFUNCTION("""COMPUTED_VALUE"""),54.482)</f>
        <v>54.482</v>
      </c>
      <c r="O843" s="14">
        <f>IFERROR(__xludf.DUMMYFUNCTION("""COMPUTED_VALUE"""),54.827)</f>
        <v>54.827</v>
      </c>
      <c r="P843" s="14">
        <f>IFERROR(__xludf.DUMMYFUNCTION("""COMPUTED_VALUE"""),53.976)</f>
        <v>53.976</v>
      </c>
      <c r="Q843" s="14">
        <f>IFERROR(__xludf.DUMMYFUNCTION("""COMPUTED_VALUE"""),53.515)</f>
        <v>53.515</v>
      </c>
      <c r="R843" s="48">
        <f>IFERROR(__xludf.DUMMYFUNCTION("""COMPUTED_VALUE"""),7.99)</f>
        <v>7.99</v>
      </c>
      <c r="S843" s="48">
        <f>IFERROR(__xludf.DUMMYFUNCTION("""COMPUTED_VALUE"""),7.88)</f>
        <v>7.88</v>
      </c>
      <c r="T843" s="48">
        <f>IFERROR(__xludf.DUMMYFUNCTION("""COMPUTED_VALUE"""),7.95)</f>
        <v>7.95</v>
      </c>
      <c r="U843" s="48">
        <f>IFERROR(__xludf.DUMMYFUNCTION("""COMPUTED_VALUE"""),7.83)</f>
        <v>7.83</v>
      </c>
      <c r="V843" s="48">
        <f>IFERROR(__xludf.DUMMYFUNCTION("""COMPUTED_VALUE"""),7.3)</f>
        <v>7.3</v>
      </c>
      <c r="W843" s="14">
        <f>IFERROR(__xludf.DUMMYFUNCTION("""COMPUTED_VALUE"""),7.789999999999999)</f>
        <v>7.79</v>
      </c>
      <c r="X843" s="14">
        <f>IFERROR(__xludf.DUMMYFUNCTION("""COMPUTED_VALUE"""),19.0)</f>
        <v>19</v>
      </c>
      <c r="Y843" s="14">
        <f>IFERROR(__xludf.DUMMYFUNCTION("""COMPUTED_VALUE"""),19.2)</f>
        <v>19.2</v>
      </c>
      <c r="Z843" s="14">
        <f>IFERROR(__xludf.DUMMYFUNCTION("""COMPUTED_VALUE"""),19.3)</f>
        <v>19.3</v>
      </c>
      <c r="AA843" s="14">
        <f>IFERROR(__xludf.DUMMYFUNCTION("""COMPUTED_VALUE"""),19.5)</f>
        <v>19.5</v>
      </c>
      <c r="AB843" s="14">
        <f>IFERROR(__xludf.DUMMYFUNCTION("""COMPUTED_VALUE"""),19.3)</f>
        <v>19.3</v>
      </c>
      <c r="AC843" s="14">
        <f>IFERROR(__xludf.DUMMYFUNCTION("""COMPUTED_VALUE"""),19.259999999999998)</f>
        <v>19.26</v>
      </c>
      <c r="AD843" s="48">
        <f>IFERROR(__xludf.DUMMYFUNCTION("""COMPUTED_VALUE"""),802.0)</f>
        <v>802</v>
      </c>
      <c r="AE843" s="48">
        <f>IFERROR(__xludf.DUMMYFUNCTION("""COMPUTED_VALUE"""),734.0)</f>
        <v>734</v>
      </c>
      <c r="AF843" s="48">
        <f>IFERROR(__xludf.DUMMYFUNCTION("""COMPUTED_VALUE"""),782.0)</f>
        <v>782</v>
      </c>
      <c r="AG843" s="48">
        <f>IFERROR(__xludf.DUMMYFUNCTION("""COMPUTED_VALUE"""),757.0)</f>
        <v>757</v>
      </c>
      <c r="AH843" s="48">
        <f>IFERROR(__xludf.DUMMYFUNCTION("""COMPUTED_VALUE"""),775.0)</f>
        <v>775</v>
      </c>
      <c r="AI843" s="14">
        <f>IFERROR(__xludf.DUMMYFUNCTION("""COMPUTED_VALUE"""),770.0)</f>
        <v>770</v>
      </c>
      <c r="AJ843" s="14">
        <f>IFERROR(__xludf.DUMMYFUNCTION("""COMPUTED_VALUE"""),3.93)</f>
        <v>3.93</v>
      </c>
      <c r="AK843" s="14">
        <f>IFERROR(__xludf.DUMMYFUNCTION("""COMPUTED_VALUE"""),2.61)</f>
        <v>2.61</v>
      </c>
      <c r="AL843" s="14">
        <f>IFERROR(__xludf.DUMMYFUNCTION("""COMPUTED_VALUE"""),3.17)</f>
        <v>3.17</v>
      </c>
      <c r="AM843" s="14">
        <f>IFERROR(__xludf.DUMMYFUNCTION("""COMPUTED_VALUE"""),3.33)</f>
        <v>3.33</v>
      </c>
      <c r="AN843" s="14">
        <f>IFERROR(__xludf.DUMMYFUNCTION("""COMPUTED_VALUE"""),3.14)</f>
        <v>3.14</v>
      </c>
      <c r="AO843" s="14">
        <f>IFERROR(__xludf.DUMMYFUNCTION("""COMPUTED_VALUE"""),3.2359999999999998)</f>
        <v>3.236</v>
      </c>
      <c r="AP843" s="14">
        <f>IFERROR(__xludf.DUMMYFUNCTION("""COMPUTED_VALUE"""),284.0)</f>
        <v>284</v>
      </c>
      <c r="AQ843" s="14">
        <f>IFERROR(__xludf.DUMMYFUNCTION("""COMPUTED_VALUE"""),412.0)</f>
        <v>412</v>
      </c>
      <c r="AR843" s="14">
        <f>IFERROR(__xludf.DUMMYFUNCTION("""COMPUTED_VALUE"""),269.0)</f>
        <v>269</v>
      </c>
      <c r="AS843" s="14">
        <f>IFERROR(__xludf.DUMMYFUNCTION("""COMPUTED_VALUE"""),114.0)</f>
        <v>114</v>
      </c>
      <c r="AT843" s="14">
        <f>IFERROR(__xludf.DUMMYFUNCTION("""COMPUTED_VALUE"""),5.56)</f>
        <v>5.56</v>
      </c>
      <c r="AU843" s="14">
        <f>IFERROR(__xludf.DUMMYFUNCTION("""COMPUTED_VALUE"""),2.381E7)</f>
        <v>23810000</v>
      </c>
      <c r="AV843" s="14">
        <f>IFERROR(__xludf.DUMMYFUNCTION("""COMPUTED_VALUE"""),3.52)</f>
        <v>3.52</v>
      </c>
      <c r="AW843" s="14">
        <f>IFERROR(__xludf.DUMMYFUNCTION("""COMPUTED_VALUE"""),33.9)</f>
        <v>33.9</v>
      </c>
      <c r="AX843" s="14">
        <f>IFERROR(__xludf.DUMMYFUNCTION("""COMPUTED_VALUE"""),1.284E7)</f>
        <v>12840000</v>
      </c>
      <c r="AY843" s="14">
        <f>IFERROR(__xludf.DUMMYFUNCTION("""COMPUTED_VALUE"""),1.3)</f>
        <v>1.3</v>
      </c>
      <c r="AZ843" s="14">
        <f>IFERROR(__xludf.DUMMYFUNCTION("""COMPUTED_VALUE"""),0.007)</f>
        <v>0.007</v>
      </c>
      <c r="BA843" s="14">
        <f t="shared" si="1"/>
        <v>35.207</v>
      </c>
    </row>
    <row r="844" ht="14.25" customHeight="1">
      <c r="A844" s="10" t="str">
        <f>IFERROR(__xludf.DUMMYFUNCTION("""COMPUTED_VALUE"""),"100523HA01")</f>
        <v>100523HA01</v>
      </c>
      <c r="B844" s="12" t="str">
        <f>IFERROR(__xludf.DUMMYFUNCTION("""COMPUTED_VALUE"""),"QTR-Mochuelo Bajo")</f>
        <v>QTR-Mochuelo Bajo</v>
      </c>
      <c r="C844" s="12"/>
      <c r="D844" s="12"/>
      <c r="E844" s="44">
        <f>IFERROR(__xludf.DUMMYFUNCTION("""COMPUTED_VALUE"""),45056.0)</f>
        <v>45056</v>
      </c>
      <c r="F844" s="12" t="str">
        <f>IFERROR(__xludf.DUMMYFUNCTION("""COMPUTED_VALUE"""),"TIPO I")</f>
        <v>TIPO I</v>
      </c>
      <c r="G844" s="12" t="str">
        <f>IFERROR(__xludf.DUMMYFUNCTION("""COMPUTED_VALUE"""),"Monitoreo realizado en canal natural lecho arenoso y rocoso; durante las toma de muestra se observa espuma, residuos sólidos, color y se percibe olor. ")</f>
        <v>Monitoreo realizado en canal natural lecho arenoso y rocoso; durante las toma de muestra se observa espuma, residuos sólidos, color y se percibe olor. </v>
      </c>
      <c r="H844" s="45">
        <f>IFERROR(__xludf.DUMMYFUNCTION("""COMPUTED_VALUE"""),0.3333333333321207)</f>
        <v>0.3333333333</v>
      </c>
      <c r="I844" s="45">
        <f>IFERROR(__xludf.DUMMYFUNCTION("""COMPUTED_VALUE"""),0.4166666666678793)</f>
        <v>0.4166666667</v>
      </c>
      <c r="J844" s="12">
        <f>IFERROR(__xludf.DUMMYFUNCTION("""COMPUTED_VALUE"""),0.9)</f>
        <v>0.9</v>
      </c>
      <c r="K844" s="12">
        <f>IFERROR(__xludf.DUMMYFUNCTION("""COMPUTED_VALUE"""),0.27)</f>
        <v>0.27</v>
      </c>
      <c r="L844" s="14">
        <f>IFERROR(__xludf.DUMMYFUNCTION("""COMPUTED_VALUE"""),21.101)</f>
        <v>21.101</v>
      </c>
      <c r="M844" s="14">
        <f>IFERROR(__xludf.DUMMYFUNCTION("""COMPUTED_VALUE"""),22.53)</f>
        <v>22.53</v>
      </c>
      <c r="N844" s="14">
        <f>IFERROR(__xludf.DUMMYFUNCTION("""COMPUTED_VALUE"""),23.261)</f>
        <v>23.261</v>
      </c>
      <c r="O844" s="14">
        <f>IFERROR(__xludf.DUMMYFUNCTION("""COMPUTED_VALUE"""),23.676)</f>
        <v>23.676</v>
      </c>
      <c r="P844" s="14">
        <f>IFERROR(__xludf.DUMMYFUNCTION("""COMPUTED_VALUE"""),24.261)</f>
        <v>24.261</v>
      </c>
      <c r="Q844" s="14">
        <f>IFERROR(__xludf.DUMMYFUNCTION("""COMPUTED_VALUE"""),22.966)</f>
        <v>22.966</v>
      </c>
      <c r="R844" s="48">
        <f>IFERROR(__xludf.DUMMYFUNCTION("""COMPUTED_VALUE"""),7.59)</f>
        <v>7.59</v>
      </c>
      <c r="S844" s="48">
        <f>IFERROR(__xludf.DUMMYFUNCTION("""COMPUTED_VALUE"""),7.79)</f>
        <v>7.79</v>
      </c>
      <c r="T844" s="48">
        <f>IFERROR(__xludf.DUMMYFUNCTION("""COMPUTED_VALUE"""),7.75)</f>
        <v>7.75</v>
      </c>
      <c r="U844" s="48">
        <f>IFERROR(__xludf.DUMMYFUNCTION("""COMPUTED_VALUE"""),7.63)</f>
        <v>7.63</v>
      </c>
      <c r="V844" s="48">
        <f>IFERROR(__xludf.DUMMYFUNCTION("""COMPUTED_VALUE"""),7.58)</f>
        <v>7.58</v>
      </c>
      <c r="W844" s="14">
        <f>IFERROR(__xludf.DUMMYFUNCTION("""COMPUTED_VALUE"""),7.667999999999999)</f>
        <v>7.668</v>
      </c>
      <c r="X844" s="14">
        <f>IFERROR(__xludf.DUMMYFUNCTION("""COMPUTED_VALUE"""),16.5)</f>
        <v>16.5</v>
      </c>
      <c r="Y844" s="14">
        <f>IFERROR(__xludf.DUMMYFUNCTION("""COMPUTED_VALUE"""),16.6)</f>
        <v>16.6</v>
      </c>
      <c r="Z844" s="14">
        <f>IFERROR(__xludf.DUMMYFUNCTION("""COMPUTED_VALUE"""),17.0)</f>
        <v>17</v>
      </c>
      <c r="AA844" s="14">
        <f>IFERROR(__xludf.DUMMYFUNCTION("""COMPUTED_VALUE"""),17.5)</f>
        <v>17.5</v>
      </c>
      <c r="AB844" s="14">
        <f>IFERROR(__xludf.DUMMYFUNCTION("""COMPUTED_VALUE"""),18.0)</f>
        <v>18</v>
      </c>
      <c r="AC844" s="14">
        <f>IFERROR(__xludf.DUMMYFUNCTION("""COMPUTED_VALUE"""),17.119999999999997)</f>
        <v>17.12</v>
      </c>
      <c r="AD844" s="48">
        <f>IFERROR(__xludf.DUMMYFUNCTION("""COMPUTED_VALUE"""),572.0)</f>
        <v>572</v>
      </c>
      <c r="AE844" s="48">
        <f>IFERROR(__xludf.DUMMYFUNCTION("""COMPUTED_VALUE"""),644.0)</f>
        <v>644</v>
      </c>
      <c r="AF844" s="48">
        <f>IFERROR(__xludf.DUMMYFUNCTION("""COMPUTED_VALUE"""),695.0)</f>
        <v>695</v>
      </c>
      <c r="AG844" s="48">
        <f>IFERROR(__xludf.DUMMYFUNCTION("""COMPUTED_VALUE"""),609.0)</f>
        <v>609</v>
      </c>
      <c r="AH844" s="48">
        <f>IFERROR(__xludf.DUMMYFUNCTION("""COMPUTED_VALUE"""),617.0)</f>
        <v>617</v>
      </c>
      <c r="AI844" s="14">
        <f>IFERROR(__xludf.DUMMYFUNCTION("""COMPUTED_VALUE"""),627.4)</f>
        <v>627.4</v>
      </c>
      <c r="AJ844" s="14">
        <f>IFERROR(__xludf.DUMMYFUNCTION("""COMPUTED_VALUE"""),4.4)</f>
        <v>4.4</v>
      </c>
      <c r="AK844" s="14">
        <f>IFERROR(__xludf.DUMMYFUNCTION("""COMPUTED_VALUE"""),4.51)</f>
        <v>4.51</v>
      </c>
      <c r="AL844" s="14">
        <f>IFERROR(__xludf.DUMMYFUNCTION("""COMPUTED_VALUE"""),4.09)</f>
        <v>4.09</v>
      </c>
      <c r="AM844" s="14">
        <f>IFERROR(__xludf.DUMMYFUNCTION("""COMPUTED_VALUE"""),4.23)</f>
        <v>4.23</v>
      </c>
      <c r="AN844" s="14">
        <f>IFERROR(__xludf.DUMMYFUNCTION("""COMPUTED_VALUE"""),3.95)</f>
        <v>3.95</v>
      </c>
      <c r="AO844" s="14">
        <f>IFERROR(__xludf.DUMMYFUNCTION("""COMPUTED_VALUE"""),4.236)</f>
        <v>4.236</v>
      </c>
      <c r="AP844" s="14">
        <f>IFERROR(__xludf.DUMMYFUNCTION("""COMPUTED_VALUE"""),32.0)</f>
        <v>32</v>
      </c>
      <c r="AQ844" s="14">
        <f>IFERROR(__xludf.DUMMYFUNCTION("""COMPUTED_VALUE"""),48.0)</f>
        <v>48</v>
      </c>
      <c r="AR844" s="14">
        <f>IFERROR(__xludf.DUMMYFUNCTION("""COMPUTED_VALUE"""),67.0)</f>
        <v>67</v>
      </c>
      <c r="AS844" s="14">
        <f>IFERROR(__xludf.DUMMYFUNCTION("""COMPUTED_VALUE"""),26.0)</f>
        <v>26</v>
      </c>
      <c r="AT844" s="14">
        <f>IFERROR(__xludf.DUMMYFUNCTION("""COMPUTED_VALUE"""),2.75)</f>
        <v>2.75</v>
      </c>
      <c r="AU844" s="14">
        <f>IFERROR(__xludf.DUMMYFUNCTION("""COMPUTED_VALUE"""),2.046E7)</f>
        <v>20460000</v>
      </c>
      <c r="AV844" s="14">
        <f>IFERROR(__xludf.DUMMYFUNCTION("""COMPUTED_VALUE"""),2.74)</f>
        <v>2.74</v>
      </c>
      <c r="AW844" s="14">
        <f>IFERROR(__xludf.DUMMYFUNCTION("""COMPUTED_VALUE"""),21.8)</f>
        <v>21.8</v>
      </c>
      <c r="AX844" s="14">
        <f>IFERROR(__xludf.DUMMYFUNCTION("""COMPUTED_VALUE"""),1723000.0)</f>
        <v>1723000</v>
      </c>
      <c r="AY844" s="14">
        <f>IFERROR(__xludf.DUMMYFUNCTION("""COMPUTED_VALUE"""),0.7)</f>
        <v>0.7</v>
      </c>
      <c r="AZ844" s="14">
        <f>IFERROR(__xludf.DUMMYFUNCTION("""COMPUTED_VALUE"""),0.007)</f>
        <v>0.007</v>
      </c>
      <c r="BA844" s="14">
        <f t="shared" si="1"/>
        <v>22.507</v>
      </c>
    </row>
    <row r="845" ht="14.25" customHeight="1">
      <c r="A845" s="10" t="str">
        <f>IFERROR(__xludf.DUMMYFUNCTION("""COMPUTED_VALUE"""),"110523DA04")</f>
        <v>110523DA04</v>
      </c>
      <c r="B845" s="12" t="str">
        <f>IFERROR(__xludf.DUMMYFUNCTION("""COMPUTED_VALUE"""),"CON-Bella Suiza")</f>
        <v>CON-Bella Suiza</v>
      </c>
      <c r="C845" s="12"/>
      <c r="D845" s="12"/>
      <c r="E845" s="44">
        <f>IFERROR(__xludf.DUMMYFUNCTION("""COMPUTED_VALUE"""),45057.0)</f>
        <v>45057</v>
      </c>
      <c r="F845" s="12" t="str">
        <f>IFERROR(__xludf.DUMMYFUNCTION("""COMPUTED_VALUE"""),"TIPO I")</f>
        <v>TIPO I</v>
      </c>
      <c r="G845" s="12" t="str">
        <f>IFERROR(__xludf.DUMMYFUNCTION("""COMPUTED_VALUE"""),"Monitoreo realizado en canal con estructura en concreto y lecho arenoso; durante las toma de muestra se observan residuos sólidos en la margen del cauce, no se percibe olor y no se observa color.  ")</f>
        <v>Monitoreo realizado en canal con estructura en concreto y lecho arenoso; durante las toma de muestra se observan residuos sólidos en la margen del cauce, no se percibe olor y no se observa color.  </v>
      </c>
      <c r="H845" s="45">
        <f>IFERROR(__xludf.DUMMYFUNCTION("""COMPUTED_VALUE"""),0.5)</f>
        <v>0.5</v>
      </c>
      <c r="I845" s="45">
        <f>IFERROR(__xludf.DUMMYFUNCTION("""COMPUTED_VALUE"""),0.5833333333321207)</f>
        <v>0.5833333333</v>
      </c>
      <c r="J845" s="12">
        <f>IFERROR(__xludf.DUMMYFUNCTION("""COMPUTED_VALUE"""),1.1)</f>
        <v>1.1</v>
      </c>
      <c r="K845" s="12">
        <f>IFERROR(__xludf.DUMMYFUNCTION("""COMPUTED_VALUE"""),0.09)</f>
        <v>0.09</v>
      </c>
      <c r="L845" s="14">
        <f>IFERROR(__xludf.DUMMYFUNCTION("""COMPUTED_VALUE"""),15.531)</f>
        <v>15.531</v>
      </c>
      <c r="M845" s="14">
        <f>IFERROR(__xludf.DUMMYFUNCTION("""COMPUTED_VALUE"""),15.858)</f>
        <v>15.858</v>
      </c>
      <c r="N845" s="14">
        <f>IFERROR(__xludf.DUMMYFUNCTION("""COMPUTED_VALUE"""),16.404)</f>
        <v>16.404</v>
      </c>
      <c r="O845" s="14">
        <f>IFERROR(__xludf.DUMMYFUNCTION("""COMPUTED_VALUE"""),16.705)</f>
        <v>16.705</v>
      </c>
      <c r="P845" s="14">
        <f>IFERROR(__xludf.DUMMYFUNCTION("""COMPUTED_VALUE"""),17.48)</f>
        <v>17.48</v>
      </c>
      <c r="Q845" s="14">
        <f>IFERROR(__xludf.DUMMYFUNCTION("""COMPUTED_VALUE"""),16.396)</f>
        <v>16.396</v>
      </c>
      <c r="R845" s="48">
        <f>IFERROR(__xludf.DUMMYFUNCTION("""COMPUTED_VALUE"""),7.01)</f>
        <v>7.01</v>
      </c>
      <c r="S845" s="48">
        <f>IFERROR(__xludf.DUMMYFUNCTION("""COMPUTED_VALUE"""),6.96)</f>
        <v>6.96</v>
      </c>
      <c r="T845" s="48">
        <f>IFERROR(__xludf.DUMMYFUNCTION("""COMPUTED_VALUE"""),6.78)</f>
        <v>6.78</v>
      </c>
      <c r="U845" s="48">
        <f>IFERROR(__xludf.DUMMYFUNCTION("""COMPUTED_VALUE"""),6.69)</f>
        <v>6.69</v>
      </c>
      <c r="V845" s="48">
        <f>IFERROR(__xludf.DUMMYFUNCTION("""COMPUTED_VALUE"""),6.62)</f>
        <v>6.62</v>
      </c>
      <c r="W845" s="14">
        <f>IFERROR(__xludf.DUMMYFUNCTION("""COMPUTED_VALUE"""),6.812)</f>
        <v>6.812</v>
      </c>
      <c r="X845" s="14">
        <f>IFERROR(__xludf.DUMMYFUNCTION("""COMPUTED_VALUE"""),18.5)</f>
        <v>18.5</v>
      </c>
      <c r="Y845" s="14">
        <f>IFERROR(__xludf.DUMMYFUNCTION("""COMPUTED_VALUE"""),18.8)</f>
        <v>18.8</v>
      </c>
      <c r="Z845" s="14">
        <f>IFERROR(__xludf.DUMMYFUNCTION("""COMPUTED_VALUE"""),18.6)</f>
        <v>18.6</v>
      </c>
      <c r="AA845" s="14">
        <f>IFERROR(__xludf.DUMMYFUNCTION("""COMPUTED_VALUE"""),19.1)</f>
        <v>19.1</v>
      </c>
      <c r="AB845" s="14">
        <f>IFERROR(__xludf.DUMMYFUNCTION("""COMPUTED_VALUE"""),18.7)</f>
        <v>18.7</v>
      </c>
      <c r="AC845" s="14">
        <f>IFERROR(__xludf.DUMMYFUNCTION("""COMPUTED_VALUE"""),18.740000000000002)</f>
        <v>18.74</v>
      </c>
      <c r="AD845" s="48">
        <f>IFERROR(__xludf.DUMMYFUNCTION("""COMPUTED_VALUE"""),218.0)</f>
        <v>218</v>
      </c>
      <c r="AE845" s="48">
        <f>IFERROR(__xludf.DUMMYFUNCTION("""COMPUTED_VALUE"""),214.0)</f>
        <v>214</v>
      </c>
      <c r="AF845" s="48">
        <f>IFERROR(__xludf.DUMMYFUNCTION("""COMPUTED_VALUE"""),238.0)</f>
        <v>238</v>
      </c>
      <c r="AG845" s="48">
        <f>IFERROR(__xludf.DUMMYFUNCTION("""COMPUTED_VALUE"""),229.0)</f>
        <v>229</v>
      </c>
      <c r="AH845" s="48">
        <f>IFERROR(__xludf.DUMMYFUNCTION("""COMPUTED_VALUE"""),205.0)</f>
        <v>205</v>
      </c>
      <c r="AI845" s="14">
        <f>IFERROR(__xludf.DUMMYFUNCTION("""COMPUTED_VALUE"""),220.8)</f>
        <v>220.8</v>
      </c>
      <c r="AJ845" s="14">
        <f>IFERROR(__xludf.DUMMYFUNCTION("""COMPUTED_VALUE"""),2.79)</f>
        <v>2.79</v>
      </c>
      <c r="AK845" s="14">
        <f>IFERROR(__xludf.DUMMYFUNCTION("""COMPUTED_VALUE"""),2.88)</f>
        <v>2.88</v>
      </c>
      <c r="AL845" s="14">
        <f>IFERROR(__xludf.DUMMYFUNCTION("""COMPUTED_VALUE"""),2.73)</f>
        <v>2.73</v>
      </c>
      <c r="AM845" s="14">
        <f>IFERROR(__xludf.DUMMYFUNCTION("""COMPUTED_VALUE"""),2.67)</f>
        <v>2.67</v>
      </c>
      <c r="AN845" s="14">
        <f>IFERROR(__xludf.DUMMYFUNCTION("""COMPUTED_VALUE"""),2.77)</f>
        <v>2.77</v>
      </c>
      <c r="AO845" s="14">
        <f>IFERROR(__xludf.DUMMYFUNCTION("""COMPUTED_VALUE"""),2.768)</f>
        <v>2.768</v>
      </c>
      <c r="AP845" s="14">
        <f>IFERROR(__xludf.DUMMYFUNCTION("""COMPUTED_VALUE"""),17.0)</f>
        <v>17</v>
      </c>
      <c r="AQ845" s="14">
        <f>IFERROR(__xludf.DUMMYFUNCTION("""COMPUTED_VALUE"""),25.0)</f>
        <v>25</v>
      </c>
      <c r="AR845" s="14">
        <f>IFERROR(__xludf.DUMMYFUNCTION("""COMPUTED_VALUE"""),11.0)</f>
        <v>11</v>
      </c>
      <c r="AS845" s="14">
        <f>IFERROR(__xludf.DUMMYFUNCTION("""COMPUTED_VALUE"""),1.2)</f>
        <v>1.2</v>
      </c>
      <c r="AT845" s="14">
        <f>IFERROR(__xludf.DUMMYFUNCTION("""COMPUTED_VALUE"""),1.81)</f>
        <v>1.81</v>
      </c>
      <c r="AU845" s="14">
        <f>IFERROR(__xludf.DUMMYFUNCTION("""COMPUTED_VALUE"""),186000.0)</f>
        <v>186000</v>
      </c>
      <c r="AV845" s="14">
        <f>IFERROR(__xludf.DUMMYFUNCTION("""COMPUTED_VALUE"""),0.24)</f>
        <v>0.24</v>
      </c>
      <c r="AW845" s="14">
        <f>IFERROR(__xludf.DUMMYFUNCTION("""COMPUTED_VALUE"""),4.8)</f>
        <v>4.8</v>
      </c>
      <c r="AX845" s="14">
        <f>IFERROR(__xludf.DUMMYFUNCTION("""COMPUTED_VALUE"""),63300.0)</f>
        <v>63300</v>
      </c>
      <c r="AY845" s="14">
        <f>IFERROR(__xludf.DUMMYFUNCTION("""COMPUTED_VALUE"""),3.0)</f>
        <v>3</v>
      </c>
      <c r="AZ845" s="14">
        <f>IFERROR(__xludf.DUMMYFUNCTION("""COMPUTED_VALUE"""),0.105)</f>
        <v>0.105</v>
      </c>
      <c r="BA845" s="14">
        <f t="shared" si="1"/>
        <v>7.905</v>
      </c>
    </row>
    <row r="846" ht="14.25" customHeight="1">
      <c r="A846" s="10" t="str">
        <f>IFERROR(__xludf.DUMMYFUNCTION("""COMPUTED_VALUE"""),"120523MO02")</f>
        <v>120523MO02</v>
      </c>
      <c r="B846" s="12" t="str">
        <f>IFERROR(__xludf.DUMMYFUNCTION("""COMPUTED_VALUE"""),"COR-Prado Veraniego")</f>
        <v>COR-Prado Veraniego</v>
      </c>
      <c r="C846" s="12"/>
      <c r="D846" s="12"/>
      <c r="E846" s="44">
        <f>IFERROR(__xludf.DUMMYFUNCTION("""COMPUTED_VALUE"""),45058.0)</f>
        <v>45058</v>
      </c>
      <c r="F846" s="12" t="str">
        <f>IFERROR(__xludf.DUMMYFUNCTION("""COMPUTED_VALUE"""),"TIPO I")</f>
        <v>TIPO I</v>
      </c>
      <c r="G846" s="12" t="str">
        <f>IFERROR(__xludf.DUMMYFUNCTION("""COMPUTED_VALUE"""),"Monitoreo realizado en canal con estructura en concreto; durante las toma de muestra se observa color y se percibe olor. ")</f>
        <v>Monitoreo realizado en canal con estructura en concreto; durante las toma de muestra se observa color y se percibe olor. </v>
      </c>
      <c r="H846" s="45">
        <f>IFERROR(__xludf.DUMMYFUNCTION("""COMPUTED_VALUE"""),0.4166666666678793)</f>
        <v>0.4166666667</v>
      </c>
      <c r="I846" s="45">
        <f>IFERROR(__xludf.DUMMYFUNCTION("""COMPUTED_VALUE"""),0.5)</f>
        <v>0.5</v>
      </c>
      <c r="J846" s="12">
        <f>IFERROR(__xludf.DUMMYFUNCTION("""COMPUTED_VALUE"""),3.6)</f>
        <v>3.6</v>
      </c>
      <c r="K846" s="12">
        <f>IFERROR(__xludf.DUMMYFUNCTION("""COMPUTED_VALUE"""),0.15)</f>
        <v>0.15</v>
      </c>
      <c r="L846" s="14">
        <f>IFERROR(__xludf.DUMMYFUNCTION("""COMPUTED_VALUE"""),109.925)</f>
        <v>109.925</v>
      </c>
      <c r="M846" s="14">
        <f>IFERROR(__xludf.DUMMYFUNCTION("""COMPUTED_VALUE"""),108.63)</f>
        <v>108.63</v>
      </c>
      <c r="N846" s="14">
        <f>IFERROR(__xludf.DUMMYFUNCTION("""COMPUTED_VALUE"""),107.399)</f>
        <v>107.399</v>
      </c>
      <c r="O846" s="14">
        <f>IFERROR(__xludf.DUMMYFUNCTION("""COMPUTED_VALUE"""),106.215)</f>
        <v>106.215</v>
      </c>
      <c r="P846" s="14">
        <f>IFERROR(__xludf.DUMMYFUNCTION("""COMPUTED_VALUE"""),108.153)</f>
        <v>108.153</v>
      </c>
      <c r="Q846" s="14">
        <f>IFERROR(__xludf.DUMMYFUNCTION("""COMPUTED_VALUE"""),108.065)</f>
        <v>108.065</v>
      </c>
      <c r="R846" s="48">
        <f>IFERROR(__xludf.DUMMYFUNCTION("""COMPUTED_VALUE"""),8.46)</f>
        <v>8.46</v>
      </c>
      <c r="S846" s="48">
        <f>IFERROR(__xludf.DUMMYFUNCTION("""COMPUTED_VALUE"""),8.65)</f>
        <v>8.65</v>
      </c>
      <c r="T846" s="48">
        <f>IFERROR(__xludf.DUMMYFUNCTION("""COMPUTED_VALUE"""),8.72)</f>
        <v>8.72</v>
      </c>
      <c r="U846" s="48">
        <f>IFERROR(__xludf.DUMMYFUNCTION("""COMPUTED_VALUE"""),8.66)</f>
        <v>8.66</v>
      </c>
      <c r="V846" s="48">
        <f>IFERROR(__xludf.DUMMYFUNCTION("""COMPUTED_VALUE"""),8.55)</f>
        <v>8.55</v>
      </c>
      <c r="W846" s="14">
        <f>IFERROR(__xludf.DUMMYFUNCTION("""COMPUTED_VALUE"""),8.607999999999999)</f>
        <v>8.608</v>
      </c>
      <c r="X846" s="14">
        <f>IFERROR(__xludf.DUMMYFUNCTION("""COMPUTED_VALUE"""),21.1)</f>
        <v>21.1</v>
      </c>
      <c r="Y846" s="14">
        <f>IFERROR(__xludf.DUMMYFUNCTION("""COMPUTED_VALUE"""),21.3)</f>
        <v>21.3</v>
      </c>
      <c r="Z846" s="14">
        <f>IFERROR(__xludf.DUMMYFUNCTION("""COMPUTED_VALUE"""),21.5)</f>
        <v>21.5</v>
      </c>
      <c r="AA846" s="14">
        <f>IFERROR(__xludf.DUMMYFUNCTION("""COMPUTED_VALUE"""),21.8)</f>
        <v>21.8</v>
      </c>
      <c r="AB846" s="14">
        <f>IFERROR(__xludf.DUMMYFUNCTION("""COMPUTED_VALUE"""),22.2)</f>
        <v>22.2</v>
      </c>
      <c r="AC846" s="14">
        <f>IFERROR(__xludf.DUMMYFUNCTION("""COMPUTED_VALUE"""),21.580000000000002)</f>
        <v>21.58</v>
      </c>
      <c r="AD846" s="48">
        <f>IFERROR(__xludf.DUMMYFUNCTION("""COMPUTED_VALUE"""),358.0)</f>
        <v>358</v>
      </c>
      <c r="AE846" s="48">
        <f>IFERROR(__xludf.DUMMYFUNCTION("""COMPUTED_VALUE"""),351.0)</f>
        <v>351</v>
      </c>
      <c r="AF846" s="48">
        <f>IFERROR(__xludf.DUMMYFUNCTION("""COMPUTED_VALUE"""),359.0)</f>
        <v>359</v>
      </c>
      <c r="AG846" s="48">
        <f>IFERROR(__xludf.DUMMYFUNCTION("""COMPUTED_VALUE"""),372.0)</f>
        <v>372</v>
      </c>
      <c r="AH846" s="48">
        <f>IFERROR(__xludf.DUMMYFUNCTION("""COMPUTED_VALUE"""),367.0)</f>
        <v>367</v>
      </c>
      <c r="AI846" s="14">
        <f>IFERROR(__xludf.DUMMYFUNCTION("""COMPUTED_VALUE"""),361.4)</f>
        <v>361.4</v>
      </c>
      <c r="AJ846" s="14">
        <f>IFERROR(__xludf.DUMMYFUNCTION("""COMPUTED_VALUE"""),6.5)</f>
        <v>6.5</v>
      </c>
      <c r="AK846" s="14">
        <f>IFERROR(__xludf.DUMMYFUNCTION("""COMPUTED_VALUE"""),6.25)</f>
        <v>6.25</v>
      </c>
      <c r="AL846" s="14">
        <f>IFERROR(__xludf.DUMMYFUNCTION("""COMPUTED_VALUE"""),6.86)</f>
        <v>6.86</v>
      </c>
      <c r="AM846" s="14">
        <f>IFERROR(__xludf.DUMMYFUNCTION("""COMPUTED_VALUE"""),6.72)</f>
        <v>6.72</v>
      </c>
      <c r="AN846" s="14">
        <f>IFERROR(__xludf.DUMMYFUNCTION("""COMPUTED_VALUE"""),6.61)</f>
        <v>6.61</v>
      </c>
      <c r="AO846" s="14">
        <f>IFERROR(__xludf.DUMMYFUNCTION("""COMPUTED_VALUE"""),6.587999999999999)</f>
        <v>6.588</v>
      </c>
      <c r="AP846" s="14">
        <f>IFERROR(__xludf.DUMMYFUNCTION("""COMPUTED_VALUE"""),23.0)</f>
        <v>23</v>
      </c>
      <c r="AQ846" s="14">
        <f>IFERROR(__xludf.DUMMYFUNCTION("""COMPUTED_VALUE"""),36.0)</f>
        <v>36</v>
      </c>
      <c r="AR846" s="14">
        <f>IFERROR(__xludf.DUMMYFUNCTION("""COMPUTED_VALUE"""),42.0)</f>
        <v>42</v>
      </c>
      <c r="AS846" s="14">
        <f>IFERROR(__xludf.DUMMYFUNCTION("""COMPUTED_VALUE"""),1.2)</f>
        <v>1.2</v>
      </c>
      <c r="AT846" s="14">
        <f>IFERROR(__xludf.DUMMYFUNCTION("""COMPUTED_VALUE"""),1.74)</f>
        <v>1.74</v>
      </c>
      <c r="AU846" s="14">
        <f>IFERROR(__xludf.DUMMYFUNCTION("""COMPUTED_VALUE"""),172500.0)</f>
        <v>172500</v>
      </c>
      <c r="AV846" s="14">
        <f>IFERROR(__xludf.DUMMYFUNCTION("""COMPUTED_VALUE"""),0.74)</f>
        <v>0.74</v>
      </c>
      <c r="AW846" s="14">
        <f>IFERROR(__xludf.DUMMYFUNCTION("""COMPUTED_VALUE"""),10.1)</f>
        <v>10.1</v>
      </c>
      <c r="AX846" s="14">
        <f>IFERROR(__xludf.DUMMYFUNCTION("""COMPUTED_VALUE"""),161600.0)</f>
        <v>161600</v>
      </c>
      <c r="AY846" s="14">
        <f>IFERROR(__xludf.DUMMYFUNCTION("""COMPUTED_VALUE"""),0.9)</f>
        <v>0.9</v>
      </c>
      <c r="AZ846" s="14">
        <f>IFERROR(__xludf.DUMMYFUNCTION("""COMPUTED_VALUE"""),0.081)</f>
        <v>0.081</v>
      </c>
      <c r="BA846" s="14">
        <f t="shared" si="1"/>
        <v>11.081</v>
      </c>
    </row>
    <row r="847" ht="14.25" customHeight="1">
      <c r="A847" s="10" t="str">
        <f>IFERROR(__xludf.DUMMYFUNCTION("""COMPUTED_VALUE"""),"120523LA01")</f>
        <v>120523LA01</v>
      </c>
      <c r="B847" s="12" t="str">
        <f>IFERROR(__xludf.DUMMYFUNCTION("""COMPUTED_VALUE"""),"COR-Victoria Norte")</f>
        <v>COR-Victoria Norte</v>
      </c>
      <c r="C847" s="12"/>
      <c r="D847" s="12"/>
      <c r="E847" s="44">
        <f>IFERROR(__xludf.DUMMYFUNCTION("""COMPUTED_VALUE"""),45058.0)</f>
        <v>45058</v>
      </c>
      <c r="F847" s="12" t="str">
        <f>IFERROR(__xludf.DUMMYFUNCTION("""COMPUTED_VALUE"""),"TIPO I")</f>
        <v>TIPO I</v>
      </c>
      <c r="G847" s="12" t="str">
        <f>IFERROR(__xludf.DUMMYFUNCTION("""COMPUTED_VALUE"""),"Canal en concreto, lecho con lama, se observan residuos en el margen del canal aguas arriba y aguas abajo del punto de monitoreo; se percibe olor, se observan sólidos suspendidos, material flotante e iridiscencia, éste último podría estar asociado con la "&amp;"descomposición vegetal (Salitre). Altitud 2561 msnm")</f>
        <v>Canal en concreto, lecho con lama, se observan residuos en el margen del canal aguas arriba y aguas abajo del punto de monitoreo; se percibe olor, se observan sólidos suspendidos, material flotante e iridiscencia, éste último podría estar asociado con la descomposición vegetal (Salitre). Altitud 2561 msnm</v>
      </c>
      <c r="H847" s="45">
        <f>IFERROR(__xludf.DUMMYFUNCTION("""COMPUTED_VALUE"""),0.25)</f>
        <v>0.25</v>
      </c>
      <c r="I847" s="45">
        <f>IFERROR(__xludf.DUMMYFUNCTION("""COMPUTED_VALUE"""),0.3333333333321207)</f>
        <v>0.3333333333</v>
      </c>
      <c r="J847" s="12">
        <f>IFERROR(__xludf.DUMMYFUNCTION("""COMPUTED_VALUE"""),3.0)</f>
        <v>3</v>
      </c>
      <c r="K847" s="12">
        <f>IFERROR(__xludf.DUMMYFUNCTION("""COMPUTED_VALUE"""),0.16)</f>
        <v>0.16</v>
      </c>
      <c r="L847" s="14">
        <f>IFERROR(__xludf.DUMMYFUNCTION("""COMPUTED_VALUE"""),69.0)</f>
        <v>69</v>
      </c>
      <c r="M847" s="14">
        <f>IFERROR(__xludf.DUMMYFUNCTION("""COMPUTED_VALUE"""),70.479)</f>
        <v>70.479</v>
      </c>
      <c r="N847" s="14">
        <f>IFERROR(__xludf.DUMMYFUNCTION("""COMPUTED_VALUE"""),74.943)</f>
        <v>74.943</v>
      </c>
      <c r="O847" s="14">
        <f>IFERROR(__xludf.DUMMYFUNCTION("""COMPUTED_VALUE"""),79.472)</f>
        <v>79.472</v>
      </c>
      <c r="P847" s="14">
        <f>IFERROR(__xludf.DUMMYFUNCTION("""COMPUTED_VALUE"""),82.666)</f>
        <v>82.666</v>
      </c>
      <c r="Q847" s="14">
        <f>IFERROR(__xludf.DUMMYFUNCTION("""COMPUTED_VALUE"""),75.312)</f>
        <v>75.312</v>
      </c>
      <c r="R847" s="48">
        <f>IFERROR(__xludf.DUMMYFUNCTION("""COMPUTED_VALUE"""),7.0)</f>
        <v>7</v>
      </c>
      <c r="S847" s="48">
        <f>IFERROR(__xludf.DUMMYFUNCTION("""COMPUTED_VALUE"""),6.99)</f>
        <v>6.99</v>
      </c>
      <c r="T847" s="48">
        <f>IFERROR(__xludf.DUMMYFUNCTION("""COMPUTED_VALUE"""),7.05)</f>
        <v>7.05</v>
      </c>
      <c r="U847" s="48">
        <f>IFERROR(__xludf.DUMMYFUNCTION("""COMPUTED_VALUE"""),6.87)</f>
        <v>6.87</v>
      </c>
      <c r="V847" s="48">
        <f>IFERROR(__xludf.DUMMYFUNCTION("""COMPUTED_VALUE"""),7.14)</f>
        <v>7.14</v>
      </c>
      <c r="W847" s="14">
        <f>IFERROR(__xludf.DUMMYFUNCTION("""COMPUTED_VALUE"""),7.01)</f>
        <v>7.01</v>
      </c>
      <c r="X847" s="14">
        <f>IFERROR(__xludf.DUMMYFUNCTION("""COMPUTED_VALUE"""),18.0)</f>
        <v>18</v>
      </c>
      <c r="Y847" s="14">
        <f>IFERROR(__xludf.DUMMYFUNCTION("""COMPUTED_VALUE"""),18.1)</f>
        <v>18.1</v>
      </c>
      <c r="Z847" s="14">
        <f>IFERROR(__xludf.DUMMYFUNCTION("""COMPUTED_VALUE"""),19.7)</f>
        <v>19.7</v>
      </c>
      <c r="AA847" s="14">
        <f>IFERROR(__xludf.DUMMYFUNCTION("""COMPUTED_VALUE"""),18.3)</f>
        <v>18.3</v>
      </c>
      <c r="AB847" s="14">
        <f>IFERROR(__xludf.DUMMYFUNCTION("""COMPUTED_VALUE"""),19.1)</f>
        <v>19.1</v>
      </c>
      <c r="AC847" s="14">
        <f>IFERROR(__xludf.DUMMYFUNCTION("""COMPUTED_VALUE"""),18.639999999999997)</f>
        <v>18.64</v>
      </c>
      <c r="AD847" s="48">
        <f>IFERROR(__xludf.DUMMYFUNCTION("""COMPUTED_VALUE"""),345.0)</f>
        <v>345</v>
      </c>
      <c r="AE847" s="48">
        <f>IFERROR(__xludf.DUMMYFUNCTION("""COMPUTED_VALUE"""),327.0)</f>
        <v>327</v>
      </c>
      <c r="AF847" s="48">
        <f>IFERROR(__xludf.DUMMYFUNCTION("""COMPUTED_VALUE"""),319.0)</f>
        <v>319</v>
      </c>
      <c r="AG847" s="48">
        <f>IFERROR(__xludf.DUMMYFUNCTION("""COMPUTED_VALUE"""),349.0)</f>
        <v>349</v>
      </c>
      <c r="AH847" s="48">
        <f>IFERROR(__xludf.DUMMYFUNCTION("""COMPUTED_VALUE"""),354.0)</f>
        <v>354</v>
      </c>
      <c r="AI847" s="14">
        <f>IFERROR(__xludf.DUMMYFUNCTION("""COMPUTED_VALUE"""),338.8)</f>
        <v>338.8</v>
      </c>
      <c r="AJ847" s="14">
        <f>IFERROR(__xludf.DUMMYFUNCTION("""COMPUTED_VALUE"""),1.39)</f>
        <v>1.39</v>
      </c>
      <c r="AK847" s="14">
        <f>IFERROR(__xludf.DUMMYFUNCTION("""COMPUTED_VALUE"""),1.75)</f>
        <v>1.75</v>
      </c>
      <c r="AL847" s="14">
        <f>IFERROR(__xludf.DUMMYFUNCTION("""COMPUTED_VALUE"""),1.94)</f>
        <v>1.94</v>
      </c>
      <c r="AM847" s="14">
        <f>IFERROR(__xludf.DUMMYFUNCTION("""COMPUTED_VALUE"""),2.11)</f>
        <v>2.11</v>
      </c>
      <c r="AN847" s="14">
        <f>IFERROR(__xludf.DUMMYFUNCTION("""COMPUTED_VALUE"""),2.15)</f>
        <v>2.15</v>
      </c>
      <c r="AO847" s="14">
        <f>IFERROR(__xludf.DUMMYFUNCTION("""COMPUTED_VALUE"""),1.8679999999999999)</f>
        <v>1.868</v>
      </c>
      <c r="AP847" s="14">
        <f>IFERROR(__xludf.DUMMYFUNCTION("""COMPUTED_VALUE"""),17.0)</f>
        <v>17</v>
      </c>
      <c r="AQ847" s="14">
        <f>IFERROR(__xludf.DUMMYFUNCTION("""COMPUTED_VALUE"""),25.0)</f>
        <v>25</v>
      </c>
      <c r="AR847" s="14">
        <f>IFERROR(__xludf.DUMMYFUNCTION("""COMPUTED_VALUE"""),17.0)</f>
        <v>17</v>
      </c>
      <c r="AS847" s="14">
        <f>IFERROR(__xludf.DUMMYFUNCTION("""COMPUTED_VALUE"""),1.2)</f>
        <v>1.2</v>
      </c>
      <c r="AT847" s="14">
        <f>IFERROR(__xludf.DUMMYFUNCTION("""COMPUTED_VALUE"""),1.42)</f>
        <v>1.42</v>
      </c>
      <c r="AU847" s="14">
        <f>IFERROR(__xludf.DUMMYFUNCTION("""COMPUTED_VALUE"""),1.913E7)</f>
        <v>19130000</v>
      </c>
      <c r="AV847" s="14">
        <f>IFERROR(__xludf.DUMMYFUNCTION("""COMPUTED_VALUE"""),0.66)</f>
        <v>0.66</v>
      </c>
      <c r="AW847" s="14">
        <f>IFERROR(__xludf.DUMMYFUNCTION("""COMPUTED_VALUE"""),8.1)</f>
        <v>8.1</v>
      </c>
      <c r="AX847" s="14">
        <f>IFERROR(__xludf.DUMMYFUNCTION("""COMPUTED_VALUE"""),7830000.0)</f>
        <v>7830000</v>
      </c>
      <c r="AY847" s="14">
        <f>IFERROR(__xludf.DUMMYFUNCTION("""COMPUTED_VALUE"""),0.7)</f>
        <v>0.7</v>
      </c>
      <c r="AZ847" s="14">
        <f>IFERROR(__xludf.DUMMYFUNCTION("""COMPUTED_VALUE"""),0.083)</f>
        <v>0.083</v>
      </c>
      <c r="BA847" s="14">
        <f t="shared" si="1"/>
        <v>8.883</v>
      </c>
    </row>
    <row r="848" ht="14.25" customHeight="1">
      <c r="A848" s="10" t="str">
        <f>IFERROR(__xludf.DUMMYFUNCTION("""COMPUTED_VALUE"""),"090523WI02")</f>
        <v>090523WI02</v>
      </c>
      <c r="B848" s="12" t="str">
        <f>IFERROR(__xludf.DUMMYFUNCTION("""COMPUTED_VALUE"""),"QCH-La Orquídea")</f>
        <v>QCH-La Orquídea</v>
      </c>
      <c r="C848" s="12"/>
      <c r="D848" s="12"/>
      <c r="E848" s="44">
        <f>IFERROR(__xludf.DUMMYFUNCTION("""COMPUTED_VALUE"""),45055.0)</f>
        <v>45055</v>
      </c>
      <c r="F848" s="12" t="str">
        <f>IFERROR(__xludf.DUMMYFUNCTION("""COMPUTED_VALUE"""),"TIPO I")</f>
        <v>TIPO I</v>
      </c>
      <c r="G848" s="12" t="str">
        <f>IFERROR(__xludf.DUMMYFUNCTION("""COMPUTED_VALUE""")," se percibe olor, se observa color y residuos solidos alrededor del punto de monitoreo, el monitoreo se realiza al final de la tubería de canalización del tramo vial.")</f>
        <v> se percibe olor, se observa color y residuos solidos alrededor del punto de monitoreo, el monitoreo se realiza al final de la tubería de canalización del tramo vial.</v>
      </c>
      <c r="H848" s="45">
        <f>IFERROR(__xludf.DUMMYFUNCTION("""COMPUTED_VALUE"""),0.5)</f>
        <v>0.5</v>
      </c>
      <c r="I848" s="45">
        <f>IFERROR(__xludf.DUMMYFUNCTION("""COMPUTED_VALUE"""),0.5833333333321207)</f>
        <v>0.5833333333</v>
      </c>
      <c r="J848" s="12"/>
      <c r="K848" s="12"/>
      <c r="L848" s="14">
        <f>IFERROR(__xludf.DUMMYFUNCTION("""COMPUTED_VALUE"""),0.898)</f>
        <v>0.898</v>
      </c>
      <c r="M848" s="14">
        <f>IFERROR(__xludf.DUMMYFUNCTION("""COMPUTED_VALUE"""),0.93)</f>
        <v>0.93</v>
      </c>
      <c r="N848" s="14">
        <f>IFERROR(__xludf.DUMMYFUNCTION("""COMPUTED_VALUE"""),1.084)</f>
        <v>1.084</v>
      </c>
      <c r="O848" s="14">
        <f>IFERROR(__xludf.DUMMYFUNCTION("""COMPUTED_VALUE"""),1.019)</f>
        <v>1.019</v>
      </c>
      <c r="P848" s="14">
        <f>IFERROR(__xludf.DUMMYFUNCTION("""COMPUTED_VALUE"""),0.92)</f>
        <v>0.92</v>
      </c>
      <c r="Q848" s="14">
        <f>IFERROR(__xludf.DUMMYFUNCTION("""COMPUTED_VALUE"""),0.97)</f>
        <v>0.97</v>
      </c>
      <c r="R848" s="48">
        <f>IFERROR(__xludf.DUMMYFUNCTION("""COMPUTED_VALUE"""),8.09)</f>
        <v>8.09</v>
      </c>
      <c r="S848" s="48">
        <f>IFERROR(__xludf.DUMMYFUNCTION("""COMPUTED_VALUE"""),8.04)</f>
        <v>8.04</v>
      </c>
      <c r="T848" s="48">
        <f>IFERROR(__xludf.DUMMYFUNCTION("""COMPUTED_VALUE"""),7.94)</f>
        <v>7.94</v>
      </c>
      <c r="U848" s="48">
        <f>IFERROR(__xludf.DUMMYFUNCTION("""COMPUTED_VALUE"""),7.99)</f>
        <v>7.99</v>
      </c>
      <c r="V848" s="48">
        <f>IFERROR(__xludf.DUMMYFUNCTION("""COMPUTED_VALUE"""),7.86)</f>
        <v>7.86</v>
      </c>
      <c r="W848" s="14">
        <f>IFERROR(__xludf.DUMMYFUNCTION("""COMPUTED_VALUE"""),7.984)</f>
        <v>7.984</v>
      </c>
      <c r="X848" s="14">
        <f>IFERROR(__xludf.DUMMYFUNCTION("""COMPUTED_VALUE"""),18.6)</f>
        <v>18.6</v>
      </c>
      <c r="Y848" s="14">
        <f>IFERROR(__xludf.DUMMYFUNCTION("""COMPUTED_VALUE"""),18.7)</f>
        <v>18.7</v>
      </c>
      <c r="Z848" s="14">
        <f>IFERROR(__xludf.DUMMYFUNCTION("""COMPUTED_VALUE"""),19.1)</f>
        <v>19.1</v>
      </c>
      <c r="AA848" s="14">
        <f>IFERROR(__xludf.DUMMYFUNCTION("""COMPUTED_VALUE"""),18.7)</f>
        <v>18.7</v>
      </c>
      <c r="AB848" s="14">
        <f>IFERROR(__xludf.DUMMYFUNCTION("""COMPUTED_VALUE"""),18.8)</f>
        <v>18.8</v>
      </c>
      <c r="AC848" s="14">
        <f>IFERROR(__xludf.DUMMYFUNCTION("""COMPUTED_VALUE"""),18.779999999999998)</f>
        <v>18.78</v>
      </c>
      <c r="AD848" s="48">
        <f>IFERROR(__xludf.DUMMYFUNCTION("""COMPUTED_VALUE"""),569.0)</f>
        <v>569</v>
      </c>
      <c r="AE848" s="48">
        <f>IFERROR(__xludf.DUMMYFUNCTION("""COMPUTED_VALUE"""),469.0)</f>
        <v>469</v>
      </c>
      <c r="AF848" s="48">
        <f>IFERROR(__xludf.DUMMYFUNCTION("""COMPUTED_VALUE"""),462.0)</f>
        <v>462</v>
      </c>
      <c r="AG848" s="48">
        <f>IFERROR(__xludf.DUMMYFUNCTION("""COMPUTED_VALUE"""),580.0)</f>
        <v>580</v>
      </c>
      <c r="AH848" s="48">
        <f>IFERROR(__xludf.DUMMYFUNCTION("""COMPUTED_VALUE"""),531.0)</f>
        <v>531</v>
      </c>
      <c r="AI848" s="14">
        <f>IFERROR(__xludf.DUMMYFUNCTION("""COMPUTED_VALUE"""),522.2)</f>
        <v>522.2</v>
      </c>
      <c r="AJ848" s="14">
        <f>IFERROR(__xludf.DUMMYFUNCTION("""COMPUTED_VALUE"""),4.78)</f>
        <v>4.78</v>
      </c>
      <c r="AK848" s="14">
        <f>IFERROR(__xludf.DUMMYFUNCTION("""COMPUTED_VALUE"""),4.33)</f>
        <v>4.33</v>
      </c>
      <c r="AL848" s="14">
        <f>IFERROR(__xludf.DUMMYFUNCTION("""COMPUTED_VALUE"""),4.67)</f>
        <v>4.67</v>
      </c>
      <c r="AM848" s="14">
        <f>IFERROR(__xludf.DUMMYFUNCTION("""COMPUTED_VALUE"""),4.94)</f>
        <v>4.94</v>
      </c>
      <c r="AN848" s="14">
        <f>IFERROR(__xludf.DUMMYFUNCTION("""COMPUTED_VALUE"""),4.59)</f>
        <v>4.59</v>
      </c>
      <c r="AO848" s="14">
        <f>IFERROR(__xludf.DUMMYFUNCTION("""COMPUTED_VALUE"""),4.662)</f>
        <v>4.662</v>
      </c>
      <c r="AP848" s="14">
        <f>IFERROR(__xludf.DUMMYFUNCTION("""COMPUTED_VALUE"""),21.0)</f>
        <v>21</v>
      </c>
      <c r="AQ848" s="14">
        <f>IFERROR(__xludf.DUMMYFUNCTION("""COMPUTED_VALUE"""),33.0)</f>
        <v>33</v>
      </c>
      <c r="AR848" s="14">
        <f>IFERROR(__xludf.DUMMYFUNCTION("""COMPUTED_VALUE"""),30.0)</f>
        <v>30</v>
      </c>
      <c r="AS848" s="14">
        <f>IFERROR(__xludf.DUMMYFUNCTION("""COMPUTED_VALUE"""),1.2)</f>
        <v>1.2</v>
      </c>
      <c r="AT848" s="14">
        <f>IFERROR(__xludf.DUMMYFUNCTION("""COMPUTED_VALUE"""),1.31)</f>
        <v>1.31</v>
      </c>
      <c r="AU848" s="14">
        <f>IFERROR(__xludf.DUMMYFUNCTION("""COMPUTED_VALUE"""),865.0)</f>
        <v>865</v>
      </c>
      <c r="AV848" s="14">
        <f>IFERROR(__xludf.DUMMYFUNCTION("""COMPUTED_VALUE"""),0.06)</f>
        <v>0.06</v>
      </c>
      <c r="AW848" s="14">
        <f>IFERROR(__xludf.DUMMYFUNCTION("""COMPUTED_VALUE"""),4.2)</f>
        <v>4.2</v>
      </c>
      <c r="AX848" s="14">
        <f>IFERROR(__xludf.DUMMYFUNCTION("""COMPUTED_VALUE"""),29.1)</f>
        <v>29.1</v>
      </c>
      <c r="AY848" s="14">
        <f>IFERROR(__xludf.DUMMYFUNCTION("""COMPUTED_VALUE"""),2.1)</f>
        <v>2.1</v>
      </c>
      <c r="AZ848" s="14">
        <f>IFERROR(__xludf.DUMMYFUNCTION("""COMPUTED_VALUE"""),0.135)</f>
        <v>0.135</v>
      </c>
      <c r="BA848" s="14">
        <f t="shared" si="1"/>
        <v>6.435</v>
      </c>
    </row>
    <row r="849" ht="14.25" customHeight="1">
      <c r="A849" s="10" t="str">
        <f>IFERROR(__xludf.DUMMYFUNCTION("""COMPUTED_VALUE"""),"110523DA01")</f>
        <v>110523DA01</v>
      </c>
      <c r="B849" s="12" t="str">
        <f>IFERROR(__xludf.DUMMYFUNCTION("""COMPUTED_VALUE"""),"CON-Country")</f>
        <v>CON-Country</v>
      </c>
      <c r="C849" s="12"/>
      <c r="D849" s="12"/>
      <c r="E849" s="44">
        <f>IFERROR(__xludf.DUMMYFUNCTION("""COMPUTED_VALUE"""),45057.0)</f>
        <v>45057</v>
      </c>
      <c r="F849" s="12" t="str">
        <f>IFERROR(__xludf.DUMMYFUNCTION("""COMPUTED_VALUE"""),"TIPO I")</f>
        <v>TIPO I</v>
      </c>
      <c r="G849" s="12" t="str">
        <f>IFERROR(__xludf.DUMMYFUNCTION("""COMPUTED_VALUE"""),"Estructura del canal en concreto, se percibe olor, se observa color, residuos sólidos en las márgenes del cauce y se observa lama en el lecho.")</f>
        <v>Estructura del canal en concreto, se percibe olor, se observa color, residuos sólidos en las márgenes del cauce y se observa lama en el lecho.</v>
      </c>
      <c r="H849" s="45">
        <f>IFERROR(__xludf.DUMMYFUNCTION("""COMPUTED_VALUE"""),0.25)</f>
        <v>0.25</v>
      </c>
      <c r="I849" s="45">
        <f>IFERROR(__xludf.DUMMYFUNCTION("""COMPUTED_VALUE"""),0.3333333333321207)</f>
        <v>0.3333333333</v>
      </c>
      <c r="J849" s="12">
        <f>IFERROR(__xludf.DUMMYFUNCTION("""COMPUTED_VALUE"""),3.0)</f>
        <v>3</v>
      </c>
      <c r="K849" s="12">
        <f>IFERROR(__xludf.DUMMYFUNCTION("""COMPUTED_VALUE"""),0.1)</f>
        <v>0.1</v>
      </c>
      <c r="L849" s="14">
        <f>IFERROR(__xludf.DUMMYFUNCTION("""COMPUTED_VALUE"""),26.608)</f>
        <v>26.608</v>
      </c>
      <c r="M849" s="14">
        <f>IFERROR(__xludf.DUMMYFUNCTION("""COMPUTED_VALUE"""),27.639)</f>
        <v>27.639</v>
      </c>
      <c r="N849" s="14">
        <f>IFERROR(__xludf.DUMMYFUNCTION("""COMPUTED_VALUE"""),28.461)</f>
        <v>28.461</v>
      </c>
      <c r="O849" s="14">
        <f>IFERROR(__xludf.DUMMYFUNCTION("""COMPUTED_VALUE"""),29.259)</f>
        <v>29.259</v>
      </c>
      <c r="P849" s="14">
        <f>IFERROR(__xludf.DUMMYFUNCTION("""COMPUTED_VALUE"""),30.023)</f>
        <v>30.023</v>
      </c>
      <c r="Q849" s="14">
        <f>IFERROR(__xludf.DUMMYFUNCTION("""COMPUTED_VALUE"""),28.398)</f>
        <v>28.398</v>
      </c>
      <c r="R849" s="48">
        <f>IFERROR(__xludf.DUMMYFUNCTION("""COMPUTED_VALUE"""),7.3)</f>
        <v>7.3</v>
      </c>
      <c r="S849" s="48">
        <f>IFERROR(__xludf.DUMMYFUNCTION("""COMPUTED_VALUE"""),7.28)</f>
        <v>7.28</v>
      </c>
      <c r="T849" s="48">
        <f>IFERROR(__xludf.DUMMYFUNCTION("""COMPUTED_VALUE"""),7.32)</f>
        <v>7.32</v>
      </c>
      <c r="U849" s="48">
        <f>IFERROR(__xludf.DUMMYFUNCTION("""COMPUTED_VALUE"""),7.36)</f>
        <v>7.36</v>
      </c>
      <c r="V849" s="48">
        <f>IFERROR(__xludf.DUMMYFUNCTION("""COMPUTED_VALUE"""),7.41)</f>
        <v>7.41</v>
      </c>
      <c r="W849" s="14">
        <f>IFERROR(__xludf.DUMMYFUNCTION("""COMPUTED_VALUE"""),7.3340000000000005)</f>
        <v>7.334</v>
      </c>
      <c r="X849" s="14">
        <f>IFERROR(__xludf.DUMMYFUNCTION("""COMPUTED_VALUE"""),17.7)</f>
        <v>17.7</v>
      </c>
      <c r="Y849" s="14">
        <f>IFERROR(__xludf.DUMMYFUNCTION("""COMPUTED_VALUE"""),17.8)</f>
        <v>17.8</v>
      </c>
      <c r="Z849" s="14">
        <f>IFERROR(__xludf.DUMMYFUNCTION("""COMPUTED_VALUE"""),17.9)</f>
        <v>17.9</v>
      </c>
      <c r="AA849" s="14">
        <f>IFERROR(__xludf.DUMMYFUNCTION("""COMPUTED_VALUE"""),18.3)</f>
        <v>18.3</v>
      </c>
      <c r="AB849" s="14">
        <f>IFERROR(__xludf.DUMMYFUNCTION("""COMPUTED_VALUE"""),19.0)</f>
        <v>19</v>
      </c>
      <c r="AC849" s="14">
        <f>IFERROR(__xludf.DUMMYFUNCTION("""COMPUTED_VALUE"""),18.14)</f>
        <v>18.14</v>
      </c>
      <c r="AD849" s="48">
        <f>IFERROR(__xludf.DUMMYFUNCTION("""COMPUTED_VALUE"""),367.0)</f>
        <v>367</v>
      </c>
      <c r="AE849" s="48">
        <f>IFERROR(__xludf.DUMMYFUNCTION("""COMPUTED_VALUE"""),347.0)</f>
        <v>347</v>
      </c>
      <c r="AF849" s="48">
        <f>IFERROR(__xludf.DUMMYFUNCTION("""COMPUTED_VALUE"""),397.0)</f>
        <v>397</v>
      </c>
      <c r="AG849" s="48">
        <f>IFERROR(__xludf.DUMMYFUNCTION("""COMPUTED_VALUE"""),460.0)</f>
        <v>460</v>
      </c>
      <c r="AH849" s="48">
        <f>IFERROR(__xludf.DUMMYFUNCTION("""COMPUTED_VALUE"""),655.0)</f>
        <v>655</v>
      </c>
      <c r="AI849" s="14">
        <f>IFERROR(__xludf.DUMMYFUNCTION("""COMPUTED_VALUE"""),445.2)</f>
        <v>445.2</v>
      </c>
      <c r="AJ849" s="14">
        <f>IFERROR(__xludf.DUMMYFUNCTION("""COMPUTED_VALUE"""),2.31)</f>
        <v>2.31</v>
      </c>
      <c r="AK849" s="14">
        <f>IFERROR(__xludf.DUMMYFUNCTION("""COMPUTED_VALUE"""),2.26)</f>
        <v>2.26</v>
      </c>
      <c r="AL849" s="14">
        <f>IFERROR(__xludf.DUMMYFUNCTION("""COMPUTED_VALUE"""),2.13)</f>
        <v>2.13</v>
      </c>
      <c r="AM849" s="14">
        <f>IFERROR(__xludf.DUMMYFUNCTION("""COMPUTED_VALUE"""),2.02)</f>
        <v>2.02</v>
      </c>
      <c r="AN849" s="14">
        <f>IFERROR(__xludf.DUMMYFUNCTION("""COMPUTED_VALUE"""),1.95)</f>
        <v>1.95</v>
      </c>
      <c r="AO849" s="14">
        <f>IFERROR(__xludf.DUMMYFUNCTION("""COMPUTED_VALUE"""),2.134)</f>
        <v>2.134</v>
      </c>
      <c r="AP849" s="14">
        <f>IFERROR(__xludf.DUMMYFUNCTION("""COMPUTED_VALUE"""),36.0)</f>
        <v>36</v>
      </c>
      <c r="AQ849" s="14">
        <f>IFERROR(__xludf.DUMMYFUNCTION("""COMPUTED_VALUE"""),60.0)</f>
        <v>60</v>
      </c>
      <c r="AR849" s="14">
        <f>IFERROR(__xludf.DUMMYFUNCTION("""COMPUTED_VALUE"""),27.0)</f>
        <v>27</v>
      </c>
      <c r="AS849" s="14">
        <f>IFERROR(__xludf.DUMMYFUNCTION("""COMPUTED_VALUE"""),8.0)</f>
        <v>8</v>
      </c>
      <c r="AT849" s="14">
        <f>IFERROR(__xludf.DUMMYFUNCTION("""COMPUTED_VALUE"""),2.32)</f>
        <v>2.32</v>
      </c>
      <c r="AU849" s="14">
        <f>IFERROR(__xludf.DUMMYFUNCTION("""COMPUTED_VALUE"""),9.59E8)</f>
        <v>959000000</v>
      </c>
      <c r="AV849" s="14">
        <f>IFERROR(__xludf.DUMMYFUNCTION("""COMPUTED_VALUE"""),2.74)</f>
        <v>2.74</v>
      </c>
      <c r="AW849" s="14">
        <f>IFERROR(__xludf.DUMMYFUNCTION("""COMPUTED_VALUE"""),15.7)</f>
        <v>15.7</v>
      </c>
      <c r="AX849" s="14">
        <f>IFERROR(__xludf.DUMMYFUNCTION("""COMPUTED_VALUE"""),8.6E8)</f>
        <v>860000000</v>
      </c>
      <c r="AY849" s="14">
        <f>IFERROR(__xludf.DUMMYFUNCTION("""COMPUTED_VALUE"""),0.2)</f>
        <v>0.2</v>
      </c>
      <c r="AZ849" s="14">
        <f>IFERROR(__xludf.DUMMYFUNCTION("""COMPUTED_VALUE"""),0.007)</f>
        <v>0.007</v>
      </c>
      <c r="BA849" s="14">
        <f t="shared" si="1"/>
        <v>15.907</v>
      </c>
    </row>
    <row r="850" ht="14.25" customHeight="1">
      <c r="A850" s="10" t="str">
        <f>IFERROR(__xludf.DUMMYFUNCTION("""COMPUTED_VALUE"""),"100523HA02")</f>
        <v>100523HA02</v>
      </c>
      <c r="B850" s="12" t="str">
        <f>IFERROR(__xludf.DUMMYFUNCTION("""COMPUTED_VALUE"""),"QTR-Quiba")</f>
        <v>QTR-Quiba</v>
      </c>
      <c r="C850" s="12"/>
      <c r="D850" s="12"/>
      <c r="E850" s="44">
        <f>IFERROR(__xludf.DUMMYFUNCTION("""COMPUTED_VALUE"""),45056.0)</f>
        <v>45056</v>
      </c>
      <c r="F850" s="12" t="str">
        <f>IFERROR(__xludf.DUMMYFUNCTION("""COMPUTED_VALUE"""),"TIPO I")</f>
        <v>TIPO I</v>
      </c>
      <c r="G850" s="12" t="str">
        <f>IFERROR(__xludf.DUMMYFUNCTION("""COMPUTED_VALUE"""),"Canal natural, con lecho rocoso- arenoso, se observa color, material flotante y residuos solidos alrededor del punto de monitoreo, se percibe olor en el cuerpo de agua. En la toma de la segunda alícuota se presenta un cambio en la coloración del agua. Alt"&amp;"itud 2636 msnm.")</f>
        <v>Canal natural, con lecho rocoso- arenoso, se observa color, material flotante y residuos solidos alrededor del punto de monitoreo, se percibe olor en el cuerpo de agua. En la toma de la segunda alícuota se presenta un cambio en la coloración del agua. Altitud 2636 msnm.</v>
      </c>
      <c r="H850" s="45">
        <f>IFERROR(__xludf.DUMMYFUNCTION("""COMPUTED_VALUE"""),0.5)</f>
        <v>0.5</v>
      </c>
      <c r="I850" s="45">
        <f>IFERROR(__xludf.DUMMYFUNCTION("""COMPUTED_VALUE"""),0.5833333333321207)</f>
        <v>0.5833333333</v>
      </c>
      <c r="J850" s="12">
        <f>IFERROR(__xludf.DUMMYFUNCTION("""COMPUTED_VALUE"""),1.02)</f>
        <v>1.02</v>
      </c>
      <c r="K850" s="12">
        <f>IFERROR(__xludf.DUMMYFUNCTION("""COMPUTED_VALUE"""),0.23)</f>
        <v>0.23</v>
      </c>
      <c r="L850" s="14">
        <f>IFERROR(__xludf.DUMMYFUNCTION("""COMPUTED_VALUE"""),32.97)</f>
        <v>32.97</v>
      </c>
      <c r="M850" s="14">
        <f>IFERROR(__xludf.DUMMYFUNCTION("""COMPUTED_VALUE"""),33.649)</f>
        <v>33.649</v>
      </c>
      <c r="N850" s="14">
        <f>IFERROR(__xludf.DUMMYFUNCTION("""COMPUTED_VALUE"""),35.104)</f>
        <v>35.104</v>
      </c>
      <c r="O850" s="14">
        <f>IFERROR(__xludf.DUMMYFUNCTION("""COMPUTED_VALUE"""),36.174)</f>
        <v>36.174</v>
      </c>
      <c r="P850" s="14">
        <f>IFERROR(__xludf.DUMMYFUNCTION("""COMPUTED_VALUE"""),37.021)</f>
        <v>37.021</v>
      </c>
      <c r="Q850" s="14">
        <f>IFERROR(__xludf.DUMMYFUNCTION("""COMPUTED_VALUE"""),34.983)</f>
        <v>34.983</v>
      </c>
      <c r="R850" s="48">
        <f>IFERROR(__xludf.DUMMYFUNCTION("""COMPUTED_VALUE"""),9.09)</f>
        <v>9.09</v>
      </c>
      <c r="S850" s="48">
        <f>IFERROR(__xludf.DUMMYFUNCTION("""COMPUTED_VALUE"""),8.27)</f>
        <v>8.27</v>
      </c>
      <c r="T850" s="48">
        <f>IFERROR(__xludf.DUMMYFUNCTION("""COMPUTED_VALUE"""),8.34)</f>
        <v>8.34</v>
      </c>
      <c r="U850" s="48">
        <f>IFERROR(__xludf.DUMMYFUNCTION("""COMPUTED_VALUE"""),9.34)</f>
        <v>9.34</v>
      </c>
      <c r="V850" s="48">
        <f>IFERROR(__xludf.DUMMYFUNCTION("""COMPUTED_VALUE"""),9.06)</f>
        <v>9.06</v>
      </c>
      <c r="W850" s="14">
        <f>IFERROR(__xludf.DUMMYFUNCTION("""COMPUTED_VALUE"""),8.82)</f>
        <v>8.82</v>
      </c>
      <c r="X850" s="14">
        <f>IFERROR(__xludf.DUMMYFUNCTION("""COMPUTED_VALUE"""),19.5)</f>
        <v>19.5</v>
      </c>
      <c r="Y850" s="14">
        <f>IFERROR(__xludf.DUMMYFUNCTION("""COMPUTED_VALUE"""),19.1)</f>
        <v>19.1</v>
      </c>
      <c r="Z850" s="14">
        <f>IFERROR(__xludf.DUMMYFUNCTION("""COMPUTED_VALUE"""),19.6)</f>
        <v>19.6</v>
      </c>
      <c r="AA850" s="14">
        <f>IFERROR(__xludf.DUMMYFUNCTION("""COMPUTED_VALUE"""),19.7)</f>
        <v>19.7</v>
      </c>
      <c r="AB850" s="14">
        <f>IFERROR(__xludf.DUMMYFUNCTION("""COMPUTED_VALUE"""),19.8)</f>
        <v>19.8</v>
      </c>
      <c r="AC850" s="14">
        <f>IFERROR(__xludf.DUMMYFUNCTION("""COMPUTED_VALUE"""),19.54)</f>
        <v>19.54</v>
      </c>
      <c r="AD850" s="48">
        <f>IFERROR(__xludf.DUMMYFUNCTION("""COMPUTED_VALUE"""),551.0)</f>
        <v>551</v>
      </c>
      <c r="AE850" s="48">
        <f>IFERROR(__xludf.DUMMYFUNCTION("""COMPUTED_VALUE"""),561.0)</f>
        <v>561</v>
      </c>
      <c r="AF850" s="48">
        <f>IFERROR(__xludf.DUMMYFUNCTION("""COMPUTED_VALUE"""),526.0)</f>
        <v>526</v>
      </c>
      <c r="AG850" s="48">
        <f>IFERROR(__xludf.DUMMYFUNCTION("""COMPUTED_VALUE"""),588.0)</f>
        <v>588</v>
      </c>
      <c r="AH850" s="48">
        <f>IFERROR(__xludf.DUMMYFUNCTION("""COMPUTED_VALUE"""),582.0)</f>
        <v>582</v>
      </c>
      <c r="AI850" s="14">
        <f>IFERROR(__xludf.DUMMYFUNCTION("""COMPUTED_VALUE"""),561.6)</f>
        <v>561.6</v>
      </c>
      <c r="AJ850" s="14">
        <f>IFERROR(__xludf.DUMMYFUNCTION("""COMPUTED_VALUE"""),4.8)</f>
        <v>4.8</v>
      </c>
      <c r="AK850" s="14">
        <f>IFERROR(__xludf.DUMMYFUNCTION("""COMPUTED_VALUE"""),4.57)</f>
        <v>4.57</v>
      </c>
      <c r="AL850" s="14">
        <f>IFERROR(__xludf.DUMMYFUNCTION("""COMPUTED_VALUE"""),4.23)</f>
        <v>4.23</v>
      </c>
      <c r="AM850" s="14">
        <f>IFERROR(__xludf.DUMMYFUNCTION("""COMPUTED_VALUE"""),4.7)</f>
        <v>4.7</v>
      </c>
      <c r="AN850" s="14">
        <f>IFERROR(__xludf.DUMMYFUNCTION("""COMPUTED_VALUE"""),4.64)</f>
        <v>4.64</v>
      </c>
      <c r="AO850" s="14">
        <f>IFERROR(__xludf.DUMMYFUNCTION("""COMPUTED_VALUE"""),4.588)</f>
        <v>4.588</v>
      </c>
      <c r="AP850" s="14">
        <f>IFERROR(__xludf.DUMMYFUNCTION("""COMPUTED_VALUE"""),247.0)</f>
        <v>247</v>
      </c>
      <c r="AQ850" s="14">
        <f>IFERROR(__xludf.DUMMYFUNCTION("""COMPUTED_VALUE"""),347.0)</f>
        <v>347</v>
      </c>
      <c r="AR850" s="14">
        <f>IFERROR(__xludf.DUMMYFUNCTION("""COMPUTED_VALUE"""),2048.0)</f>
        <v>2048</v>
      </c>
      <c r="AS850" s="14">
        <f>IFERROR(__xludf.DUMMYFUNCTION("""COMPUTED_VALUE"""),1.2)</f>
        <v>1.2</v>
      </c>
      <c r="AT850" s="14">
        <f>IFERROR(__xludf.DUMMYFUNCTION("""COMPUTED_VALUE"""),1.81)</f>
        <v>1.81</v>
      </c>
      <c r="AU850" s="14">
        <f>IFERROR(__xludf.DUMMYFUNCTION("""COMPUTED_VALUE"""),8880000.0)</f>
        <v>8880000</v>
      </c>
      <c r="AV850" s="14">
        <f>IFERROR(__xludf.DUMMYFUNCTION("""COMPUTED_VALUE"""),1.21)</f>
        <v>1.21</v>
      </c>
      <c r="AW850" s="14">
        <f>IFERROR(__xludf.DUMMYFUNCTION("""COMPUTED_VALUE"""),11.5)</f>
        <v>11.5</v>
      </c>
      <c r="AX850" s="14">
        <f>IFERROR(__xludf.DUMMYFUNCTION("""COMPUTED_VALUE"""),72300.0)</f>
        <v>72300</v>
      </c>
      <c r="AY850" s="14">
        <f>IFERROR(__xludf.DUMMYFUNCTION("""COMPUTED_VALUE"""),0.7)</f>
        <v>0.7</v>
      </c>
      <c r="AZ850" s="14">
        <f>IFERROR(__xludf.DUMMYFUNCTION("""COMPUTED_VALUE"""),0.258)</f>
        <v>0.258</v>
      </c>
      <c r="BA850" s="14">
        <f t="shared" si="1"/>
        <v>12.458</v>
      </c>
    </row>
    <row r="851" ht="14.25" customHeight="1">
      <c r="A851" s="10" t="str">
        <f>IFERROR(__xludf.DUMMYFUNCTION("""COMPUTED_VALUE"""),"110523DU03")</f>
        <v>110523DU03</v>
      </c>
      <c r="B851" s="12" t="str">
        <f>IFERROR(__xludf.DUMMYFUNCTION("""COMPUTED_VALUE"""),"CON-Callejas")</f>
        <v>CON-Callejas</v>
      </c>
      <c r="C851" s="12"/>
      <c r="D851" s="12"/>
      <c r="E851" s="44">
        <f>IFERROR(__xludf.DUMMYFUNCTION("""COMPUTED_VALUE"""),45057.0)</f>
        <v>45057</v>
      </c>
      <c r="F851" s="12" t="str">
        <f>IFERROR(__xludf.DUMMYFUNCTION("""COMPUTED_VALUE"""),"TIPO I")</f>
        <v>TIPO I</v>
      </c>
      <c r="G851" s="12" t="str">
        <f>IFERROR(__xludf.DUMMYFUNCTION("""COMPUTED_VALUE"""),"Se percibe olor, se observa color y algas")</f>
        <v>Se percibe olor, se observa color y algas</v>
      </c>
      <c r="H851" s="45">
        <f>IFERROR(__xludf.DUMMYFUNCTION("""COMPUTED_VALUE"""),0.6666666666678793)</f>
        <v>0.6666666667</v>
      </c>
      <c r="I851" s="45">
        <f>IFERROR(__xludf.DUMMYFUNCTION("""COMPUTED_VALUE"""),0.75)</f>
        <v>0.75</v>
      </c>
      <c r="J851" s="12">
        <f>IFERROR(__xludf.DUMMYFUNCTION("""COMPUTED_VALUE"""),4.0)</f>
        <v>4</v>
      </c>
      <c r="K851" s="12">
        <f>IFERROR(__xludf.DUMMYFUNCTION("""COMPUTED_VALUE"""),0.08)</f>
        <v>0.08</v>
      </c>
      <c r="L851" s="14">
        <f>IFERROR(__xludf.DUMMYFUNCTION("""COMPUTED_VALUE"""),30.33)</f>
        <v>30.33</v>
      </c>
      <c r="M851" s="14">
        <f>IFERROR(__xludf.DUMMYFUNCTION("""COMPUTED_VALUE"""),32.464)</f>
        <v>32.464</v>
      </c>
      <c r="N851" s="14">
        <f>IFERROR(__xludf.DUMMYFUNCTION("""COMPUTED_VALUE"""),33.805)</f>
        <v>33.805</v>
      </c>
      <c r="O851" s="14">
        <f>IFERROR(__xludf.DUMMYFUNCTION("""COMPUTED_VALUE"""),35.83)</f>
        <v>35.83</v>
      </c>
      <c r="P851" s="14">
        <f>IFERROR(__xludf.DUMMYFUNCTION("""COMPUTED_VALUE"""),36.612)</f>
        <v>36.612</v>
      </c>
      <c r="Q851" s="14">
        <f>IFERROR(__xludf.DUMMYFUNCTION("""COMPUTED_VALUE"""),33.808)</f>
        <v>33.808</v>
      </c>
      <c r="R851" s="48">
        <f>IFERROR(__xludf.DUMMYFUNCTION("""COMPUTED_VALUE"""),8.36)</f>
        <v>8.36</v>
      </c>
      <c r="S851" s="48">
        <f>IFERROR(__xludf.DUMMYFUNCTION("""COMPUTED_VALUE"""),8.44)</f>
        <v>8.44</v>
      </c>
      <c r="T851" s="48">
        <f>IFERROR(__xludf.DUMMYFUNCTION("""COMPUTED_VALUE"""),8.38)</f>
        <v>8.38</v>
      </c>
      <c r="U851" s="48">
        <f>IFERROR(__xludf.DUMMYFUNCTION("""COMPUTED_VALUE"""),7.69)</f>
        <v>7.69</v>
      </c>
      <c r="V851" s="48">
        <f>IFERROR(__xludf.DUMMYFUNCTION("""COMPUTED_VALUE"""),8.21)</f>
        <v>8.21</v>
      </c>
      <c r="W851" s="14">
        <f>IFERROR(__xludf.DUMMYFUNCTION("""COMPUTED_VALUE"""),8.216)</f>
        <v>8.216</v>
      </c>
      <c r="X851" s="14">
        <f>IFERROR(__xludf.DUMMYFUNCTION("""COMPUTED_VALUE"""),22.2)</f>
        <v>22.2</v>
      </c>
      <c r="Y851" s="14">
        <f>IFERROR(__xludf.DUMMYFUNCTION("""COMPUTED_VALUE"""),21.5)</f>
        <v>21.5</v>
      </c>
      <c r="Z851" s="14">
        <f>IFERROR(__xludf.DUMMYFUNCTION("""COMPUTED_VALUE"""),22.0)</f>
        <v>22</v>
      </c>
      <c r="AA851" s="14">
        <f>IFERROR(__xludf.DUMMYFUNCTION("""COMPUTED_VALUE"""),21.8)</f>
        <v>21.8</v>
      </c>
      <c r="AB851" s="14">
        <f>IFERROR(__xludf.DUMMYFUNCTION("""COMPUTED_VALUE"""),21.2)</f>
        <v>21.2</v>
      </c>
      <c r="AC851" s="14">
        <f>IFERROR(__xludf.DUMMYFUNCTION("""COMPUTED_VALUE"""),21.740000000000002)</f>
        <v>21.74</v>
      </c>
      <c r="AD851" s="48">
        <f>IFERROR(__xludf.DUMMYFUNCTION("""COMPUTED_VALUE"""),587.0)</f>
        <v>587</v>
      </c>
      <c r="AE851" s="48">
        <f>IFERROR(__xludf.DUMMYFUNCTION("""COMPUTED_VALUE"""),608.0)</f>
        <v>608</v>
      </c>
      <c r="AF851" s="48">
        <f>IFERROR(__xludf.DUMMYFUNCTION("""COMPUTED_VALUE"""),595.0)</f>
        <v>595</v>
      </c>
      <c r="AG851" s="48">
        <f>IFERROR(__xludf.DUMMYFUNCTION("""COMPUTED_VALUE"""),600.0)</f>
        <v>600</v>
      </c>
      <c r="AH851" s="48">
        <f>IFERROR(__xludf.DUMMYFUNCTION("""COMPUTED_VALUE"""),590.0)</f>
        <v>590</v>
      </c>
      <c r="AI851" s="14">
        <f>IFERROR(__xludf.DUMMYFUNCTION("""COMPUTED_VALUE"""),596.0)</f>
        <v>596</v>
      </c>
      <c r="AJ851" s="14">
        <f>IFERROR(__xludf.DUMMYFUNCTION("""COMPUTED_VALUE"""),2.69)</f>
        <v>2.69</v>
      </c>
      <c r="AK851" s="14">
        <f>IFERROR(__xludf.DUMMYFUNCTION("""COMPUTED_VALUE"""),2.24)</f>
        <v>2.24</v>
      </c>
      <c r="AL851" s="14">
        <f>IFERROR(__xludf.DUMMYFUNCTION("""COMPUTED_VALUE"""),2.52)</f>
        <v>2.52</v>
      </c>
      <c r="AM851" s="14">
        <f>IFERROR(__xludf.DUMMYFUNCTION("""COMPUTED_VALUE"""),2.33)</f>
        <v>2.33</v>
      </c>
      <c r="AN851" s="14">
        <f>IFERROR(__xludf.DUMMYFUNCTION("""COMPUTED_VALUE"""),2.44)</f>
        <v>2.44</v>
      </c>
      <c r="AO851" s="14">
        <f>IFERROR(__xludf.DUMMYFUNCTION("""COMPUTED_VALUE"""),2.444)</f>
        <v>2.444</v>
      </c>
      <c r="AP851" s="14">
        <f>IFERROR(__xludf.DUMMYFUNCTION("""COMPUTED_VALUE"""),121.0)</f>
        <v>121</v>
      </c>
      <c r="AQ851" s="14">
        <f>IFERROR(__xludf.DUMMYFUNCTION("""COMPUTED_VALUE"""),178.0)</f>
        <v>178</v>
      </c>
      <c r="AR851" s="14">
        <f>IFERROR(__xludf.DUMMYFUNCTION("""COMPUTED_VALUE"""),79.0)</f>
        <v>79</v>
      </c>
      <c r="AS851" s="14">
        <f>IFERROR(__xludf.DUMMYFUNCTION("""COMPUTED_VALUE"""),20.0)</f>
        <v>20</v>
      </c>
      <c r="AT851" s="14">
        <f>IFERROR(__xludf.DUMMYFUNCTION("""COMPUTED_VALUE"""),1.98)</f>
        <v>1.98</v>
      </c>
      <c r="AU851" s="14">
        <f>IFERROR(__xludf.DUMMYFUNCTION("""COMPUTED_VALUE"""),2.098E7)</f>
        <v>20980000</v>
      </c>
      <c r="AV851" s="14">
        <f>IFERROR(__xludf.DUMMYFUNCTION("""COMPUTED_VALUE"""),2.97)</f>
        <v>2.97</v>
      </c>
      <c r="AW851" s="14">
        <f>IFERROR(__xludf.DUMMYFUNCTION("""COMPUTED_VALUE"""),11.8)</f>
        <v>11.8</v>
      </c>
      <c r="AX851" s="14">
        <f>IFERROR(__xludf.DUMMYFUNCTION("""COMPUTED_VALUE"""),8010000.0)</f>
        <v>8010000</v>
      </c>
      <c r="AY851" s="14">
        <f>IFERROR(__xludf.DUMMYFUNCTION("""COMPUTED_VALUE"""),0.6)</f>
        <v>0.6</v>
      </c>
      <c r="AZ851" s="14">
        <f>IFERROR(__xludf.DUMMYFUNCTION("""COMPUTED_VALUE"""),0.007)</f>
        <v>0.007</v>
      </c>
      <c r="BA851" s="14">
        <f t="shared" si="1"/>
        <v>12.407</v>
      </c>
    </row>
    <row r="852" ht="14.25" customHeight="1">
      <c r="A852" s="10" t="str">
        <f>IFERROR(__xludf.DUMMYFUNCTION("""COMPUTED_VALUE"""),"120523LA02")</f>
        <v>120523LA02</v>
      </c>
      <c r="B852" s="12" t="str">
        <f>IFERROR(__xludf.DUMMYFUNCTION("""COMPUTED_VALUE"""),"COR-Britalia")</f>
        <v>COR-Britalia</v>
      </c>
      <c r="C852" s="12"/>
      <c r="D852" s="12"/>
      <c r="E852" s="44">
        <f>IFERROR(__xludf.DUMMYFUNCTION("""COMPUTED_VALUE"""),45058.0)</f>
        <v>45058</v>
      </c>
      <c r="F852" s="12" t="str">
        <f>IFERROR(__xludf.DUMMYFUNCTION("""COMPUTED_VALUE"""),"TIPO I")</f>
        <v>TIPO I</v>
      </c>
      <c r="G852" s="12" t="str">
        <f>IFERROR(__xludf.DUMMYFUNCTION("""COMPUTED_VALUE"""),"Estructura de canal en concreto, lecho lamoso-arenoso, se percibe olor, se observa color, material flotante y residuos sólidos.")</f>
        <v>Estructura de canal en concreto, lecho lamoso-arenoso, se percibe olor, se observa color, material flotante y residuos sólidos.</v>
      </c>
      <c r="H852" s="45">
        <f>IFERROR(__xludf.DUMMYFUNCTION("""COMPUTED_VALUE"""),0.4166666666678793)</f>
        <v>0.4166666667</v>
      </c>
      <c r="I852" s="45">
        <f>IFERROR(__xludf.DUMMYFUNCTION("""COMPUTED_VALUE"""),0.5)</f>
        <v>0.5</v>
      </c>
      <c r="J852" s="12">
        <f>IFERROR(__xludf.DUMMYFUNCTION("""COMPUTED_VALUE"""),3.1)</f>
        <v>3.1</v>
      </c>
      <c r="K852" s="12">
        <f>IFERROR(__xludf.DUMMYFUNCTION("""COMPUTED_VALUE"""),0.09)</f>
        <v>0.09</v>
      </c>
      <c r="L852" s="14">
        <f>IFERROR(__xludf.DUMMYFUNCTION("""COMPUTED_VALUE"""),43.878)</f>
        <v>43.878</v>
      </c>
      <c r="M852" s="14">
        <f>IFERROR(__xludf.DUMMYFUNCTION("""COMPUTED_VALUE"""),46.272)</f>
        <v>46.272</v>
      </c>
      <c r="N852" s="14">
        <f>IFERROR(__xludf.DUMMYFUNCTION("""COMPUTED_VALUE"""),48.118)</f>
        <v>48.118</v>
      </c>
      <c r="O852" s="14">
        <f>IFERROR(__xludf.DUMMYFUNCTION("""COMPUTED_VALUE"""),45.137)</f>
        <v>45.137</v>
      </c>
      <c r="P852" s="14">
        <f>IFERROR(__xludf.DUMMYFUNCTION("""COMPUTED_VALUE"""),44.233)</f>
        <v>44.233</v>
      </c>
      <c r="Q852" s="14">
        <f>IFERROR(__xludf.DUMMYFUNCTION("""COMPUTED_VALUE"""),45.528)</f>
        <v>45.528</v>
      </c>
      <c r="R852" s="48">
        <f>IFERROR(__xludf.DUMMYFUNCTION("""COMPUTED_VALUE"""),6.87)</f>
        <v>6.87</v>
      </c>
      <c r="S852" s="48">
        <f>IFERROR(__xludf.DUMMYFUNCTION("""COMPUTED_VALUE"""),6.92)</f>
        <v>6.92</v>
      </c>
      <c r="T852" s="48">
        <f>IFERROR(__xludf.DUMMYFUNCTION("""COMPUTED_VALUE"""),7.06)</f>
        <v>7.06</v>
      </c>
      <c r="U852" s="48">
        <f>IFERROR(__xludf.DUMMYFUNCTION("""COMPUTED_VALUE"""),6.9)</f>
        <v>6.9</v>
      </c>
      <c r="V852" s="48">
        <f>IFERROR(__xludf.DUMMYFUNCTION("""COMPUTED_VALUE"""),7.18)</f>
        <v>7.18</v>
      </c>
      <c r="W852" s="14">
        <f>IFERROR(__xludf.DUMMYFUNCTION("""COMPUTED_VALUE"""),6.986)</f>
        <v>6.986</v>
      </c>
      <c r="X852" s="14">
        <f>IFERROR(__xludf.DUMMYFUNCTION("""COMPUTED_VALUE"""),19.3)</f>
        <v>19.3</v>
      </c>
      <c r="Y852" s="14">
        <f>IFERROR(__xludf.DUMMYFUNCTION("""COMPUTED_VALUE"""),19.7)</f>
        <v>19.7</v>
      </c>
      <c r="Z852" s="14">
        <f>IFERROR(__xludf.DUMMYFUNCTION("""COMPUTED_VALUE"""),19.6)</f>
        <v>19.6</v>
      </c>
      <c r="AA852" s="14">
        <f>IFERROR(__xludf.DUMMYFUNCTION("""COMPUTED_VALUE"""),20.1)</f>
        <v>20.1</v>
      </c>
      <c r="AB852" s="14">
        <f>IFERROR(__xludf.DUMMYFUNCTION("""COMPUTED_VALUE"""),19.9)</f>
        <v>19.9</v>
      </c>
      <c r="AC852" s="14">
        <f>IFERROR(__xludf.DUMMYFUNCTION("""COMPUTED_VALUE"""),19.72)</f>
        <v>19.72</v>
      </c>
      <c r="AD852" s="48">
        <f>IFERROR(__xludf.DUMMYFUNCTION("""COMPUTED_VALUE"""),352.0)</f>
        <v>352</v>
      </c>
      <c r="AE852" s="48">
        <f>IFERROR(__xludf.DUMMYFUNCTION("""COMPUTED_VALUE"""),327.0)</f>
        <v>327</v>
      </c>
      <c r="AF852" s="48">
        <f>IFERROR(__xludf.DUMMYFUNCTION("""COMPUTED_VALUE"""),332.0)</f>
        <v>332</v>
      </c>
      <c r="AG852" s="48">
        <f>IFERROR(__xludf.DUMMYFUNCTION("""COMPUTED_VALUE"""),317.0)</f>
        <v>317</v>
      </c>
      <c r="AH852" s="48">
        <f>IFERROR(__xludf.DUMMYFUNCTION("""COMPUTED_VALUE"""),357.0)</f>
        <v>357</v>
      </c>
      <c r="AI852" s="14">
        <f>IFERROR(__xludf.DUMMYFUNCTION("""COMPUTED_VALUE"""),337.0)</f>
        <v>337</v>
      </c>
      <c r="AJ852" s="14">
        <f>IFERROR(__xludf.DUMMYFUNCTION("""COMPUTED_VALUE"""),2.2)</f>
        <v>2.2</v>
      </c>
      <c r="AK852" s="14">
        <f>IFERROR(__xludf.DUMMYFUNCTION("""COMPUTED_VALUE"""),2.32)</f>
        <v>2.32</v>
      </c>
      <c r="AL852" s="14">
        <f>IFERROR(__xludf.DUMMYFUNCTION("""COMPUTED_VALUE"""),2.73)</f>
        <v>2.73</v>
      </c>
      <c r="AM852" s="14">
        <f>IFERROR(__xludf.DUMMYFUNCTION("""COMPUTED_VALUE"""),2.54)</f>
        <v>2.54</v>
      </c>
      <c r="AN852" s="14">
        <f>IFERROR(__xludf.DUMMYFUNCTION("""COMPUTED_VALUE"""),2.42)</f>
        <v>2.42</v>
      </c>
      <c r="AO852" s="14">
        <f>IFERROR(__xludf.DUMMYFUNCTION("""COMPUTED_VALUE"""),2.4419999999999997)</f>
        <v>2.442</v>
      </c>
      <c r="AP852" s="14">
        <f>IFERROR(__xludf.DUMMYFUNCTION("""COMPUTED_VALUE"""),15.0)</f>
        <v>15</v>
      </c>
      <c r="AQ852" s="14">
        <f>IFERROR(__xludf.DUMMYFUNCTION("""COMPUTED_VALUE"""),23.0)</f>
        <v>23</v>
      </c>
      <c r="AR852" s="14">
        <f>IFERROR(__xludf.DUMMYFUNCTION("""COMPUTED_VALUE"""),19.0)</f>
        <v>19</v>
      </c>
      <c r="AS852" s="14">
        <f>IFERROR(__xludf.DUMMYFUNCTION("""COMPUTED_VALUE"""),1.2)</f>
        <v>1.2</v>
      </c>
      <c r="AT852" s="14">
        <f>IFERROR(__xludf.DUMMYFUNCTION("""COMPUTED_VALUE"""),1.5)</f>
        <v>1.5</v>
      </c>
      <c r="AU852" s="14">
        <f>IFERROR(__xludf.DUMMYFUNCTION("""COMPUTED_VALUE"""),1.815E7)</f>
        <v>18150000</v>
      </c>
      <c r="AV852" s="14">
        <f>IFERROR(__xludf.DUMMYFUNCTION("""COMPUTED_VALUE"""),0.48)</f>
        <v>0.48</v>
      </c>
      <c r="AW852" s="14">
        <f>IFERROR(__xludf.DUMMYFUNCTION("""COMPUTED_VALUE"""),9.2)</f>
        <v>9.2</v>
      </c>
      <c r="AX852" s="14">
        <f>IFERROR(__xludf.DUMMYFUNCTION("""COMPUTED_VALUE"""),1.526E7)</f>
        <v>15260000</v>
      </c>
      <c r="AY852" s="14">
        <f>IFERROR(__xludf.DUMMYFUNCTION("""COMPUTED_VALUE"""),0.5)</f>
        <v>0.5</v>
      </c>
      <c r="AZ852" s="14">
        <f>IFERROR(__xludf.DUMMYFUNCTION("""COMPUTED_VALUE"""),0.042)</f>
        <v>0.042</v>
      </c>
      <c r="BA852" s="14">
        <f t="shared" si="1"/>
        <v>9.742</v>
      </c>
    </row>
    <row r="853" ht="14.25" customHeight="1">
      <c r="A853" s="10" t="str">
        <f>IFERROR(__xludf.DUMMYFUNCTION("""COMPUTED_VALUE"""),"110523DU02")</f>
        <v>110523DU02</v>
      </c>
      <c r="B853" s="12" t="str">
        <f>IFERROR(__xludf.DUMMYFUNCTION("""COMPUTED_VALUE"""),"CON-Camino del Contador")</f>
        <v>CON-Camino del Contador</v>
      </c>
      <c r="C853" s="12"/>
      <c r="D853" s="12"/>
      <c r="E853" s="44">
        <f>IFERROR(__xludf.DUMMYFUNCTION("""COMPUTED_VALUE"""),45057.0)</f>
        <v>45057</v>
      </c>
      <c r="F853" s="12" t="str">
        <f>IFERROR(__xludf.DUMMYFUNCTION("""COMPUTED_VALUE"""),"TIPO I")</f>
        <v>TIPO I</v>
      </c>
      <c r="G853" s="12" t="str">
        <f>IFERROR(__xludf.DUMMYFUNCTION("""COMPUTED_VALUE"""),"Canal en concreto, se observa color y se percibe olor. Altitud 2574 msnm")</f>
        <v>Canal en concreto, se observa color y se percibe olor. Altitud 2574 msnm</v>
      </c>
      <c r="H853" s="45">
        <f>IFERROR(__xludf.DUMMYFUNCTION("""COMPUTED_VALUE"""),0.5)</f>
        <v>0.5</v>
      </c>
      <c r="I853" s="45">
        <f>IFERROR(__xludf.DUMMYFUNCTION("""COMPUTED_VALUE"""),0.5833333333321207)</f>
        <v>0.5833333333</v>
      </c>
      <c r="J853" s="12">
        <f>IFERROR(__xludf.DUMMYFUNCTION("""COMPUTED_VALUE"""),4.1)</f>
        <v>4.1</v>
      </c>
      <c r="K853" s="12">
        <f>IFERROR(__xludf.DUMMYFUNCTION("""COMPUTED_VALUE"""),0.09)</f>
        <v>0.09</v>
      </c>
      <c r="L853" s="14">
        <f>IFERROR(__xludf.DUMMYFUNCTION("""COMPUTED_VALUE"""),53.751)</f>
        <v>53.751</v>
      </c>
      <c r="M853" s="14">
        <f>IFERROR(__xludf.DUMMYFUNCTION("""COMPUTED_VALUE"""),54.897)</f>
        <v>54.897</v>
      </c>
      <c r="N853" s="14">
        <f>IFERROR(__xludf.DUMMYFUNCTION("""COMPUTED_VALUE"""),55.375)</f>
        <v>55.375</v>
      </c>
      <c r="O853" s="14">
        <f>IFERROR(__xludf.DUMMYFUNCTION("""COMPUTED_VALUE"""),54.619)</f>
        <v>54.619</v>
      </c>
      <c r="P853" s="14">
        <f>IFERROR(__xludf.DUMMYFUNCTION("""COMPUTED_VALUE"""),55.411)</f>
        <v>55.411</v>
      </c>
      <c r="Q853" s="14">
        <f>IFERROR(__xludf.DUMMYFUNCTION("""COMPUTED_VALUE"""),54.811)</f>
        <v>54.811</v>
      </c>
      <c r="R853" s="48">
        <f>IFERROR(__xludf.DUMMYFUNCTION("""COMPUTED_VALUE"""),7.05)</f>
        <v>7.05</v>
      </c>
      <c r="S853" s="48">
        <f>IFERROR(__xludf.DUMMYFUNCTION("""COMPUTED_VALUE"""),8.59)</f>
        <v>8.59</v>
      </c>
      <c r="T853" s="48">
        <f>IFERROR(__xludf.DUMMYFUNCTION("""COMPUTED_VALUE"""),8.63)</f>
        <v>8.63</v>
      </c>
      <c r="U853" s="48">
        <f>IFERROR(__xludf.DUMMYFUNCTION("""COMPUTED_VALUE"""),8.4)</f>
        <v>8.4</v>
      </c>
      <c r="V853" s="48">
        <f>IFERROR(__xludf.DUMMYFUNCTION("""COMPUTED_VALUE"""),8.28)</f>
        <v>8.28</v>
      </c>
      <c r="W853" s="14">
        <f>IFERROR(__xludf.DUMMYFUNCTION("""COMPUTED_VALUE"""),8.190000000000001)</f>
        <v>8.19</v>
      </c>
      <c r="X853" s="14">
        <f>IFERROR(__xludf.DUMMYFUNCTION("""COMPUTED_VALUE"""),20.8)</f>
        <v>20.8</v>
      </c>
      <c r="Y853" s="14">
        <f>IFERROR(__xludf.DUMMYFUNCTION("""COMPUTED_VALUE"""),20.9)</f>
        <v>20.9</v>
      </c>
      <c r="Z853" s="14">
        <f>IFERROR(__xludf.DUMMYFUNCTION("""COMPUTED_VALUE"""),21.2)</f>
        <v>21.2</v>
      </c>
      <c r="AA853" s="14">
        <f>IFERROR(__xludf.DUMMYFUNCTION("""COMPUTED_VALUE"""),21.9)</f>
        <v>21.9</v>
      </c>
      <c r="AB853" s="14">
        <f>IFERROR(__xludf.DUMMYFUNCTION("""COMPUTED_VALUE"""),21.7)</f>
        <v>21.7</v>
      </c>
      <c r="AC853" s="14">
        <f>IFERROR(__xludf.DUMMYFUNCTION("""COMPUTED_VALUE"""),21.300000000000004)</f>
        <v>21.3</v>
      </c>
      <c r="AD853" s="48">
        <f>IFERROR(__xludf.DUMMYFUNCTION("""COMPUTED_VALUE"""),357.0)</f>
        <v>357</v>
      </c>
      <c r="AE853" s="48">
        <f>IFERROR(__xludf.DUMMYFUNCTION("""COMPUTED_VALUE"""),351.0)</f>
        <v>351</v>
      </c>
      <c r="AF853" s="48">
        <f>IFERROR(__xludf.DUMMYFUNCTION("""COMPUTED_VALUE"""),404.0)</f>
        <v>404</v>
      </c>
      <c r="AG853" s="48">
        <f>IFERROR(__xludf.DUMMYFUNCTION("""COMPUTED_VALUE"""),409.0)</f>
        <v>409</v>
      </c>
      <c r="AH853" s="48">
        <f>IFERROR(__xludf.DUMMYFUNCTION("""COMPUTED_VALUE"""),369.0)</f>
        <v>369</v>
      </c>
      <c r="AI853" s="14">
        <f>IFERROR(__xludf.DUMMYFUNCTION("""COMPUTED_VALUE"""),378.0)</f>
        <v>378</v>
      </c>
      <c r="AJ853" s="14">
        <f>IFERROR(__xludf.DUMMYFUNCTION("""COMPUTED_VALUE"""),5.06)</f>
        <v>5.06</v>
      </c>
      <c r="AK853" s="14">
        <f>IFERROR(__xludf.DUMMYFUNCTION("""COMPUTED_VALUE"""),5.33)</f>
        <v>5.33</v>
      </c>
      <c r="AL853" s="14">
        <f>IFERROR(__xludf.DUMMYFUNCTION("""COMPUTED_VALUE"""),5.89)</f>
        <v>5.89</v>
      </c>
      <c r="AM853" s="14">
        <f>IFERROR(__xludf.DUMMYFUNCTION("""COMPUTED_VALUE"""),5.78)</f>
        <v>5.78</v>
      </c>
      <c r="AN853" s="14">
        <f>IFERROR(__xludf.DUMMYFUNCTION("""COMPUTED_VALUE"""),5.92)</f>
        <v>5.92</v>
      </c>
      <c r="AO853" s="14">
        <f>IFERROR(__xludf.DUMMYFUNCTION("""COMPUTED_VALUE"""),5.596000000000001)</f>
        <v>5.596</v>
      </c>
      <c r="AP853" s="14">
        <f>IFERROR(__xludf.DUMMYFUNCTION("""COMPUTED_VALUE"""),32.0)</f>
        <v>32</v>
      </c>
      <c r="AQ853" s="14">
        <f>IFERROR(__xludf.DUMMYFUNCTION("""COMPUTED_VALUE"""),49.0)</f>
        <v>49</v>
      </c>
      <c r="AR853" s="14">
        <f>IFERROR(__xludf.DUMMYFUNCTION("""COMPUTED_VALUE"""),26.0)</f>
        <v>26</v>
      </c>
      <c r="AS853" s="14">
        <f>IFERROR(__xludf.DUMMYFUNCTION("""COMPUTED_VALUE"""),1.2)</f>
        <v>1.2</v>
      </c>
      <c r="AT853" s="14">
        <f>IFERROR(__xludf.DUMMYFUNCTION("""COMPUTED_VALUE"""),1.79)</f>
        <v>1.79</v>
      </c>
      <c r="AU853" s="14">
        <f>IFERROR(__xludf.DUMMYFUNCTION("""COMPUTED_VALUE"""),2755000.0)</f>
        <v>2755000</v>
      </c>
      <c r="AV853" s="14">
        <f>IFERROR(__xludf.DUMMYFUNCTION("""COMPUTED_VALUE"""),1.59)</f>
        <v>1.59</v>
      </c>
      <c r="AW853" s="14">
        <f>IFERROR(__xludf.DUMMYFUNCTION("""COMPUTED_VALUE"""),10.1)</f>
        <v>10.1</v>
      </c>
      <c r="AX853" s="14">
        <f>IFERROR(__xludf.DUMMYFUNCTION("""COMPUTED_VALUE"""),1333000.0)</f>
        <v>1333000</v>
      </c>
      <c r="AY853" s="14">
        <f>IFERROR(__xludf.DUMMYFUNCTION("""COMPUTED_VALUE"""),0.8)</f>
        <v>0.8</v>
      </c>
      <c r="AZ853" s="14">
        <f>IFERROR(__xludf.DUMMYFUNCTION("""COMPUTED_VALUE"""),0.007)</f>
        <v>0.007</v>
      </c>
      <c r="BA853" s="14">
        <f t="shared" si="1"/>
        <v>10.907</v>
      </c>
    </row>
    <row r="854" ht="14.25" customHeight="1">
      <c r="A854" s="10" t="str">
        <f>IFERROR(__xludf.DUMMYFUNCTION("""COMPUTED_VALUE"""),"250523MO03")</f>
        <v>250523MO03</v>
      </c>
      <c r="B854" s="12" t="str">
        <f>IFERROR(__xludf.DUMMYFUNCTION("""COMPUTED_VALUE"""),"CON-Callejas")</f>
        <v>CON-Callejas</v>
      </c>
      <c r="C854" s="12"/>
      <c r="D854" s="12"/>
      <c r="E854" s="44">
        <f>IFERROR(__xludf.DUMMYFUNCTION("""COMPUTED_VALUE"""),45071.0)</f>
        <v>45071</v>
      </c>
      <c r="F854" s="12" t="str">
        <f>IFERROR(__xludf.DUMMYFUNCTION("""COMPUTED_VALUE"""),"TIPO I")</f>
        <v>TIPO I</v>
      </c>
      <c r="G854" s="12" t="str">
        <f>IFERROR(__xludf.DUMMYFUNCTION("""COMPUTED_VALUE"""),"Canal en concreto, durante el monitoreo se observa color, material flotante y se percibe olor, se presentan fuertes precipitaciones en la toma del quinto aforo por tal motivo no se realiza la toma de este.
Altitud: 2569 msnm. ")</f>
        <v>Canal en concreto, durante el monitoreo se observa color, material flotante y se percibe olor, se presentan fuertes precipitaciones en la toma del quinto aforo por tal motivo no se realiza la toma de este.
Altitud: 2569 msnm. </v>
      </c>
      <c r="H854" s="45">
        <f>IFERROR(__xludf.DUMMYFUNCTION("""COMPUTED_VALUE"""),0.4166666666678793)</f>
        <v>0.4166666667</v>
      </c>
      <c r="I854" s="45">
        <f>IFERROR(__xludf.DUMMYFUNCTION("""COMPUTED_VALUE"""),0.5)</f>
        <v>0.5</v>
      </c>
      <c r="J854" s="12">
        <f>IFERROR(__xludf.DUMMYFUNCTION("""COMPUTED_VALUE"""),8.0)</f>
        <v>8</v>
      </c>
      <c r="K854" s="12">
        <f>IFERROR(__xludf.DUMMYFUNCTION("""COMPUTED_VALUE"""),0.14)</f>
        <v>0.14</v>
      </c>
      <c r="L854" s="14">
        <f>IFERROR(__xludf.DUMMYFUNCTION("""COMPUTED_VALUE"""),387.53)</f>
        <v>387.53</v>
      </c>
      <c r="M854" s="14">
        <f>IFERROR(__xludf.DUMMYFUNCTION("""COMPUTED_VALUE"""),396.177)</f>
        <v>396.177</v>
      </c>
      <c r="N854" s="14">
        <f>IFERROR(__xludf.DUMMYFUNCTION("""COMPUTED_VALUE"""),406.973)</f>
        <v>406.973</v>
      </c>
      <c r="O854" s="14">
        <f>IFERROR(__xludf.DUMMYFUNCTION("""COMPUTED_VALUE"""),418.207)</f>
        <v>418.207</v>
      </c>
      <c r="P854" s="14"/>
      <c r="Q854" s="14">
        <f>IFERROR(__xludf.DUMMYFUNCTION("""COMPUTED_VALUE"""),402.221)</f>
        <v>402.221</v>
      </c>
      <c r="R854" s="48">
        <f>IFERROR(__xludf.DUMMYFUNCTION("""COMPUTED_VALUE"""),7.07)</f>
        <v>7.07</v>
      </c>
      <c r="S854" s="48">
        <f>IFERROR(__xludf.DUMMYFUNCTION("""COMPUTED_VALUE"""),6.95)</f>
        <v>6.95</v>
      </c>
      <c r="T854" s="48">
        <f>IFERROR(__xludf.DUMMYFUNCTION("""COMPUTED_VALUE"""),7.16)</f>
        <v>7.16</v>
      </c>
      <c r="U854" s="48">
        <f>IFERROR(__xludf.DUMMYFUNCTION("""COMPUTED_VALUE"""),7.01)</f>
        <v>7.01</v>
      </c>
      <c r="V854" s="48"/>
      <c r="W854" s="14">
        <f>IFERROR(__xludf.DUMMYFUNCTION("""COMPUTED_VALUE"""),7.047499999999999)</f>
        <v>7.0475</v>
      </c>
      <c r="X854" s="14">
        <f>IFERROR(__xludf.DUMMYFUNCTION("""COMPUTED_VALUE"""),23.3)</f>
        <v>23.3</v>
      </c>
      <c r="Y854" s="14">
        <f>IFERROR(__xludf.DUMMYFUNCTION("""COMPUTED_VALUE"""),22.0)</f>
        <v>22</v>
      </c>
      <c r="Z854" s="14">
        <f>IFERROR(__xludf.DUMMYFUNCTION("""COMPUTED_VALUE"""),23.3)</f>
        <v>23.3</v>
      </c>
      <c r="AA854" s="14">
        <f>IFERROR(__xludf.DUMMYFUNCTION("""COMPUTED_VALUE"""),23.0)</f>
        <v>23</v>
      </c>
      <c r="AB854" s="14"/>
      <c r="AC854" s="14">
        <f>IFERROR(__xludf.DUMMYFUNCTION("""COMPUTED_VALUE"""),22.9)</f>
        <v>22.9</v>
      </c>
      <c r="AD854" s="48">
        <f>IFERROR(__xludf.DUMMYFUNCTION("""COMPUTED_VALUE"""),199.0)</f>
        <v>199</v>
      </c>
      <c r="AE854" s="48">
        <f>IFERROR(__xludf.DUMMYFUNCTION("""COMPUTED_VALUE"""),217.0)</f>
        <v>217</v>
      </c>
      <c r="AF854" s="48">
        <f>IFERROR(__xludf.DUMMYFUNCTION("""COMPUTED_VALUE"""),214.0)</f>
        <v>214</v>
      </c>
      <c r="AG854" s="48">
        <f>IFERROR(__xludf.DUMMYFUNCTION("""COMPUTED_VALUE"""),211.0)</f>
        <v>211</v>
      </c>
      <c r="AH854" s="48"/>
      <c r="AI854" s="14">
        <f>IFERROR(__xludf.DUMMYFUNCTION("""COMPUTED_VALUE"""),210.25)</f>
        <v>210.25</v>
      </c>
      <c r="AJ854" s="14">
        <f>IFERROR(__xludf.DUMMYFUNCTION("""COMPUTED_VALUE"""),4.4)</f>
        <v>4.4</v>
      </c>
      <c r="AK854" s="14">
        <f>IFERROR(__xludf.DUMMYFUNCTION("""COMPUTED_VALUE"""),4.19)</f>
        <v>4.19</v>
      </c>
      <c r="AL854" s="14">
        <f>IFERROR(__xludf.DUMMYFUNCTION("""COMPUTED_VALUE"""),4.92)</f>
        <v>4.92</v>
      </c>
      <c r="AM854" s="14">
        <f>IFERROR(__xludf.DUMMYFUNCTION("""COMPUTED_VALUE"""),4.69)</f>
        <v>4.69</v>
      </c>
      <c r="AN854" s="14"/>
      <c r="AO854" s="14">
        <f>IFERROR(__xludf.DUMMYFUNCTION("""COMPUTED_VALUE"""),4.55)</f>
        <v>4.55</v>
      </c>
      <c r="AP854" s="14">
        <f>IFERROR(__xludf.DUMMYFUNCTION("""COMPUTED_VALUE"""),26.0)</f>
        <v>26</v>
      </c>
      <c r="AQ854" s="14">
        <f>IFERROR(__xludf.DUMMYFUNCTION("""COMPUTED_VALUE"""),40.0)</f>
        <v>40</v>
      </c>
      <c r="AR854" s="14">
        <f>IFERROR(__xludf.DUMMYFUNCTION("""COMPUTED_VALUE"""),53.0)</f>
        <v>53</v>
      </c>
      <c r="AS854" s="14">
        <f>IFERROR(__xludf.DUMMYFUNCTION("""COMPUTED_VALUE"""),1.2)</f>
        <v>1.2</v>
      </c>
      <c r="AT854" s="14">
        <f>IFERROR(__xludf.DUMMYFUNCTION("""COMPUTED_VALUE"""),0.55)</f>
        <v>0.55</v>
      </c>
      <c r="AU854" s="14">
        <f>IFERROR(__xludf.DUMMYFUNCTION("""COMPUTED_VALUE"""),8620000.0)</f>
        <v>8620000</v>
      </c>
      <c r="AV854" s="14">
        <f>IFERROR(__xludf.DUMMYFUNCTION("""COMPUTED_VALUE"""),0.93)</f>
        <v>0.93</v>
      </c>
      <c r="AW854" s="14">
        <f>IFERROR(__xludf.DUMMYFUNCTION("""COMPUTED_VALUE"""),2.0)</f>
        <v>2</v>
      </c>
      <c r="AX854" s="14">
        <f>IFERROR(__xludf.DUMMYFUNCTION("""COMPUTED_VALUE"""),7230000.0)</f>
        <v>7230000</v>
      </c>
      <c r="AY854" s="14">
        <f>IFERROR(__xludf.DUMMYFUNCTION("""COMPUTED_VALUE"""),0.8)</f>
        <v>0.8</v>
      </c>
      <c r="AZ854" s="14">
        <f>IFERROR(__xludf.DUMMYFUNCTION("""COMPUTED_VALUE"""),0.233)</f>
        <v>0.233</v>
      </c>
      <c r="BA854" s="14">
        <f t="shared" si="1"/>
        <v>3.033</v>
      </c>
    </row>
    <row r="855" ht="14.25" customHeight="1">
      <c r="A855" s="10" t="str">
        <f>IFERROR(__xludf.DUMMYFUNCTION("""COMPUTED_VALUE"""),"250523FE01")</f>
        <v>250523FE01</v>
      </c>
      <c r="B855" s="12" t="str">
        <f>IFERROR(__xludf.DUMMYFUNCTION("""COMPUTED_VALUE"""),"CON-Bella Suiza")</f>
        <v>CON-Bella Suiza</v>
      </c>
      <c r="C855" s="12"/>
      <c r="D855" s="12"/>
      <c r="E855" s="44">
        <f>IFERROR(__xludf.DUMMYFUNCTION("""COMPUTED_VALUE"""),45071.0)</f>
        <v>45071</v>
      </c>
      <c r="F855" s="12" t="str">
        <f>IFERROR(__xludf.DUMMYFUNCTION("""COMPUTED_VALUE"""),"TIPO I")</f>
        <v>TIPO I</v>
      </c>
      <c r="G855" s="12" t="str">
        <f>IFERROR(__xludf.DUMMYFUNCTION("""COMPUTED_VALUE"""),"Estructura del canal en concreto, durante el monitoreo se observa color y se percibe olor.
Altitud: 2575 msnm. ")</f>
        <v>Estructura del canal en concreto, durante el monitoreo se observa color y se percibe olor.
Altitud: 2575 msnm. </v>
      </c>
      <c r="H855" s="45">
        <f>IFERROR(__xludf.DUMMYFUNCTION("""COMPUTED_VALUE"""),0.25)</f>
        <v>0.25</v>
      </c>
      <c r="I855" s="45">
        <f>IFERROR(__xludf.DUMMYFUNCTION("""COMPUTED_VALUE"""),0.3333333333321207)</f>
        <v>0.3333333333</v>
      </c>
      <c r="J855" s="12">
        <f>IFERROR(__xludf.DUMMYFUNCTION("""COMPUTED_VALUE"""),1.25)</f>
        <v>1.25</v>
      </c>
      <c r="K855" s="12">
        <f>IFERROR(__xludf.DUMMYFUNCTION("""COMPUTED_VALUE"""),0.2)</f>
        <v>0.2</v>
      </c>
      <c r="L855" s="14">
        <f>IFERROR(__xludf.DUMMYFUNCTION("""COMPUTED_VALUE"""),126.178)</f>
        <v>126.178</v>
      </c>
      <c r="M855" s="14">
        <f>IFERROR(__xludf.DUMMYFUNCTION("""COMPUTED_VALUE"""),127.762)</f>
        <v>127.762</v>
      </c>
      <c r="N855" s="14">
        <f>IFERROR(__xludf.DUMMYFUNCTION("""COMPUTED_VALUE"""),130.57)</f>
        <v>130.57</v>
      </c>
      <c r="O855" s="14">
        <f>IFERROR(__xludf.DUMMYFUNCTION("""COMPUTED_VALUE"""),132.474)</f>
        <v>132.474</v>
      </c>
      <c r="P855" s="14">
        <f>IFERROR(__xludf.DUMMYFUNCTION("""COMPUTED_VALUE"""),136.553)</f>
        <v>136.553</v>
      </c>
      <c r="Q855" s="14">
        <f>IFERROR(__xludf.DUMMYFUNCTION("""COMPUTED_VALUE"""),130.707)</f>
        <v>130.707</v>
      </c>
      <c r="R855" s="48">
        <f>IFERROR(__xludf.DUMMYFUNCTION("""COMPUTED_VALUE"""),7.3)</f>
        <v>7.3</v>
      </c>
      <c r="S855" s="48">
        <f>IFERROR(__xludf.DUMMYFUNCTION("""COMPUTED_VALUE"""),7.13)</f>
        <v>7.13</v>
      </c>
      <c r="T855" s="48">
        <f>IFERROR(__xludf.DUMMYFUNCTION("""COMPUTED_VALUE"""),7.04)</f>
        <v>7.04</v>
      </c>
      <c r="U855" s="48">
        <f>IFERROR(__xludf.DUMMYFUNCTION("""COMPUTED_VALUE"""),7.0)</f>
        <v>7</v>
      </c>
      <c r="V855" s="48">
        <f>IFERROR(__xludf.DUMMYFUNCTION("""COMPUTED_VALUE"""),7.1)</f>
        <v>7.1</v>
      </c>
      <c r="W855" s="14">
        <f>IFERROR(__xludf.DUMMYFUNCTION("""COMPUTED_VALUE"""),7.114)</f>
        <v>7.114</v>
      </c>
      <c r="X855" s="14">
        <f>IFERROR(__xludf.DUMMYFUNCTION("""COMPUTED_VALUE"""),16.8)</f>
        <v>16.8</v>
      </c>
      <c r="Y855" s="14">
        <f>IFERROR(__xludf.DUMMYFUNCTION("""COMPUTED_VALUE"""),16.5)</f>
        <v>16.5</v>
      </c>
      <c r="Z855" s="14">
        <f>IFERROR(__xludf.DUMMYFUNCTION("""COMPUTED_VALUE"""),16.9)</f>
        <v>16.9</v>
      </c>
      <c r="AA855" s="14">
        <f>IFERROR(__xludf.DUMMYFUNCTION("""COMPUTED_VALUE"""),17.2)</f>
        <v>17.2</v>
      </c>
      <c r="AB855" s="14">
        <f>IFERROR(__xludf.DUMMYFUNCTION("""COMPUTED_VALUE"""),17.3)</f>
        <v>17.3</v>
      </c>
      <c r="AC855" s="14">
        <f>IFERROR(__xludf.DUMMYFUNCTION("""COMPUTED_VALUE"""),16.939999999999998)</f>
        <v>16.94</v>
      </c>
      <c r="AD855" s="48">
        <f>IFERROR(__xludf.DUMMYFUNCTION("""COMPUTED_VALUE"""),143.4)</f>
        <v>143.4</v>
      </c>
      <c r="AE855" s="48">
        <f>IFERROR(__xludf.DUMMYFUNCTION("""COMPUTED_VALUE"""),138.4)</f>
        <v>138.4</v>
      </c>
      <c r="AF855" s="48">
        <f>IFERROR(__xludf.DUMMYFUNCTION("""COMPUTED_VALUE"""),130.9)</f>
        <v>130.9</v>
      </c>
      <c r="AG855" s="48">
        <f>IFERROR(__xludf.DUMMYFUNCTION("""COMPUTED_VALUE"""),143.9)</f>
        <v>143.9</v>
      </c>
      <c r="AH855" s="48">
        <f>IFERROR(__xludf.DUMMYFUNCTION("""COMPUTED_VALUE"""),138.8)</f>
        <v>138.8</v>
      </c>
      <c r="AI855" s="14">
        <f>IFERROR(__xludf.DUMMYFUNCTION("""COMPUTED_VALUE"""),139.08)</f>
        <v>139.08</v>
      </c>
      <c r="AJ855" s="14">
        <f>IFERROR(__xludf.DUMMYFUNCTION("""COMPUTED_VALUE"""),3.73)</f>
        <v>3.73</v>
      </c>
      <c r="AK855" s="14">
        <f>IFERROR(__xludf.DUMMYFUNCTION("""COMPUTED_VALUE"""),3.93)</f>
        <v>3.93</v>
      </c>
      <c r="AL855" s="14">
        <f>IFERROR(__xludf.DUMMYFUNCTION("""COMPUTED_VALUE"""),4.07)</f>
        <v>4.07</v>
      </c>
      <c r="AM855" s="14">
        <f>IFERROR(__xludf.DUMMYFUNCTION("""COMPUTED_VALUE"""),3.59)</f>
        <v>3.59</v>
      </c>
      <c r="AN855" s="14">
        <f>IFERROR(__xludf.DUMMYFUNCTION("""COMPUTED_VALUE"""),3.94)</f>
        <v>3.94</v>
      </c>
      <c r="AO855" s="14">
        <f>IFERROR(__xludf.DUMMYFUNCTION("""COMPUTED_VALUE"""),3.8520000000000003)</f>
        <v>3.852</v>
      </c>
      <c r="AP855" s="14">
        <f>IFERROR(__xludf.DUMMYFUNCTION("""COMPUTED_VALUE"""),8.0)</f>
        <v>8</v>
      </c>
      <c r="AQ855" s="14">
        <f>IFERROR(__xludf.DUMMYFUNCTION("""COMPUTED_VALUE"""),12.0)</f>
        <v>12</v>
      </c>
      <c r="AR855" s="14">
        <f>IFERROR(__xludf.DUMMYFUNCTION("""COMPUTED_VALUE"""),42.0)</f>
        <v>42</v>
      </c>
      <c r="AS855" s="14">
        <f>IFERROR(__xludf.DUMMYFUNCTION("""COMPUTED_VALUE"""),1.2)</f>
        <v>1.2</v>
      </c>
      <c r="AT855" s="14">
        <f>IFERROR(__xludf.DUMMYFUNCTION("""COMPUTED_VALUE"""),0.16)</f>
        <v>0.16</v>
      </c>
      <c r="AU855" s="14">
        <f>IFERROR(__xludf.DUMMYFUNCTION("""COMPUTED_VALUE"""),816000.0)</f>
        <v>816000</v>
      </c>
      <c r="AV855" s="14">
        <f>IFERROR(__xludf.DUMMYFUNCTION("""COMPUTED_VALUE"""),0.14)</f>
        <v>0.14</v>
      </c>
      <c r="AW855" s="14">
        <f>IFERROR(__xludf.DUMMYFUNCTION("""COMPUTED_VALUE"""),2.0)</f>
        <v>2</v>
      </c>
      <c r="AX855" s="14">
        <f>IFERROR(__xludf.DUMMYFUNCTION("""COMPUTED_VALUE"""),496000.0)</f>
        <v>496000</v>
      </c>
      <c r="AY855" s="14">
        <f>IFERROR(__xludf.DUMMYFUNCTION("""COMPUTED_VALUE"""),1.5)</f>
        <v>1.5</v>
      </c>
      <c r="AZ855" s="14">
        <f>IFERROR(__xludf.DUMMYFUNCTION("""COMPUTED_VALUE"""),0.044)</f>
        <v>0.044</v>
      </c>
      <c r="BA855" s="14">
        <f t="shared" si="1"/>
        <v>3.544</v>
      </c>
    </row>
    <row r="856" ht="14.25" customHeight="1">
      <c r="A856" s="10" t="str">
        <f>IFERROR(__xludf.DUMMYFUNCTION("""COMPUTED_VALUE"""),"250523FE02")</f>
        <v>250523FE02</v>
      </c>
      <c r="B856" s="12" t="str">
        <f>IFERROR(__xludf.DUMMYFUNCTION("""COMPUTED_VALUE"""),"CON-Country")</f>
        <v>CON-Country</v>
      </c>
      <c r="C856" s="12"/>
      <c r="D856" s="12"/>
      <c r="E856" s="44">
        <f>IFERROR(__xludf.DUMMYFUNCTION("""COMPUTED_VALUE"""),45071.0)</f>
        <v>45071</v>
      </c>
      <c r="F856" s="12" t="str">
        <f>IFERROR(__xludf.DUMMYFUNCTION("""COMPUTED_VALUE"""),"TIPO I")</f>
        <v>TIPO I</v>
      </c>
      <c r="G856" s="12" t="str">
        <f>IFERROR(__xludf.DUMMYFUNCTION("""COMPUTED_VALUE"""),"Estructura del canal en concreto, durante el monitoreo se observa color y se percibe olor, no se realiza toma de la quinta alicuota por fuertes precipitaciones. 
Altitud: 2563 msnm. ")</f>
        <v>Estructura del canal en concreto, durante el monitoreo se observa color y se percibe olor, no se realiza toma de la quinta alicuota por fuertes precipitaciones. 
Altitud: 2563 msnm. </v>
      </c>
      <c r="H856" s="45">
        <f>IFERROR(__xludf.DUMMYFUNCTION("""COMPUTED_VALUE"""),0.4166666666678793)</f>
        <v>0.4166666667</v>
      </c>
      <c r="I856" s="45">
        <f>IFERROR(__xludf.DUMMYFUNCTION("""COMPUTED_VALUE"""),0.5)</f>
        <v>0.5</v>
      </c>
      <c r="J856" s="12">
        <f>IFERROR(__xludf.DUMMYFUNCTION("""COMPUTED_VALUE"""),6.1)</f>
        <v>6.1</v>
      </c>
      <c r="K856" s="12">
        <f>IFERROR(__xludf.DUMMYFUNCTION("""COMPUTED_VALUE"""),0.18)</f>
        <v>0.18</v>
      </c>
      <c r="L856" s="14">
        <f>IFERROR(__xludf.DUMMYFUNCTION("""COMPUTED_VALUE"""),263.595)</f>
        <v>263.595</v>
      </c>
      <c r="M856" s="14">
        <f>IFERROR(__xludf.DUMMYFUNCTION("""COMPUTED_VALUE"""),268.221)</f>
        <v>268.221</v>
      </c>
      <c r="N856" s="14">
        <f>IFERROR(__xludf.DUMMYFUNCTION("""COMPUTED_VALUE"""),278.537)</f>
        <v>278.537</v>
      </c>
      <c r="O856" s="14">
        <f>IFERROR(__xludf.DUMMYFUNCTION("""COMPUTED_VALUE"""),301.685)</f>
        <v>301.685</v>
      </c>
      <c r="P856" s="14"/>
      <c r="Q856" s="14">
        <f>IFERROR(__xludf.DUMMYFUNCTION("""COMPUTED_VALUE"""),278.009)</f>
        <v>278.009</v>
      </c>
      <c r="R856" s="48">
        <f>IFERROR(__xludf.DUMMYFUNCTION("""COMPUTED_VALUE"""),7.17)</f>
        <v>7.17</v>
      </c>
      <c r="S856" s="48">
        <f>IFERROR(__xludf.DUMMYFUNCTION("""COMPUTED_VALUE"""),7.24)</f>
        <v>7.24</v>
      </c>
      <c r="T856" s="48">
        <f>IFERROR(__xludf.DUMMYFUNCTION("""COMPUTED_VALUE"""),7.12)</f>
        <v>7.12</v>
      </c>
      <c r="U856" s="48">
        <f>IFERROR(__xludf.DUMMYFUNCTION("""COMPUTED_VALUE"""),6.89)</f>
        <v>6.89</v>
      </c>
      <c r="V856" s="48"/>
      <c r="W856" s="14">
        <f>IFERROR(__xludf.DUMMYFUNCTION("""COMPUTED_VALUE"""),7.105)</f>
        <v>7.105</v>
      </c>
      <c r="X856" s="14">
        <f>IFERROR(__xludf.DUMMYFUNCTION("""COMPUTED_VALUE"""),20.6)</f>
        <v>20.6</v>
      </c>
      <c r="Y856" s="14">
        <f>IFERROR(__xludf.DUMMYFUNCTION("""COMPUTED_VALUE"""),20.4)</f>
        <v>20.4</v>
      </c>
      <c r="Z856" s="14">
        <f>IFERROR(__xludf.DUMMYFUNCTION("""COMPUTED_VALUE"""),20.6)</f>
        <v>20.6</v>
      </c>
      <c r="AA856" s="14">
        <f>IFERROR(__xludf.DUMMYFUNCTION("""COMPUTED_VALUE"""),20.8)</f>
        <v>20.8</v>
      </c>
      <c r="AB856" s="14"/>
      <c r="AC856" s="14">
        <f>IFERROR(__xludf.DUMMYFUNCTION("""COMPUTED_VALUE"""),20.6)</f>
        <v>20.6</v>
      </c>
      <c r="AD856" s="48">
        <f>IFERROR(__xludf.DUMMYFUNCTION("""COMPUTED_VALUE"""),230.0)</f>
        <v>230</v>
      </c>
      <c r="AE856" s="48">
        <f>IFERROR(__xludf.DUMMYFUNCTION("""COMPUTED_VALUE"""),239.0)</f>
        <v>239</v>
      </c>
      <c r="AF856" s="48">
        <f>IFERROR(__xludf.DUMMYFUNCTION("""COMPUTED_VALUE"""),279.0)</f>
        <v>279</v>
      </c>
      <c r="AG856" s="48">
        <f>IFERROR(__xludf.DUMMYFUNCTION("""COMPUTED_VALUE"""),281.0)</f>
        <v>281</v>
      </c>
      <c r="AH856" s="48"/>
      <c r="AI856" s="14">
        <f>IFERROR(__xludf.DUMMYFUNCTION("""COMPUTED_VALUE"""),257.25)</f>
        <v>257.25</v>
      </c>
      <c r="AJ856" s="14">
        <f>IFERROR(__xludf.DUMMYFUNCTION("""COMPUTED_VALUE"""),3.05)</f>
        <v>3.05</v>
      </c>
      <c r="AK856" s="14">
        <f>IFERROR(__xludf.DUMMYFUNCTION("""COMPUTED_VALUE"""),2.68)</f>
        <v>2.68</v>
      </c>
      <c r="AL856" s="14">
        <f>IFERROR(__xludf.DUMMYFUNCTION("""COMPUTED_VALUE"""),3.09)</f>
        <v>3.09</v>
      </c>
      <c r="AM856" s="14">
        <f>IFERROR(__xludf.DUMMYFUNCTION("""COMPUTED_VALUE"""),2.7)</f>
        <v>2.7</v>
      </c>
      <c r="AN856" s="14"/>
      <c r="AO856" s="14">
        <f>IFERROR(__xludf.DUMMYFUNCTION("""COMPUTED_VALUE"""),2.88)</f>
        <v>2.88</v>
      </c>
      <c r="AP856" s="14">
        <f>IFERROR(__xludf.DUMMYFUNCTION("""COMPUTED_VALUE"""),19.0)</f>
        <v>19</v>
      </c>
      <c r="AQ856" s="14">
        <f>IFERROR(__xludf.DUMMYFUNCTION("""COMPUTED_VALUE"""),29.0)</f>
        <v>29</v>
      </c>
      <c r="AR856" s="14">
        <f>IFERROR(__xludf.DUMMYFUNCTION("""COMPUTED_VALUE"""),51.0)</f>
        <v>51</v>
      </c>
      <c r="AS856" s="14">
        <f>IFERROR(__xludf.DUMMYFUNCTION("""COMPUTED_VALUE"""),1.2)</f>
        <v>1.2</v>
      </c>
      <c r="AT856" s="14">
        <f>IFERROR(__xludf.DUMMYFUNCTION("""COMPUTED_VALUE"""),1.02)</f>
        <v>1.02</v>
      </c>
      <c r="AU856" s="14">
        <f>IFERROR(__xludf.DUMMYFUNCTION("""COMPUTED_VALUE"""),1126000.0)</f>
        <v>1126000</v>
      </c>
      <c r="AV856" s="14">
        <f>IFERROR(__xludf.DUMMYFUNCTION("""COMPUTED_VALUE"""),0.69)</f>
        <v>0.69</v>
      </c>
      <c r="AW856" s="14">
        <f>IFERROR(__xludf.DUMMYFUNCTION("""COMPUTED_VALUE"""),5.6)</f>
        <v>5.6</v>
      </c>
      <c r="AX856" s="14">
        <f>IFERROR(__xludf.DUMMYFUNCTION("""COMPUTED_VALUE"""),959000.0)</f>
        <v>959000</v>
      </c>
      <c r="AY856" s="14">
        <f>IFERROR(__xludf.DUMMYFUNCTION("""COMPUTED_VALUE"""),0.5)</f>
        <v>0.5</v>
      </c>
      <c r="AZ856" s="14">
        <f>IFERROR(__xludf.DUMMYFUNCTION("""COMPUTED_VALUE"""),0.181)</f>
        <v>0.181</v>
      </c>
      <c r="BA856" s="14">
        <f t="shared" si="1"/>
        <v>6.281</v>
      </c>
    </row>
    <row r="857" ht="14.25" customHeight="1">
      <c r="A857" s="10" t="str">
        <f>IFERROR(__xludf.DUMMYFUNCTION("""COMPUTED_VALUE"""),"050623WI02")</f>
        <v>050623WI02</v>
      </c>
      <c r="B857" s="12" t="str">
        <f>IFERROR(__xludf.DUMMYFUNCTION("""COMPUTED_VALUE"""),"QLI-El Satélite")</f>
        <v>QLI-El Satélite</v>
      </c>
      <c r="C857" s="12"/>
      <c r="D857" s="12"/>
      <c r="E857" s="44">
        <f>IFERROR(__xludf.DUMMYFUNCTION("""COMPUTED_VALUE"""),45082.0)</f>
        <v>45082</v>
      </c>
      <c r="F857" s="12" t="str">
        <f>IFERROR(__xludf.DUMMYFUNCTION("""COMPUTED_VALUE"""),"TIPO I")</f>
        <v>TIPO I</v>
      </c>
      <c r="G857" s="12" t="str">
        <f>IFERROR(__xludf.DUMMYFUNCTION("""COMPUTED_VALUE"""),"Monitoreo realizado en canal con lecho en concreto, durante las toma de muestra se observa color y se percibe olor. ")</f>
        <v>Monitoreo realizado en canal con lecho en concreto, durante las toma de muestra se observa color y se percibe olor. </v>
      </c>
      <c r="H857" s="45">
        <f>IFERROR(__xludf.DUMMYFUNCTION("""COMPUTED_VALUE"""),0.5)</f>
        <v>0.5</v>
      </c>
      <c r="I857" s="45">
        <f>IFERROR(__xludf.DUMMYFUNCTION("""COMPUTED_VALUE"""),0.5833333333321207)</f>
        <v>0.5833333333</v>
      </c>
      <c r="J857" s="12">
        <f>IFERROR(__xludf.DUMMYFUNCTION("""COMPUTED_VALUE"""),2.6)</f>
        <v>2.6</v>
      </c>
      <c r="K857" s="12">
        <f>IFERROR(__xludf.DUMMYFUNCTION("""COMPUTED_VALUE"""),0.21)</f>
        <v>0.21</v>
      </c>
      <c r="L857" s="14">
        <f>IFERROR(__xludf.DUMMYFUNCTION("""COMPUTED_VALUE"""),143.779)</f>
        <v>143.779</v>
      </c>
      <c r="M857" s="14">
        <f>IFERROR(__xludf.DUMMYFUNCTION("""COMPUTED_VALUE"""),144.814)</f>
        <v>144.814</v>
      </c>
      <c r="N857" s="14">
        <f>IFERROR(__xludf.DUMMYFUNCTION("""COMPUTED_VALUE"""),146.625)</f>
        <v>146.625</v>
      </c>
      <c r="O857" s="14">
        <f>IFERROR(__xludf.DUMMYFUNCTION("""COMPUTED_VALUE"""),144.316)</f>
        <v>144.316</v>
      </c>
      <c r="P857" s="14">
        <f>IFERROR(__xludf.DUMMYFUNCTION("""COMPUTED_VALUE"""),145.128)</f>
        <v>145.128</v>
      </c>
      <c r="Q857" s="14">
        <f>IFERROR(__xludf.DUMMYFUNCTION("""COMPUTED_VALUE"""),144.933)</f>
        <v>144.933</v>
      </c>
      <c r="R857" s="48">
        <f>IFERROR(__xludf.DUMMYFUNCTION("""COMPUTED_VALUE"""),8.07)</f>
        <v>8.07</v>
      </c>
      <c r="S857" s="48">
        <f>IFERROR(__xludf.DUMMYFUNCTION("""COMPUTED_VALUE"""),7.91)</f>
        <v>7.91</v>
      </c>
      <c r="T857" s="48">
        <f>IFERROR(__xludf.DUMMYFUNCTION("""COMPUTED_VALUE"""),7.87)</f>
        <v>7.87</v>
      </c>
      <c r="U857" s="48">
        <f>IFERROR(__xludf.DUMMYFUNCTION("""COMPUTED_VALUE"""),7.93)</f>
        <v>7.93</v>
      </c>
      <c r="V857" s="48">
        <f>IFERROR(__xludf.DUMMYFUNCTION("""COMPUTED_VALUE"""),7.9)</f>
        <v>7.9</v>
      </c>
      <c r="W857" s="14">
        <f>IFERROR(__xludf.DUMMYFUNCTION("""COMPUTED_VALUE"""),7.936)</f>
        <v>7.936</v>
      </c>
      <c r="X857" s="14">
        <f>IFERROR(__xludf.DUMMYFUNCTION("""COMPUTED_VALUE"""),19.7)</f>
        <v>19.7</v>
      </c>
      <c r="Y857" s="14">
        <f>IFERROR(__xludf.DUMMYFUNCTION("""COMPUTED_VALUE"""),19.7)</f>
        <v>19.7</v>
      </c>
      <c r="Z857" s="14">
        <f>IFERROR(__xludf.DUMMYFUNCTION("""COMPUTED_VALUE"""),19.8)</f>
        <v>19.8</v>
      </c>
      <c r="AA857" s="14">
        <f>IFERROR(__xludf.DUMMYFUNCTION("""COMPUTED_VALUE"""),20.2)</f>
        <v>20.2</v>
      </c>
      <c r="AB857" s="14">
        <f>IFERROR(__xludf.DUMMYFUNCTION("""COMPUTED_VALUE"""),20.4)</f>
        <v>20.4</v>
      </c>
      <c r="AC857" s="14">
        <f>IFERROR(__xludf.DUMMYFUNCTION("""COMPUTED_VALUE"""),19.96)</f>
        <v>19.96</v>
      </c>
      <c r="AD857" s="48">
        <f>IFERROR(__xludf.DUMMYFUNCTION("""COMPUTED_VALUE"""),861.0)</f>
        <v>861</v>
      </c>
      <c r="AE857" s="48">
        <f>IFERROR(__xludf.DUMMYFUNCTION("""COMPUTED_VALUE"""),508.0)</f>
        <v>508</v>
      </c>
      <c r="AF857" s="48">
        <f>IFERROR(__xludf.DUMMYFUNCTION("""COMPUTED_VALUE"""),461.0)</f>
        <v>461</v>
      </c>
      <c r="AG857" s="48">
        <f>IFERROR(__xludf.DUMMYFUNCTION("""COMPUTED_VALUE"""),528.0)</f>
        <v>528</v>
      </c>
      <c r="AH857" s="48">
        <f>IFERROR(__xludf.DUMMYFUNCTION("""COMPUTED_VALUE"""),536.0)</f>
        <v>536</v>
      </c>
      <c r="AI857" s="14">
        <f>IFERROR(__xludf.DUMMYFUNCTION("""COMPUTED_VALUE"""),578.8)</f>
        <v>578.8</v>
      </c>
      <c r="AJ857" s="14">
        <f>IFERROR(__xludf.DUMMYFUNCTION("""COMPUTED_VALUE"""),3.42)</f>
        <v>3.42</v>
      </c>
      <c r="AK857" s="14">
        <f>IFERROR(__xludf.DUMMYFUNCTION("""COMPUTED_VALUE"""),2.97)</f>
        <v>2.97</v>
      </c>
      <c r="AL857" s="14">
        <f>IFERROR(__xludf.DUMMYFUNCTION("""COMPUTED_VALUE"""),2.42)</f>
        <v>2.42</v>
      </c>
      <c r="AM857" s="14">
        <f>IFERROR(__xludf.DUMMYFUNCTION("""COMPUTED_VALUE"""),2.65)</f>
        <v>2.65</v>
      </c>
      <c r="AN857" s="14">
        <f>IFERROR(__xludf.DUMMYFUNCTION("""COMPUTED_VALUE"""),2.35)</f>
        <v>2.35</v>
      </c>
      <c r="AO857" s="14">
        <f>IFERROR(__xludf.DUMMYFUNCTION("""COMPUTED_VALUE"""),2.762)</f>
        <v>2.762</v>
      </c>
      <c r="AP857" s="14">
        <f>IFERROR(__xludf.DUMMYFUNCTION("""COMPUTED_VALUE"""),35.0)</f>
        <v>35</v>
      </c>
      <c r="AQ857" s="14">
        <f>IFERROR(__xludf.DUMMYFUNCTION("""COMPUTED_VALUE"""),55.0)</f>
        <v>55</v>
      </c>
      <c r="AR857" s="14">
        <f>IFERROR(__xludf.DUMMYFUNCTION("""COMPUTED_VALUE"""),165.0)</f>
        <v>165</v>
      </c>
      <c r="AS857" s="14">
        <f>IFERROR(__xludf.DUMMYFUNCTION("""COMPUTED_VALUE"""),1.0)</f>
        <v>1</v>
      </c>
      <c r="AT857" s="14">
        <f>IFERROR(__xludf.DUMMYFUNCTION("""COMPUTED_VALUE"""),1.76)</f>
        <v>1.76</v>
      </c>
      <c r="AU857" s="14">
        <f>IFERROR(__xludf.DUMMYFUNCTION("""COMPUTED_VALUE"""),5690000.0)</f>
        <v>5690000</v>
      </c>
      <c r="AV857" s="14">
        <f>IFERROR(__xludf.DUMMYFUNCTION("""COMPUTED_VALUE"""),2.15)</f>
        <v>2.15</v>
      </c>
      <c r="AW857" s="14">
        <f>IFERROR(__xludf.DUMMYFUNCTION("""COMPUTED_VALUE"""),17.9)</f>
        <v>17.9</v>
      </c>
      <c r="AX857" s="14">
        <f>IFERROR(__xludf.DUMMYFUNCTION("""COMPUTED_VALUE"""),4970000.0)</f>
        <v>4970000</v>
      </c>
      <c r="AY857" s="14">
        <f>IFERROR(__xludf.DUMMYFUNCTION("""COMPUTED_VALUE"""),0.6)</f>
        <v>0.6</v>
      </c>
      <c r="AZ857" s="14">
        <f>IFERROR(__xludf.DUMMYFUNCTION("""COMPUTED_VALUE"""),0.007)</f>
        <v>0.007</v>
      </c>
      <c r="BA857" s="14">
        <f t="shared" si="1"/>
        <v>18.507</v>
      </c>
    </row>
    <row r="858" ht="14.25" customHeight="1">
      <c r="A858" s="10" t="str">
        <f>IFERROR(__xludf.DUMMYFUNCTION("""COMPUTED_VALUE"""),"050623DU03")</f>
        <v>050623DU03</v>
      </c>
      <c r="B858" s="12" t="str">
        <f>IFERROR(__xludf.DUMMYFUNCTION("""COMPUTED_VALUE"""),"QLI-Villa del Diamante")</f>
        <v>QLI-Villa del Diamante</v>
      </c>
      <c r="C858" s="12"/>
      <c r="D858" s="12"/>
      <c r="E858" s="44">
        <f>IFERROR(__xludf.DUMMYFUNCTION("""COMPUTED_VALUE"""),45082.0)</f>
        <v>45082</v>
      </c>
      <c r="F858" s="12" t="str">
        <f>IFERROR(__xludf.DUMMYFUNCTION("""COMPUTED_VALUE"""),"TIPO I")</f>
        <v>TIPO I</v>
      </c>
      <c r="G858" s="12" t="str">
        <f>IFERROR(__xludf.DUMMYFUNCTION("""COMPUTED_VALUE"""),"Canal natural con lecho rocoso, se percibe olor, se observa color y espuma, presencia de residuos sólidos alrededor del punto de monitoreo. Altitud 2639 msnm.")</f>
        <v>Canal natural con lecho rocoso, se percibe olor, se observa color y espuma, presencia de residuos sólidos alrededor del punto de monitoreo. Altitud 2639 msnm.</v>
      </c>
      <c r="H858" s="45">
        <f>IFERROR(__xludf.DUMMYFUNCTION("""COMPUTED_VALUE"""),0.4166666666678793)</f>
        <v>0.4166666667</v>
      </c>
      <c r="I858" s="45">
        <f>IFERROR(__xludf.DUMMYFUNCTION("""COMPUTED_VALUE"""),0.5)</f>
        <v>0.5</v>
      </c>
      <c r="J858" s="12">
        <f>IFERROR(__xludf.DUMMYFUNCTION("""COMPUTED_VALUE"""),1.8)</f>
        <v>1.8</v>
      </c>
      <c r="K858" s="12">
        <f>IFERROR(__xludf.DUMMYFUNCTION("""COMPUTED_VALUE"""),0.1)</f>
        <v>0.1</v>
      </c>
      <c r="L858" s="14">
        <f>IFERROR(__xludf.DUMMYFUNCTION("""COMPUTED_VALUE"""),78.424)</f>
        <v>78.424</v>
      </c>
      <c r="M858" s="14">
        <f>IFERROR(__xludf.DUMMYFUNCTION("""COMPUTED_VALUE"""),81.674)</f>
        <v>81.674</v>
      </c>
      <c r="N858" s="14">
        <f>IFERROR(__xludf.DUMMYFUNCTION("""COMPUTED_VALUE"""),85.573)</f>
        <v>85.573</v>
      </c>
      <c r="O858" s="14">
        <f>IFERROR(__xludf.DUMMYFUNCTION("""COMPUTED_VALUE"""),88.869)</f>
        <v>88.869</v>
      </c>
      <c r="P858" s="14">
        <f>IFERROR(__xludf.DUMMYFUNCTION("""COMPUTED_VALUE"""),91.31)</f>
        <v>91.31</v>
      </c>
      <c r="Q858" s="14">
        <f>IFERROR(__xludf.DUMMYFUNCTION("""COMPUTED_VALUE"""),85.17)</f>
        <v>85.17</v>
      </c>
      <c r="R858" s="48">
        <f>IFERROR(__xludf.DUMMYFUNCTION("""COMPUTED_VALUE"""),8.37)</f>
        <v>8.37</v>
      </c>
      <c r="S858" s="48">
        <f>IFERROR(__xludf.DUMMYFUNCTION("""COMPUTED_VALUE"""),8.49)</f>
        <v>8.49</v>
      </c>
      <c r="T858" s="48">
        <f>IFERROR(__xludf.DUMMYFUNCTION("""COMPUTED_VALUE"""),8.2)</f>
        <v>8.2</v>
      </c>
      <c r="U858" s="48">
        <f>IFERROR(__xludf.DUMMYFUNCTION("""COMPUTED_VALUE"""),8.29)</f>
        <v>8.29</v>
      </c>
      <c r="V858" s="48">
        <f>IFERROR(__xludf.DUMMYFUNCTION("""COMPUTED_VALUE"""),8.02)</f>
        <v>8.02</v>
      </c>
      <c r="W858" s="14">
        <f>IFERROR(__xludf.DUMMYFUNCTION("""COMPUTED_VALUE"""),8.273999999999997)</f>
        <v>8.274</v>
      </c>
      <c r="X858" s="14">
        <f>IFERROR(__xludf.DUMMYFUNCTION("""COMPUTED_VALUE"""),17.4)</f>
        <v>17.4</v>
      </c>
      <c r="Y858" s="14">
        <f>IFERROR(__xludf.DUMMYFUNCTION("""COMPUTED_VALUE"""),17.8)</f>
        <v>17.8</v>
      </c>
      <c r="Z858" s="14">
        <f>IFERROR(__xludf.DUMMYFUNCTION("""COMPUTED_VALUE"""),17.9)</f>
        <v>17.9</v>
      </c>
      <c r="AA858" s="14">
        <f>IFERROR(__xludf.DUMMYFUNCTION("""COMPUTED_VALUE"""),17.2)</f>
        <v>17.2</v>
      </c>
      <c r="AB858" s="14">
        <f>IFERROR(__xludf.DUMMYFUNCTION("""COMPUTED_VALUE"""),17.8)</f>
        <v>17.8</v>
      </c>
      <c r="AC858" s="14">
        <f>IFERROR(__xludf.DUMMYFUNCTION("""COMPUTED_VALUE"""),17.619999999999997)</f>
        <v>17.62</v>
      </c>
      <c r="AD858" s="48">
        <f>IFERROR(__xludf.DUMMYFUNCTION("""COMPUTED_VALUE"""),339.0)</f>
        <v>339</v>
      </c>
      <c r="AE858" s="48">
        <f>IFERROR(__xludf.DUMMYFUNCTION("""COMPUTED_VALUE"""),343.0)</f>
        <v>343</v>
      </c>
      <c r="AF858" s="48">
        <f>IFERROR(__xludf.DUMMYFUNCTION("""COMPUTED_VALUE"""),312.0)</f>
        <v>312</v>
      </c>
      <c r="AG858" s="48">
        <f>IFERROR(__xludf.DUMMYFUNCTION("""COMPUTED_VALUE"""),484.0)</f>
        <v>484</v>
      </c>
      <c r="AH858" s="48">
        <f>IFERROR(__xludf.DUMMYFUNCTION("""COMPUTED_VALUE"""),348.0)</f>
        <v>348</v>
      </c>
      <c r="AI858" s="14">
        <f>IFERROR(__xludf.DUMMYFUNCTION("""COMPUTED_VALUE"""),365.2)</f>
        <v>365.2</v>
      </c>
      <c r="AJ858" s="14">
        <f>IFERROR(__xludf.DUMMYFUNCTION("""COMPUTED_VALUE"""),5.55)</f>
        <v>5.55</v>
      </c>
      <c r="AK858" s="14">
        <f>IFERROR(__xludf.DUMMYFUNCTION("""COMPUTED_VALUE"""),5.26)</f>
        <v>5.26</v>
      </c>
      <c r="AL858" s="14">
        <f>IFERROR(__xludf.DUMMYFUNCTION("""COMPUTED_VALUE"""),5.21)</f>
        <v>5.21</v>
      </c>
      <c r="AM858" s="14">
        <f>IFERROR(__xludf.DUMMYFUNCTION("""COMPUTED_VALUE"""),5.64)</f>
        <v>5.64</v>
      </c>
      <c r="AN858" s="14">
        <f>IFERROR(__xludf.DUMMYFUNCTION("""COMPUTED_VALUE"""),5.48)</f>
        <v>5.48</v>
      </c>
      <c r="AO858" s="14">
        <f>IFERROR(__xludf.DUMMYFUNCTION("""COMPUTED_VALUE"""),5.428)</f>
        <v>5.428</v>
      </c>
      <c r="AP858" s="14">
        <f>IFERROR(__xludf.DUMMYFUNCTION("""COMPUTED_VALUE"""),20.0)</f>
        <v>20</v>
      </c>
      <c r="AQ858" s="14">
        <f>IFERROR(__xludf.DUMMYFUNCTION("""COMPUTED_VALUE"""),32.0)</f>
        <v>32</v>
      </c>
      <c r="AR858" s="14">
        <f>IFERROR(__xludf.DUMMYFUNCTION("""COMPUTED_VALUE"""),117.0)</f>
        <v>117</v>
      </c>
      <c r="AS858" s="14">
        <f>IFERROR(__xludf.DUMMYFUNCTION("""COMPUTED_VALUE"""),1.0)</f>
        <v>1</v>
      </c>
      <c r="AT858" s="14">
        <f>IFERROR(__xludf.DUMMYFUNCTION("""COMPUTED_VALUE"""),0.24)</f>
        <v>0.24</v>
      </c>
      <c r="AU858" s="14">
        <f>IFERROR(__xludf.DUMMYFUNCTION("""COMPUTED_VALUE"""),784000.0)</f>
        <v>784000</v>
      </c>
      <c r="AV858" s="14">
        <f>IFERROR(__xludf.DUMMYFUNCTION("""COMPUTED_VALUE"""),1.05)</f>
        <v>1.05</v>
      </c>
      <c r="AW858" s="14">
        <f>IFERROR(__xludf.DUMMYFUNCTION("""COMPUTED_VALUE"""),9.5)</f>
        <v>9.5</v>
      </c>
      <c r="AX858" s="14">
        <f>IFERROR(__xludf.DUMMYFUNCTION("""COMPUTED_VALUE"""),616000.0)</f>
        <v>616000</v>
      </c>
      <c r="AY858" s="14">
        <f>IFERROR(__xludf.DUMMYFUNCTION("""COMPUTED_VALUE"""),2.6)</f>
        <v>2.6</v>
      </c>
      <c r="AZ858" s="14">
        <f>IFERROR(__xludf.DUMMYFUNCTION("""COMPUTED_VALUE"""),0.077)</f>
        <v>0.077</v>
      </c>
      <c r="BA858" s="14">
        <f t="shared" si="1"/>
        <v>12.177</v>
      </c>
    </row>
    <row r="859" ht="14.25" customHeight="1">
      <c r="A859" s="10" t="str">
        <f>IFERROR(__xludf.DUMMYFUNCTION("""COMPUTED_VALUE"""),"070623DA01")</f>
        <v>070623DA01</v>
      </c>
      <c r="B859" s="12" t="str">
        <f>IFERROR(__xludf.DUMMYFUNCTION("""COMPUTED_VALUE"""),"HCO-Los Lagartos")</f>
        <v>HCO-Los Lagartos</v>
      </c>
      <c r="C859" s="12"/>
      <c r="D859" s="12"/>
      <c r="E859" s="44">
        <f>IFERROR(__xludf.DUMMYFUNCTION("""COMPUTED_VALUE"""),45084.0)</f>
        <v>45084</v>
      </c>
      <c r="F859" s="12" t="str">
        <f>IFERROR(__xludf.DUMMYFUNCTION("""COMPUTED_VALUE"""),"TIPO I")</f>
        <v>TIPO I</v>
      </c>
      <c r="G859" s="12" t="str">
        <f>IFERROR(__xludf.DUMMYFUNCTION("""COMPUTED_VALUE"""),"Canal en concreto, se observa color y se percibe olor. Altitud 2561 msnm.")</f>
        <v>Canal en concreto, se observa color y se percibe olor. Altitud 2561 msnm.</v>
      </c>
      <c r="H859" s="45">
        <f>IFERROR(__xludf.DUMMYFUNCTION("""COMPUTED_VALUE"""),0.5)</f>
        <v>0.5</v>
      </c>
      <c r="I859" s="45">
        <f>IFERROR(__xludf.DUMMYFUNCTION("""COMPUTED_VALUE"""),0.5833333333321207)</f>
        <v>0.5833333333</v>
      </c>
      <c r="J859" s="12">
        <f>IFERROR(__xludf.DUMMYFUNCTION("""COMPUTED_VALUE"""),6.3)</f>
        <v>6.3</v>
      </c>
      <c r="K859" s="12">
        <f>IFERROR(__xludf.DUMMYFUNCTION("""COMPUTED_VALUE"""),0.59)</f>
        <v>0.59</v>
      </c>
      <c r="L859" s="14">
        <f>IFERROR(__xludf.DUMMYFUNCTION("""COMPUTED_VALUE"""),440.486)</f>
        <v>440.486</v>
      </c>
      <c r="M859" s="14">
        <f>IFERROR(__xludf.DUMMYFUNCTION("""COMPUTED_VALUE"""),447.059)</f>
        <v>447.059</v>
      </c>
      <c r="N859" s="14">
        <f>IFERROR(__xludf.DUMMYFUNCTION("""COMPUTED_VALUE"""),459.721)</f>
        <v>459.721</v>
      </c>
      <c r="O859" s="14">
        <f>IFERROR(__xludf.DUMMYFUNCTION("""COMPUTED_VALUE"""),426.256)</f>
        <v>426.256</v>
      </c>
      <c r="P859" s="14">
        <f>IFERROR(__xludf.DUMMYFUNCTION("""COMPUTED_VALUE"""),435.385)</f>
        <v>435.385</v>
      </c>
      <c r="Q859" s="14">
        <f>IFERROR(__xludf.DUMMYFUNCTION("""COMPUTED_VALUE"""),441.782)</f>
        <v>441.782</v>
      </c>
      <c r="R859" s="48">
        <f>IFERROR(__xludf.DUMMYFUNCTION("""COMPUTED_VALUE"""),7.14)</f>
        <v>7.14</v>
      </c>
      <c r="S859" s="48">
        <f>IFERROR(__xludf.DUMMYFUNCTION("""COMPUTED_VALUE"""),7.2)</f>
        <v>7.2</v>
      </c>
      <c r="T859" s="48">
        <f>IFERROR(__xludf.DUMMYFUNCTION("""COMPUTED_VALUE"""),7.03)</f>
        <v>7.03</v>
      </c>
      <c r="U859" s="48">
        <f>IFERROR(__xludf.DUMMYFUNCTION("""COMPUTED_VALUE"""),7.1)</f>
        <v>7.1</v>
      </c>
      <c r="V859" s="48">
        <f>IFERROR(__xludf.DUMMYFUNCTION("""COMPUTED_VALUE"""),6.95)</f>
        <v>6.95</v>
      </c>
      <c r="W859" s="14">
        <f>IFERROR(__xludf.DUMMYFUNCTION("""COMPUTED_VALUE"""),7.0840000000000005)</f>
        <v>7.084</v>
      </c>
      <c r="X859" s="14">
        <f>IFERROR(__xludf.DUMMYFUNCTION("""COMPUTED_VALUE"""),18.6)</f>
        <v>18.6</v>
      </c>
      <c r="Y859" s="14">
        <f>IFERROR(__xludf.DUMMYFUNCTION("""COMPUTED_VALUE"""),18.8)</f>
        <v>18.8</v>
      </c>
      <c r="Z859" s="14">
        <f>IFERROR(__xludf.DUMMYFUNCTION("""COMPUTED_VALUE"""),18.9)</f>
        <v>18.9</v>
      </c>
      <c r="AA859" s="14">
        <f>IFERROR(__xludf.DUMMYFUNCTION("""COMPUTED_VALUE"""),19.0)</f>
        <v>19</v>
      </c>
      <c r="AB859" s="14">
        <f>IFERROR(__xludf.DUMMYFUNCTION("""COMPUTED_VALUE"""),19.2)</f>
        <v>19.2</v>
      </c>
      <c r="AC859" s="14">
        <f>IFERROR(__xludf.DUMMYFUNCTION("""COMPUTED_VALUE"""),18.900000000000002)</f>
        <v>18.9</v>
      </c>
      <c r="AD859" s="48">
        <f>IFERROR(__xludf.DUMMYFUNCTION("""COMPUTED_VALUE"""),383.0)</f>
        <v>383</v>
      </c>
      <c r="AE859" s="48">
        <f>IFERROR(__xludf.DUMMYFUNCTION("""COMPUTED_VALUE"""),369.0)</f>
        <v>369</v>
      </c>
      <c r="AF859" s="48">
        <f>IFERROR(__xludf.DUMMYFUNCTION("""COMPUTED_VALUE"""),378.0)</f>
        <v>378</v>
      </c>
      <c r="AG859" s="48">
        <f>IFERROR(__xludf.DUMMYFUNCTION("""COMPUTED_VALUE"""),370.0)</f>
        <v>370</v>
      </c>
      <c r="AH859" s="48">
        <f>IFERROR(__xludf.DUMMYFUNCTION("""COMPUTED_VALUE"""),338.0)</f>
        <v>338</v>
      </c>
      <c r="AI859" s="14">
        <f>IFERROR(__xludf.DUMMYFUNCTION("""COMPUTED_VALUE"""),367.6)</f>
        <v>367.6</v>
      </c>
      <c r="AJ859" s="14">
        <f>IFERROR(__xludf.DUMMYFUNCTION("""COMPUTED_VALUE"""),2.2)</f>
        <v>2.2</v>
      </c>
      <c r="AK859" s="14">
        <f>IFERROR(__xludf.DUMMYFUNCTION("""COMPUTED_VALUE"""),1.32)</f>
        <v>1.32</v>
      </c>
      <c r="AL859" s="14">
        <f>IFERROR(__xludf.DUMMYFUNCTION("""COMPUTED_VALUE"""),1.63)</f>
        <v>1.63</v>
      </c>
      <c r="AM859" s="14">
        <f>IFERROR(__xludf.DUMMYFUNCTION("""COMPUTED_VALUE"""),1.97)</f>
        <v>1.97</v>
      </c>
      <c r="AN859" s="14">
        <f>IFERROR(__xludf.DUMMYFUNCTION("""COMPUTED_VALUE"""),1.34)</f>
        <v>1.34</v>
      </c>
      <c r="AO859" s="14">
        <f>IFERROR(__xludf.DUMMYFUNCTION("""COMPUTED_VALUE"""),1.6920000000000002)</f>
        <v>1.692</v>
      </c>
      <c r="AP859" s="14">
        <f>IFERROR(__xludf.DUMMYFUNCTION("""COMPUTED_VALUE"""),32.0)</f>
        <v>32</v>
      </c>
      <c r="AQ859" s="14">
        <f>IFERROR(__xludf.DUMMYFUNCTION("""COMPUTED_VALUE"""),47.0)</f>
        <v>47</v>
      </c>
      <c r="AR859" s="14">
        <f>IFERROR(__xludf.DUMMYFUNCTION("""COMPUTED_VALUE"""),22.0)</f>
        <v>22</v>
      </c>
      <c r="AS859" s="14">
        <f>IFERROR(__xludf.DUMMYFUNCTION("""COMPUTED_VALUE"""),1.0)</f>
        <v>1</v>
      </c>
      <c r="AT859" s="14">
        <f>IFERROR(__xludf.DUMMYFUNCTION("""COMPUTED_VALUE"""),1.45)</f>
        <v>1.45</v>
      </c>
      <c r="AU859" s="14">
        <f>IFERROR(__xludf.DUMMYFUNCTION("""COMPUTED_VALUE"""),172300.0)</f>
        <v>172300</v>
      </c>
      <c r="AV859" s="14">
        <f>IFERROR(__xludf.DUMMYFUNCTION("""COMPUTED_VALUE"""),0.58)</f>
        <v>0.58</v>
      </c>
      <c r="AW859" s="14">
        <f>IFERROR(__xludf.DUMMYFUNCTION("""COMPUTED_VALUE"""),14.0)</f>
        <v>14</v>
      </c>
      <c r="AX859" s="14">
        <f>IFERROR(__xludf.DUMMYFUNCTION("""COMPUTED_VALUE"""),98400.0)</f>
        <v>98400</v>
      </c>
      <c r="AY859" s="14">
        <f>IFERROR(__xludf.DUMMYFUNCTION("""COMPUTED_VALUE"""),0.4)</f>
        <v>0.4</v>
      </c>
      <c r="AZ859" s="14">
        <f>IFERROR(__xludf.DUMMYFUNCTION("""COMPUTED_VALUE"""),0.007)</f>
        <v>0.007</v>
      </c>
      <c r="BA859" s="14">
        <f t="shared" si="1"/>
        <v>14.407</v>
      </c>
    </row>
    <row r="860" ht="14.25" customHeight="1">
      <c r="A860" s="10" t="str">
        <f>IFERROR(__xludf.DUMMYFUNCTION("""COMPUTED_VALUE"""),"080623WI03")</f>
        <v>080623WI03</v>
      </c>
      <c r="B860" s="12" t="str">
        <f>IFERROR(__xludf.DUMMYFUNCTION("""COMPUTED_VALUE"""),"CMO-Alhambra")</f>
        <v>CMO-Alhambra</v>
      </c>
      <c r="C860" s="12"/>
      <c r="D860" s="12"/>
      <c r="E860" s="44">
        <f>IFERROR(__xludf.DUMMYFUNCTION("""COMPUTED_VALUE"""),45085.0)</f>
        <v>45085</v>
      </c>
      <c r="F860" s="12" t="str">
        <f>IFERROR(__xludf.DUMMYFUNCTION("""COMPUTED_VALUE"""),"TIPO I")</f>
        <v>TIPO I</v>
      </c>
      <c r="G860" s="12" t="str">
        <f>IFERROR(__xludf.DUMMYFUNCTION("""COMPUTED_VALUE"""),"Canal en concreto, se observa color y se percibe olor en la muestra de agua. Altitud 2559 msnm.")</f>
        <v>Canal en concreto, se observa color y se percibe olor en la muestra de agua. Altitud 2559 msnm.</v>
      </c>
      <c r="H860" s="45">
        <f>IFERROR(__xludf.DUMMYFUNCTION("""COMPUTED_VALUE"""),0.6666666666678793)</f>
        <v>0.6666666667</v>
      </c>
      <c r="I860" s="45">
        <f>IFERROR(__xludf.DUMMYFUNCTION("""COMPUTED_VALUE"""),0.75)</f>
        <v>0.75</v>
      </c>
      <c r="J860" s="12">
        <f>IFERROR(__xludf.DUMMYFUNCTION("""COMPUTED_VALUE"""),6.9)</f>
        <v>6.9</v>
      </c>
      <c r="K860" s="12">
        <f>IFERROR(__xludf.DUMMYFUNCTION("""COMPUTED_VALUE"""),0.36)</f>
        <v>0.36</v>
      </c>
      <c r="L860" s="14">
        <f>IFERROR(__xludf.DUMMYFUNCTION("""COMPUTED_VALUE"""),469.51)</f>
        <v>469.51</v>
      </c>
      <c r="M860" s="14">
        <f>IFERROR(__xludf.DUMMYFUNCTION("""COMPUTED_VALUE"""),432.75)</f>
        <v>432.75</v>
      </c>
      <c r="N860" s="14">
        <f>IFERROR(__xludf.DUMMYFUNCTION("""COMPUTED_VALUE"""),443.152)</f>
        <v>443.152</v>
      </c>
      <c r="O860" s="14">
        <f>IFERROR(__xludf.DUMMYFUNCTION("""COMPUTED_VALUE"""),461.152)</f>
        <v>461.152</v>
      </c>
      <c r="P860" s="14">
        <f>IFERROR(__xludf.DUMMYFUNCTION("""COMPUTED_VALUE"""),465.674)</f>
        <v>465.674</v>
      </c>
      <c r="Q860" s="14">
        <f>IFERROR(__xludf.DUMMYFUNCTION("""COMPUTED_VALUE"""),454.448)</f>
        <v>454.448</v>
      </c>
      <c r="R860" s="48">
        <f>IFERROR(__xludf.DUMMYFUNCTION("""COMPUTED_VALUE"""),7.53)</f>
        <v>7.53</v>
      </c>
      <c r="S860" s="48">
        <f>IFERROR(__xludf.DUMMYFUNCTION("""COMPUTED_VALUE"""),7.33)</f>
        <v>7.33</v>
      </c>
      <c r="T860" s="48">
        <f>IFERROR(__xludf.DUMMYFUNCTION("""COMPUTED_VALUE"""),7.5)</f>
        <v>7.5</v>
      </c>
      <c r="U860" s="48">
        <f>IFERROR(__xludf.DUMMYFUNCTION("""COMPUTED_VALUE"""),7.41)</f>
        <v>7.41</v>
      </c>
      <c r="V860" s="48">
        <f>IFERROR(__xludf.DUMMYFUNCTION("""COMPUTED_VALUE"""),7.49)</f>
        <v>7.49</v>
      </c>
      <c r="W860" s="14">
        <f>IFERROR(__xludf.DUMMYFUNCTION("""COMPUTED_VALUE"""),7.452)</f>
        <v>7.452</v>
      </c>
      <c r="X860" s="14">
        <f>IFERROR(__xludf.DUMMYFUNCTION("""COMPUTED_VALUE"""),23.2)</f>
        <v>23.2</v>
      </c>
      <c r="Y860" s="14">
        <f>IFERROR(__xludf.DUMMYFUNCTION("""COMPUTED_VALUE"""),22.8)</f>
        <v>22.8</v>
      </c>
      <c r="Z860" s="14">
        <f>IFERROR(__xludf.DUMMYFUNCTION("""COMPUTED_VALUE"""),22.7)</f>
        <v>22.7</v>
      </c>
      <c r="AA860" s="14">
        <f>IFERROR(__xludf.DUMMYFUNCTION("""COMPUTED_VALUE"""),22.5)</f>
        <v>22.5</v>
      </c>
      <c r="AB860" s="14">
        <f>IFERROR(__xludf.DUMMYFUNCTION("""COMPUTED_VALUE"""),22.1)</f>
        <v>22.1</v>
      </c>
      <c r="AC860" s="14">
        <f>IFERROR(__xludf.DUMMYFUNCTION("""COMPUTED_VALUE"""),22.660000000000004)</f>
        <v>22.66</v>
      </c>
      <c r="AD860" s="48">
        <f>IFERROR(__xludf.DUMMYFUNCTION("""COMPUTED_VALUE"""),425.0)</f>
        <v>425</v>
      </c>
      <c r="AE860" s="48">
        <f>IFERROR(__xludf.DUMMYFUNCTION("""COMPUTED_VALUE"""),397.0)</f>
        <v>397</v>
      </c>
      <c r="AF860" s="48">
        <f>IFERROR(__xludf.DUMMYFUNCTION("""COMPUTED_VALUE"""),439.0)</f>
        <v>439</v>
      </c>
      <c r="AG860" s="48">
        <f>IFERROR(__xludf.DUMMYFUNCTION("""COMPUTED_VALUE"""),403.0)</f>
        <v>403</v>
      </c>
      <c r="AH860" s="48">
        <f>IFERROR(__xludf.DUMMYFUNCTION("""COMPUTED_VALUE"""),435.0)</f>
        <v>435</v>
      </c>
      <c r="AI860" s="14">
        <f>IFERROR(__xludf.DUMMYFUNCTION("""COMPUTED_VALUE"""),419.8)</f>
        <v>419.8</v>
      </c>
      <c r="AJ860" s="14">
        <f>IFERROR(__xludf.DUMMYFUNCTION("""COMPUTED_VALUE"""),1.04)</f>
        <v>1.04</v>
      </c>
      <c r="AK860" s="14">
        <f>IFERROR(__xludf.DUMMYFUNCTION("""COMPUTED_VALUE"""),1.35)</f>
        <v>1.35</v>
      </c>
      <c r="AL860" s="14">
        <f>IFERROR(__xludf.DUMMYFUNCTION("""COMPUTED_VALUE"""),1.29)</f>
        <v>1.29</v>
      </c>
      <c r="AM860" s="14">
        <f>IFERROR(__xludf.DUMMYFUNCTION("""COMPUTED_VALUE"""),1.36)</f>
        <v>1.36</v>
      </c>
      <c r="AN860" s="14">
        <f>IFERROR(__xludf.DUMMYFUNCTION("""COMPUTED_VALUE"""),1.15)</f>
        <v>1.15</v>
      </c>
      <c r="AO860" s="14">
        <f>IFERROR(__xludf.DUMMYFUNCTION("""COMPUTED_VALUE"""),1.238)</f>
        <v>1.238</v>
      </c>
      <c r="AP860" s="14">
        <f>IFERROR(__xludf.DUMMYFUNCTION("""COMPUTED_VALUE"""),80.0)</f>
        <v>80</v>
      </c>
      <c r="AQ860" s="14">
        <f>IFERROR(__xludf.DUMMYFUNCTION("""COMPUTED_VALUE"""),125.0)</f>
        <v>125</v>
      </c>
      <c r="AR860" s="14">
        <f>IFERROR(__xludf.DUMMYFUNCTION("""COMPUTED_VALUE"""),54.0)</f>
        <v>54</v>
      </c>
      <c r="AS860" s="14">
        <f>IFERROR(__xludf.DUMMYFUNCTION("""COMPUTED_VALUE"""),28.0)</f>
        <v>28</v>
      </c>
      <c r="AT860" s="14">
        <f>IFERROR(__xludf.DUMMYFUNCTION("""COMPUTED_VALUE"""),2.22)</f>
        <v>2.22</v>
      </c>
      <c r="AU860" s="14">
        <f>IFERROR(__xludf.DUMMYFUNCTION("""COMPUTED_VALUE"""),9320000.0)</f>
        <v>9320000</v>
      </c>
      <c r="AV860" s="14">
        <f>IFERROR(__xludf.DUMMYFUNCTION("""COMPUTED_VALUE"""),1.73)</f>
        <v>1.73</v>
      </c>
      <c r="AW860" s="14">
        <f>IFERROR(__xludf.DUMMYFUNCTION("""COMPUTED_VALUE"""),24.1)</f>
        <v>24.1</v>
      </c>
      <c r="AX860" s="14">
        <f>IFERROR(__xludf.DUMMYFUNCTION("""COMPUTED_VALUE"""),5710000.0)</f>
        <v>5710000</v>
      </c>
      <c r="AY860" s="14">
        <f>IFERROR(__xludf.DUMMYFUNCTION("""COMPUTED_VALUE"""),1.5)</f>
        <v>1.5</v>
      </c>
      <c r="AZ860" s="14">
        <f>IFERROR(__xludf.DUMMYFUNCTION("""COMPUTED_VALUE"""),0.007)</f>
        <v>0.007</v>
      </c>
      <c r="BA860" s="14">
        <f t="shared" si="1"/>
        <v>25.607</v>
      </c>
    </row>
    <row r="861" ht="14.25" customHeight="1">
      <c r="A861" s="10" t="str">
        <f>IFERROR(__xludf.DUMMYFUNCTION("""COMPUTED_VALUE"""),"080623DU02")</f>
        <v>080623DU02</v>
      </c>
      <c r="B861" s="12" t="str">
        <f>IFERROR(__xludf.DUMMYFUNCTION("""COMPUTED_VALUE"""),"CMO-Pepe Sierra")</f>
        <v>CMO-Pepe Sierra</v>
      </c>
      <c r="C861" s="12"/>
      <c r="D861" s="12"/>
      <c r="E861" s="44">
        <f>IFERROR(__xludf.DUMMYFUNCTION("""COMPUTED_VALUE"""),45085.0)</f>
        <v>45085</v>
      </c>
      <c r="F861" s="12" t="str">
        <f>IFERROR(__xludf.DUMMYFUNCTION("""COMPUTED_VALUE"""),"TIPO I")</f>
        <v>TIPO I</v>
      </c>
      <c r="G861" s="12" t="str">
        <f>IFERROR(__xludf.DUMMYFUNCTION("""COMPUTED_VALUE"""),"Estructura del canal en concreto, lecho lamoso, se observa color, se percibe olor, durante el monitoreo se presentaron lluvias leves")</f>
        <v>Estructura del canal en concreto, lecho lamoso, se observa color, se percibe olor, durante el monitoreo se presentaron lluvias leves</v>
      </c>
      <c r="H861" s="45">
        <f>IFERROR(__xludf.DUMMYFUNCTION("""COMPUTED_VALUE"""),0.5)</f>
        <v>0.5</v>
      </c>
      <c r="I861" s="45">
        <f>IFERROR(__xludf.DUMMYFUNCTION("""COMPUTED_VALUE"""),0.5833333333321207)</f>
        <v>0.5833333333</v>
      </c>
      <c r="J861" s="12">
        <f>IFERROR(__xludf.DUMMYFUNCTION("""COMPUTED_VALUE"""),7.9)</f>
        <v>7.9</v>
      </c>
      <c r="K861" s="12">
        <f>IFERROR(__xludf.DUMMYFUNCTION("""COMPUTED_VALUE"""),0.2)</f>
        <v>0.2</v>
      </c>
      <c r="L861" s="14">
        <f>IFERROR(__xludf.DUMMYFUNCTION("""COMPUTED_VALUE"""),342.783)</f>
        <v>342.783</v>
      </c>
      <c r="M861" s="14">
        <f>IFERROR(__xludf.DUMMYFUNCTION("""COMPUTED_VALUE"""),342.038)</f>
        <v>342.038</v>
      </c>
      <c r="N861" s="14">
        <f>IFERROR(__xludf.DUMMYFUNCTION("""COMPUTED_VALUE"""),343.134)</f>
        <v>343.134</v>
      </c>
      <c r="O861" s="14">
        <f>IFERROR(__xludf.DUMMYFUNCTION("""COMPUTED_VALUE"""),348.866)</f>
        <v>348.866</v>
      </c>
      <c r="P861" s="14">
        <f>IFERROR(__xludf.DUMMYFUNCTION("""COMPUTED_VALUE"""),346.717)</f>
        <v>346.717</v>
      </c>
      <c r="Q861" s="14">
        <f>IFERROR(__xludf.DUMMYFUNCTION("""COMPUTED_VALUE"""),344.707)</f>
        <v>344.707</v>
      </c>
      <c r="R861" s="48">
        <f>IFERROR(__xludf.DUMMYFUNCTION("""COMPUTED_VALUE"""),7.3)</f>
        <v>7.3</v>
      </c>
      <c r="S861" s="48">
        <f>IFERROR(__xludf.DUMMYFUNCTION("""COMPUTED_VALUE"""),7.27)</f>
        <v>7.27</v>
      </c>
      <c r="T861" s="48">
        <f>IFERROR(__xludf.DUMMYFUNCTION("""COMPUTED_VALUE"""),7.09)</f>
        <v>7.09</v>
      </c>
      <c r="U861" s="48">
        <f>IFERROR(__xludf.DUMMYFUNCTION("""COMPUTED_VALUE"""),7.15)</f>
        <v>7.15</v>
      </c>
      <c r="V861" s="48">
        <f>IFERROR(__xludf.DUMMYFUNCTION("""COMPUTED_VALUE"""),7.25)</f>
        <v>7.25</v>
      </c>
      <c r="W861" s="14">
        <f>IFERROR(__xludf.DUMMYFUNCTION("""COMPUTED_VALUE"""),7.212000000000001)</f>
        <v>7.212</v>
      </c>
      <c r="X861" s="14">
        <f>IFERROR(__xludf.DUMMYFUNCTION("""COMPUTED_VALUE"""),20.7)</f>
        <v>20.7</v>
      </c>
      <c r="Y861" s="14">
        <f>IFERROR(__xludf.DUMMYFUNCTION("""COMPUTED_VALUE"""),20.6)</f>
        <v>20.6</v>
      </c>
      <c r="Z861" s="14">
        <f>IFERROR(__xludf.DUMMYFUNCTION("""COMPUTED_VALUE"""),20.5)</f>
        <v>20.5</v>
      </c>
      <c r="AA861" s="14">
        <f>IFERROR(__xludf.DUMMYFUNCTION("""COMPUTED_VALUE"""),20.3)</f>
        <v>20.3</v>
      </c>
      <c r="AB861" s="14">
        <f>IFERROR(__xludf.DUMMYFUNCTION("""COMPUTED_VALUE"""),21.0)</f>
        <v>21</v>
      </c>
      <c r="AC861" s="14">
        <f>IFERROR(__xludf.DUMMYFUNCTION("""COMPUTED_VALUE"""),20.619999999999997)</f>
        <v>20.62</v>
      </c>
      <c r="AD861" s="48">
        <f>IFERROR(__xludf.DUMMYFUNCTION("""COMPUTED_VALUE"""),285.0)</f>
        <v>285</v>
      </c>
      <c r="AE861" s="48">
        <f>IFERROR(__xludf.DUMMYFUNCTION("""COMPUTED_VALUE"""),289.0)</f>
        <v>289</v>
      </c>
      <c r="AF861" s="48">
        <f>IFERROR(__xludf.DUMMYFUNCTION("""COMPUTED_VALUE"""),295.0)</f>
        <v>295</v>
      </c>
      <c r="AG861" s="48">
        <f>IFERROR(__xludf.DUMMYFUNCTION("""COMPUTED_VALUE"""),267.0)</f>
        <v>267</v>
      </c>
      <c r="AH861" s="48">
        <f>IFERROR(__xludf.DUMMYFUNCTION("""COMPUTED_VALUE"""),349.0)</f>
        <v>349</v>
      </c>
      <c r="AI861" s="14">
        <f>IFERROR(__xludf.DUMMYFUNCTION("""COMPUTED_VALUE"""),297.0)</f>
        <v>297</v>
      </c>
      <c r="AJ861" s="14">
        <f>IFERROR(__xludf.DUMMYFUNCTION("""COMPUTED_VALUE"""),1.28)</f>
        <v>1.28</v>
      </c>
      <c r="AK861" s="14">
        <f>IFERROR(__xludf.DUMMYFUNCTION("""COMPUTED_VALUE"""),1.4)</f>
        <v>1.4</v>
      </c>
      <c r="AL861" s="14">
        <f>IFERROR(__xludf.DUMMYFUNCTION("""COMPUTED_VALUE"""),1.18)</f>
        <v>1.18</v>
      </c>
      <c r="AM861" s="14">
        <f>IFERROR(__xludf.DUMMYFUNCTION("""COMPUTED_VALUE"""),1.34)</f>
        <v>1.34</v>
      </c>
      <c r="AN861" s="14">
        <f>IFERROR(__xludf.DUMMYFUNCTION("""COMPUTED_VALUE"""),1.1)</f>
        <v>1.1</v>
      </c>
      <c r="AO861" s="14">
        <f>IFERROR(__xludf.DUMMYFUNCTION("""COMPUTED_VALUE"""),1.2599999999999998)</f>
        <v>1.26</v>
      </c>
      <c r="AP861" s="14">
        <f>IFERROR(__xludf.DUMMYFUNCTION("""COMPUTED_VALUE"""),27.0)</f>
        <v>27</v>
      </c>
      <c r="AQ861" s="14">
        <f>IFERROR(__xludf.DUMMYFUNCTION("""COMPUTED_VALUE"""),42.0)</f>
        <v>42</v>
      </c>
      <c r="AR861" s="14">
        <f>IFERROR(__xludf.DUMMYFUNCTION("""COMPUTED_VALUE"""),35.0)</f>
        <v>35</v>
      </c>
      <c r="AS861" s="14">
        <f>IFERROR(__xludf.DUMMYFUNCTION("""COMPUTED_VALUE"""),1.0)</f>
        <v>1</v>
      </c>
      <c r="AT861" s="14">
        <f>IFERROR(__xludf.DUMMYFUNCTION("""COMPUTED_VALUE"""),1.56)</f>
        <v>1.56</v>
      </c>
      <c r="AU861" s="14">
        <f>IFERROR(__xludf.DUMMYFUNCTION("""COMPUTED_VALUE"""),1961000.0)</f>
        <v>1961000</v>
      </c>
      <c r="AV861" s="14">
        <f>IFERROR(__xludf.DUMMYFUNCTION("""COMPUTED_VALUE"""),1.04)</f>
        <v>1.04</v>
      </c>
      <c r="AW861" s="14">
        <f>IFERROR(__xludf.DUMMYFUNCTION("""COMPUTED_VALUE"""),14.6)</f>
        <v>14.6</v>
      </c>
      <c r="AX861" s="14">
        <f>IFERROR(__xludf.DUMMYFUNCTION("""COMPUTED_VALUE"""),1380000.0)</f>
        <v>1380000</v>
      </c>
      <c r="AY861" s="14">
        <f>IFERROR(__xludf.DUMMYFUNCTION("""COMPUTED_VALUE"""),0.5)</f>
        <v>0.5</v>
      </c>
      <c r="AZ861" s="14">
        <f>IFERROR(__xludf.DUMMYFUNCTION("""COMPUTED_VALUE"""),0.007)</f>
        <v>0.007</v>
      </c>
      <c r="BA861" s="14">
        <f t="shared" si="1"/>
        <v>15.107</v>
      </c>
    </row>
    <row r="862" ht="14.25" customHeight="1">
      <c r="A862" s="10" t="str">
        <f>IFERROR(__xludf.DUMMYFUNCTION("""COMPUTED_VALUE"""),"090623MO01")</f>
        <v>090623MO01</v>
      </c>
      <c r="B862" s="12" t="str">
        <f>IFERROR(__xludf.DUMMYFUNCTION("""COMPUTED_VALUE"""),"QZA-Meissen")</f>
        <v>QZA-Meissen</v>
      </c>
      <c r="C862" s="12"/>
      <c r="D862" s="12"/>
      <c r="E862" s="44">
        <f>IFERROR(__xludf.DUMMYFUNCTION("""COMPUTED_VALUE"""),45086.0)</f>
        <v>45086</v>
      </c>
      <c r="F862" s="12" t="str">
        <f>IFERROR(__xludf.DUMMYFUNCTION("""COMPUTED_VALUE"""),"TIPO I")</f>
        <v>TIPO I</v>
      </c>
      <c r="G862" s="12" t="str">
        <f>IFERROR(__xludf.DUMMYFUNCTION("""COMPUTED_VALUE"""),"Lecho en concreto, se observa color y se percibe olor en la muestra de agua. Altitud 2577 msnm.")</f>
        <v>Lecho en concreto, se observa color y se percibe olor en la muestra de agua. Altitud 2577 msnm.</v>
      </c>
      <c r="H862" s="45">
        <f>IFERROR(__xludf.DUMMYFUNCTION("""COMPUTED_VALUE"""),0.3333333333321207)</f>
        <v>0.3333333333</v>
      </c>
      <c r="I862" s="45">
        <f>IFERROR(__xludf.DUMMYFUNCTION("""COMPUTED_VALUE"""),0.4166666666678793)</f>
        <v>0.4166666667</v>
      </c>
      <c r="J862" s="12">
        <f>IFERROR(__xludf.DUMMYFUNCTION("""COMPUTED_VALUE"""),11.7)</f>
        <v>11.7</v>
      </c>
      <c r="K862" s="12">
        <f>IFERROR(__xludf.DUMMYFUNCTION("""COMPUTED_VALUE"""),0.16)</f>
        <v>0.16</v>
      </c>
      <c r="L862" s="14">
        <f>IFERROR(__xludf.DUMMYFUNCTION("""COMPUTED_VALUE"""),388.51)</f>
        <v>388.51</v>
      </c>
      <c r="M862" s="14">
        <f>IFERROR(__xludf.DUMMYFUNCTION("""COMPUTED_VALUE"""),398.449)</f>
        <v>398.449</v>
      </c>
      <c r="N862" s="14">
        <f>IFERROR(__xludf.DUMMYFUNCTION("""COMPUTED_VALUE"""),401.587)</f>
        <v>401.587</v>
      </c>
      <c r="O862" s="14">
        <f>IFERROR(__xludf.DUMMYFUNCTION("""COMPUTED_VALUE"""),402.917)</f>
        <v>402.917</v>
      </c>
      <c r="P862" s="14">
        <f>IFERROR(__xludf.DUMMYFUNCTION("""COMPUTED_VALUE"""),411.152)</f>
        <v>411.152</v>
      </c>
      <c r="Q862" s="14">
        <f>IFERROR(__xludf.DUMMYFUNCTION("""COMPUTED_VALUE"""),400.523)</f>
        <v>400.523</v>
      </c>
      <c r="R862" s="48">
        <f>IFERROR(__xludf.DUMMYFUNCTION("""COMPUTED_VALUE"""),7.73)</f>
        <v>7.73</v>
      </c>
      <c r="S862" s="48">
        <f>IFERROR(__xludf.DUMMYFUNCTION("""COMPUTED_VALUE"""),7.89)</f>
        <v>7.89</v>
      </c>
      <c r="T862" s="48">
        <f>IFERROR(__xludf.DUMMYFUNCTION("""COMPUTED_VALUE"""),7.61)</f>
        <v>7.61</v>
      </c>
      <c r="U862" s="48">
        <f>IFERROR(__xludf.DUMMYFUNCTION("""COMPUTED_VALUE"""),7.65)</f>
        <v>7.65</v>
      </c>
      <c r="V862" s="48">
        <f>IFERROR(__xludf.DUMMYFUNCTION("""COMPUTED_VALUE"""),7.57)</f>
        <v>7.57</v>
      </c>
      <c r="W862" s="14">
        <f>IFERROR(__xludf.DUMMYFUNCTION("""COMPUTED_VALUE"""),7.69)</f>
        <v>7.69</v>
      </c>
      <c r="X862" s="14">
        <f>IFERROR(__xludf.DUMMYFUNCTION("""COMPUTED_VALUE"""),17.6)</f>
        <v>17.6</v>
      </c>
      <c r="Y862" s="14">
        <f>IFERROR(__xludf.DUMMYFUNCTION("""COMPUTED_VALUE"""),17.7)</f>
        <v>17.7</v>
      </c>
      <c r="Z862" s="14">
        <f>IFERROR(__xludf.DUMMYFUNCTION("""COMPUTED_VALUE"""),17.9)</f>
        <v>17.9</v>
      </c>
      <c r="AA862" s="14">
        <f>IFERROR(__xludf.DUMMYFUNCTION("""COMPUTED_VALUE"""),18.2)</f>
        <v>18.2</v>
      </c>
      <c r="AB862" s="14">
        <f>IFERROR(__xludf.DUMMYFUNCTION("""COMPUTED_VALUE"""),18.5)</f>
        <v>18.5</v>
      </c>
      <c r="AC862" s="14">
        <f>IFERROR(__xludf.DUMMYFUNCTION("""COMPUTED_VALUE"""),17.979999999999997)</f>
        <v>17.98</v>
      </c>
      <c r="AD862" s="48">
        <f>IFERROR(__xludf.DUMMYFUNCTION("""COMPUTED_VALUE"""),468.0)</f>
        <v>468</v>
      </c>
      <c r="AE862" s="48">
        <f>IFERROR(__xludf.DUMMYFUNCTION("""COMPUTED_VALUE"""),448.0)</f>
        <v>448</v>
      </c>
      <c r="AF862" s="48">
        <f>IFERROR(__xludf.DUMMYFUNCTION("""COMPUTED_VALUE"""),398.0)</f>
        <v>398</v>
      </c>
      <c r="AG862" s="48">
        <f>IFERROR(__xludf.DUMMYFUNCTION("""COMPUTED_VALUE"""),429.0)</f>
        <v>429</v>
      </c>
      <c r="AH862" s="48">
        <f>IFERROR(__xludf.DUMMYFUNCTION("""COMPUTED_VALUE"""),439.0)</f>
        <v>439</v>
      </c>
      <c r="AI862" s="14">
        <f>IFERROR(__xludf.DUMMYFUNCTION("""COMPUTED_VALUE"""),436.4)</f>
        <v>436.4</v>
      </c>
      <c r="AJ862" s="14">
        <f>IFERROR(__xludf.DUMMYFUNCTION("""COMPUTED_VALUE"""),1.07)</f>
        <v>1.07</v>
      </c>
      <c r="AK862" s="14">
        <f>IFERROR(__xludf.DUMMYFUNCTION("""COMPUTED_VALUE"""),1.0)</f>
        <v>1</v>
      </c>
      <c r="AL862" s="14">
        <f>IFERROR(__xludf.DUMMYFUNCTION("""COMPUTED_VALUE"""),1.33)</f>
        <v>1.33</v>
      </c>
      <c r="AM862" s="14">
        <f>IFERROR(__xludf.DUMMYFUNCTION("""COMPUTED_VALUE"""),1.15)</f>
        <v>1.15</v>
      </c>
      <c r="AN862" s="14">
        <f>IFERROR(__xludf.DUMMYFUNCTION("""COMPUTED_VALUE"""),1.61)</f>
        <v>1.61</v>
      </c>
      <c r="AO862" s="14">
        <f>IFERROR(__xludf.DUMMYFUNCTION("""COMPUTED_VALUE"""),1.2320000000000002)</f>
        <v>1.232</v>
      </c>
      <c r="AP862" s="14">
        <f>IFERROR(__xludf.DUMMYFUNCTION("""COMPUTED_VALUE"""),48.0)</f>
        <v>48</v>
      </c>
      <c r="AQ862" s="14">
        <f>IFERROR(__xludf.DUMMYFUNCTION("""COMPUTED_VALUE"""),73.0)</f>
        <v>73</v>
      </c>
      <c r="AR862" s="14">
        <f>IFERROR(__xludf.DUMMYFUNCTION("""COMPUTED_VALUE"""),63.0)</f>
        <v>63</v>
      </c>
      <c r="AS862" s="14">
        <f>IFERROR(__xludf.DUMMYFUNCTION("""COMPUTED_VALUE"""),1.0)</f>
        <v>1</v>
      </c>
      <c r="AT862" s="14">
        <f>IFERROR(__xludf.DUMMYFUNCTION("""COMPUTED_VALUE"""),1.18)</f>
        <v>1.18</v>
      </c>
      <c r="AU862" s="14">
        <f>IFERROR(__xludf.DUMMYFUNCTION("""COMPUTED_VALUE"""),150000.0)</f>
        <v>150000</v>
      </c>
      <c r="AV862" s="14">
        <f>IFERROR(__xludf.DUMMYFUNCTION("""COMPUTED_VALUE"""),2.75)</f>
        <v>2.75</v>
      </c>
      <c r="AW862" s="14">
        <f>IFERROR(__xludf.DUMMYFUNCTION("""COMPUTED_VALUE"""),24.4)</f>
        <v>24.4</v>
      </c>
      <c r="AX862" s="14">
        <f>IFERROR(__xludf.DUMMYFUNCTION("""COMPUTED_VALUE"""),145500.0)</f>
        <v>145500</v>
      </c>
      <c r="AY862" s="14">
        <f>IFERROR(__xludf.DUMMYFUNCTION("""COMPUTED_VALUE"""),1.1)</f>
        <v>1.1</v>
      </c>
      <c r="AZ862" s="14">
        <f>IFERROR(__xludf.DUMMYFUNCTION("""COMPUTED_VALUE"""),0.007)</f>
        <v>0.007</v>
      </c>
      <c r="BA862" s="14">
        <f t="shared" si="1"/>
        <v>25.507</v>
      </c>
    </row>
    <row r="863" ht="14.25" customHeight="1">
      <c r="A863" s="10" t="str">
        <f>IFERROR(__xludf.DUMMYFUNCTION("""COMPUTED_VALUE"""),"080623WI02")</f>
        <v>080623WI02</v>
      </c>
      <c r="B863" s="12" t="str">
        <f>IFERROR(__xludf.DUMMYFUNCTION("""COMPUTED_VALUE"""),"CMO-Santa Ana")</f>
        <v>CMO-Santa Ana</v>
      </c>
      <c r="C863" s="12"/>
      <c r="D863" s="12"/>
      <c r="E863" s="44">
        <f>IFERROR(__xludf.DUMMYFUNCTION("""COMPUTED_VALUE"""),45085.0)</f>
        <v>45085</v>
      </c>
      <c r="F863" s="12" t="str">
        <f>IFERROR(__xludf.DUMMYFUNCTION("""COMPUTED_VALUE"""),"TIPO I")</f>
        <v>TIPO I</v>
      </c>
      <c r="G863" s="12" t="str">
        <f>IFERROR(__xludf.DUMMYFUNCTION("""COMPUTED_VALUE"""),"Lecho en concreto, se observa color y se percibe olor.")</f>
        <v>Lecho en concreto, se observa color y se percibe olor.</v>
      </c>
      <c r="H863" s="45">
        <f>IFERROR(__xludf.DUMMYFUNCTION("""COMPUTED_VALUE"""),0.5)</f>
        <v>0.5</v>
      </c>
      <c r="I863" s="45">
        <f>IFERROR(__xludf.DUMMYFUNCTION("""COMPUTED_VALUE"""),0.5833333333321207)</f>
        <v>0.5833333333</v>
      </c>
      <c r="J863" s="12">
        <f>IFERROR(__xludf.DUMMYFUNCTION("""COMPUTED_VALUE"""),3.4)</f>
        <v>3.4</v>
      </c>
      <c r="K863" s="12">
        <f>IFERROR(__xludf.DUMMYFUNCTION("""COMPUTED_VALUE"""),0.2)</f>
        <v>0.2</v>
      </c>
      <c r="L863" s="14">
        <f>IFERROR(__xludf.DUMMYFUNCTION("""COMPUTED_VALUE"""),195.255)</f>
        <v>195.255</v>
      </c>
      <c r="M863" s="14">
        <f>IFERROR(__xludf.DUMMYFUNCTION("""COMPUTED_VALUE"""),195.272)</f>
        <v>195.272</v>
      </c>
      <c r="N863" s="14">
        <f>IFERROR(__xludf.DUMMYFUNCTION("""COMPUTED_VALUE"""),199.034)</f>
        <v>199.034</v>
      </c>
      <c r="O863" s="14">
        <f>IFERROR(__xludf.DUMMYFUNCTION("""COMPUTED_VALUE"""),199.776)</f>
        <v>199.776</v>
      </c>
      <c r="P863" s="14">
        <f>IFERROR(__xludf.DUMMYFUNCTION("""COMPUTED_VALUE"""),200.755)</f>
        <v>200.755</v>
      </c>
      <c r="Q863" s="14">
        <f>IFERROR(__xludf.DUMMYFUNCTION("""COMPUTED_VALUE"""),198.018)</f>
        <v>198.018</v>
      </c>
      <c r="R863" s="48">
        <f>IFERROR(__xludf.DUMMYFUNCTION("""COMPUTED_VALUE"""),7.4)</f>
        <v>7.4</v>
      </c>
      <c r="S863" s="48">
        <f>IFERROR(__xludf.DUMMYFUNCTION("""COMPUTED_VALUE"""),7.36)</f>
        <v>7.36</v>
      </c>
      <c r="T863" s="48">
        <f>IFERROR(__xludf.DUMMYFUNCTION("""COMPUTED_VALUE"""),7.44)</f>
        <v>7.44</v>
      </c>
      <c r="U863" s="48">
        <f>IFERROR(__xludf.DUMMYFUNCTION("""COMPUTED_VALUE"""),7.48)</f>
        <v>7.48</v>
      </c>
      <c r="V863" s="48">
        <f>IFERROR(__xludf.DUMMYFUNCTION("""COMPUTED_VALUE"""),7.3)</f>
        <v>7.3</v>
      </c>
      <c r="W863" s="14">
        <f>IFERROR(__xludf.DUMMYFUNCTION("""COMPUTED_VALUE"""),7.396000000000001)</f>
        <v>7.396</v>
      </c>
      <c r="X863" s="14">
        <f>IFERROR(__xludf.DUMMYFUNCTION("""COMPUTED_VALUE"""),19.0)</f>
        <v>19</v>
      </c>
      <c r="Y863" s="14">
        <f>IFERROR(__xludf.DUMMYFUNCTION("""COMPUTED_VALUE"""),18.9)</f>
        <v>18.9</v>
      </c>
      <c r="Z863" s="14">
        <f>IFERROR(__xludf.DUMMYFUNCTION("""COMPUTED_VALUE"""),18.7)</f>
        <v>18.7</v>
      </c>
      <c r="AA863" s="14">
        <f>IFERROR(__xludf.DUMMYFUNCTION("""COMPUTED_VALUE"""),18.4)</f>
        <v>18.4</v>
      </c>
      <c r="AB863" s="14">
        <f>IFERROR(__xludf.DUMMYFUNCTION("""COMPUTED_VALUE"""),18.2)</f>
        <v>18.2</v>
      </c>
      <c r="AC863" s="14">
        <f>IFERROR(__xludf.DUMMYFUNCTION("""COMPUTED_VALUE"""),18.64)</f>
        <v>18.64</v>
      </c>
      <c r="AD863" s="48">
        <f>IFERROR(__xludf.DUMMYFUNCTION("""COMPUTED_VALUE"""),293.0)</f>
        <v>293</v>
      </c>
      <c r="AE863" s="48">
        <f>IFERROR(__xludf.DUMMYFUNCTION("""COMPUTED_VALUE"""),326.0)</f>
        <v>326</v>
      </c>
      <c r="AF863" s="48">
        <f>IFERROR(__xludf.DUMMYFUNCTION("""COMPUTED_VALUE"""),346.0)</f>
        <v>346</v>
      </c>
      <c r="AG863" s="48">
        <f>IFERROR(__xludf.DUMMYFUNCTION("""COMPUTED_VALUE"""),383.0)</f>
        <v>383</v>
      </c>
      <c r="AH863" s="48">
        <f>IFERROR(__xludf.DUMMYFUNCTION("""COMPUTED_VALUE"""),349.0)</f>
        <v>349</v>
      </c>
      <c r="AI863" s="14">
        <f>IFERROR(__xludf.DUMMYFUNCTION("""COMPUTED_VALUE"""),339.4)</f>
        <v>339.4</v>
      </c>
      <c r="AJ863" s="14">
        <f>IFERROR(__xludf.DUMMYFUNCTION("""COMPUTED_VALUE"""),2.51)</f>
        <v>2.51</v>
      </c>
      <c r="AK863" s="14">
        <f>IFERROR(__xludf.DUMMYFUNCTION("""COMPUTED_VALUE"""),2.62)</f>
        <v>2.62</v>
      </c>
      <c r="AL863" s="14">
        <f>IFERROR(__xludf.DUMMYFUNCTION("""COMPUTED_VALUE"""),2.11)</f>
        <v>2.11</v>
      </c>
      <c r="AM863" s="14">
        <f>IFERROR(__xludf.DUMMYFUNCTION("""COMPUTED_VALUE"""),2.74)</f>
        <v>2.74</v>
      </c>
      <c r="AN863" s="14">
        <f>IFERROR(__xludf.DUMMYFUNCTION("""COMPUTED_VALUE"""),2.2)</f>
        <v>2.2</v>
      </c>
      <c r="AO863" s="14">
        <f>IFERROR(__xludf.DUMMYFUNCTION("""COMPUTED_VALUE"""),2.436)</f>
        <v>2.436</v>
      </c>
      <c r="AP863" s="14">
        <f>IFERROR(__xludf.DUMMYFUNCTION("""COMPUTED_VALUE"""),35.0)</f>
        <v>35</v>
      </c>
      <c r="AQ863" s="14">
        <f>IFERROR(__xludf.DUMMYFUNCTION("""COMPUTED_VALUE"""),53.0)</f>
        <v>53</v>
      </c>
      <c r="AR863" s="14">
        <f>IFERROR(__xludf.DUMMYFUNCTION("""COMPUTED_VALUE"""),36.0)</f>
        <v>36</v>
      </c>
      <c r="AS863" s="14">
        <f>IFERROR(__xludf.DUMMYFUNCTION("""COMPUTED_VALUE"""),1.07)</f>
        <v>1.07</v>
      </c>
      <c r="AT863" s="14">
        <f>IFERROR(__xludf.DUMMYFUNCTION("""COMPUTED_VALUE"""),1.37)</f>
        <v>1.37</v>
      </c>
      <c r="AU863" s="14">
        <f>IFERROR(__xludf.DUMMYFUNCTION("""COMPUTED_VALUE"""),7850000.0)</f>
        <v>7850000</v>
      </c>
      <c r="AV863" s="14">
        <f>IFERROR(__xludf.DUMMYFUNCTION("""COMPUTED_VALUE"""),1.38)</f>
        <v>1.38</v>
      </c>
      <c r="AW863" s="14">
        <f>IFERROR(__xludf.DUMMYFUNCTION("""COMPUTED_VALUE"""),14.6)</f>
        <v>14.6</v>
      </c>
      <c r="AX863" s="14">
        <f>IFERROR(__xludf.DUMMYFUNCTION("""COMPUTED_VALUE"""),4410000.0)</f>
        <v>4410000</v>
      </c>
      <c r="AY863" s="14">
        <f>IFERROR(__xludf.DUMMYFUNCTION("""COMPUTED_VALUE"""),1.2)</f>
        <v>1.2</v>
      </c>
      <c r="AZ863" s="14">
        <f>IFERROR(__xludf.DUMMYFUNCTION("""COMPUTED_VALUE"""),0.007)</f>
        <v>0.007</v>
      </c>
      <c r="BA863" s="14">
        <f t="shared" si="1"/>
        <v>15.807</v>
      </c>
    </row>
    <row r="864" ht="14.25" customHeight="1">
      <c r="A864" s="10" t="str">
        <f>IFERROR(__xludf.DUMMYFUNCTION("""COMPUTED_VALUE"""),"090623FE02")</f>
        <v>090623FE02</v>
      </c>
      <c r="B864" s="12" t="str">
        <f>IFERROR(__xludf.DUMMYFUNCTION("""COMPUTED_VALUE"""),"QZA-Quindío")</f>
        <v>QZA-Quindío</v>
      </c>
      <c r="C864" s="12"/>
      <c r="D864" s="12"/>
      <c r="E864" s="44">
        <f>IFERROR(__xludf.DUMMYFUNCTION("""COMPUTED_VALUE"""),45086.0)</f>
        <v>45086</v>
      </c>
      <c r="F864" s="12" t="str">
        <f>IFERROR(__xludf.DUMMYFUNCTION("""COMPUTED_VALUE"""),"TIPO I")</f>
        <v>TIPO I</v>
      </c>
      <c r="G864" s="12" t="str">
        <f>IFERROR(__xludf.DUMMYFUNCTION("""COMPUTED_VALUE"""),"No se percibe olor, no se observa color, se observan residuos solidos alrededor del punto de monitoreo y material flotante en el cauce del canal")</f>
        <v>No se percibe olor, no se observa color, se observan residuos solidos alrededor del punto de monitoreo y material flotante en el cauce del canal</v>
      </c>
      <c r="H864" s="45">
        <f>IFERROR(__xludf.DUMMYFUNCTION("""COMPUTED_VALUE"""),0.4166666666678793)</f>
        <v>0.4166666667</v>
      </c>
      <c r="I864" s="45">
        <f>IFERROR(__xludf.DUMMYFUNCTION("""COMPUTED_VALUE"""),0.5)</f>
        <v>0.5</v>
      </c>
      <c r="J864" s="12">
        <f>IFERROR(__xludf.DUMMYFUNCTION("""COMPUTED_VALUE"""),0.66)</f>
        <v>0.66</v>
      </c>
      <c r="K864" s="12">
        <f>IFERROR(__xludf.DUMMYFUNCTION("""COMPUTED_VALUE"""),0.11)</f>
        <v>0.11</v>
      </c>
      <c r="L864" s="14">
        <f>IFERROR(__xludf.DUMMYFUNCTION("""COMPUTED_VALUE"""),12.304)</f>
        <v>12.304</v>
      </c>
      <c r="M864" s="14">
        <f>IFERROR(__xludf.DUMMYFUNCTION("""COMPUTED_VALUE"""),12.981)</f>
        <v>12.981</v>
      </c>
      <c r="N864" s="14">
        <f>IFERROR(__xludf.DUMMYFUNCTION("""COMPUTED_VALUE"""),13.663)</f>
        <v>13.663</v>
      </c>
      <c r="O864" s="14">
        <f>IFERROR(__xludf.DUMMYFUNCTION("""COMPUTED_VALUE"""),14.253)</f>
        <v>14.253</v>
      </c>
      <c r="P864" s="14">
        <f>IFERROR(__xludf.DUMMYFUNCTION("""COMPUTED_VALUE"""),14.659)</f>
        <v>14.659</v>
      </c>
      <c r="Q864" s="14">
        <f>IFERROR(__xludf.DUMMYFUNCTION("""COMPUTED_VALUE"""),13.572)</f>
        <v>13.572</v>
      </c>
      <c r="R864" s="48">
        <f>IFERROR(__xludf.DUMMYFUNCTION("""COMPUTED_VALUE"""),7.0)</f>
        <v>7</v>
      </c>
      <c r="S864" s="48">
        <f>IFERROR(__xludf.DUMMYFUNCTION("""COMPUTED_VALUE"""),6.34)</f>
        <v>6.34</v>
      </c>
      <c r="T864" s="48">
        <f>IFERROR(__xludf.DUMMYFUNCTION("""COMPUTED_VALUE"""),6.26)</f>
        <v>6.26</v>
      </c>
      <c r="U864" s="48">
        <f>IFERROR(__xludf.DUMMYFUNCTION("""COMPUTED_VALUE"""),6.4)</f>
        <v>6.4</v>
      </c>
      <c r="V864" s="48">
        <f>IFERROR(__xludf.DUMMYFUNCTION("""COMPUTED_VALUE"""),6.04)</f>
        <v>6.04</v>
      </c>
      <c r="W864" s="14">
        <f>IFERROR(__xludf.DUMMYFUNCTION("""COMPUTED_VALUE"""),6.4079999999999995)</f>
        <v>6.408</v>
      </c>
      <c r="X864" s="14">
        <f>IFERROR(__xludf.DUMMYFUNCTION("""COMPUTED_VALUE"""),13.7)</f>
        <v>13.7</v>
      </c>
      <c r="Y864" s="14">
        <f>IFERROR(__xludf.DUMMYFUNCTION("""COMPUTED_VALUE"""),14.9)</f>
        <v>14.9</v>
      </c>
      <c r="Z864" s="14">
        <f>IFERROR(__xludf.DUMMYFUNCTION("""COMPUTED_VALUE"""),14.4)</f>
        <v>14.4</v>
      </c>
      <c r="AA864" s="14">
        <f>IFERROR(__xludf.DUMMYFUNCTION("""COMPUTED_VALUE"""),14.6)</f>
        <v>14.6</v>
      </c>
      <c r="AB864" s="14">
        <f>IFERROR(__xludf.DUMMYFUNCTION("""COMPUTED_VALUE"""),14.4)</f>
        <v>14.4</v>
      </c>
      <c r="AC864" s="14">
        <f>IFERROR(__xludf.DUMMYFUNCTION("""COMPUTED_VALUE"""),14.4)</f>
        <v>14.4</v>
      </c>
      <c r="AD864" s="48">
        <f>IFERROR(__xludf.DUMMYFUNCTION("""COMPUTED_VALUE"""),36.0)</f>
        <v>36</v>
      </c>
      <c r="AE864" s="48">
        <f>IFERROR(__xludf.DUMMYFUNCTION("""COMPUTED_VALUE"""),22.1)</f>
        <v>22.1</v>
      </c>
      <c r="AF864" s="48">
        <f>IFERROR(__xludf.DUMMYFUNCTION("""COMPUTED_VALUE"""),20.6)</f>
        <v>20.6</v>
      </c>
      <c r="AG864" s="48">
        <f>IFERROR(__xludf.DUMMYFUNCTION("""COMPUTED_VALUE"""),23.6)</f>
        <v>23.6</v>
      </c>
      <c r="AH864" s="48">
        <f>IFERROR(__xludf.DUMMYFUNCTION("""COMPUTED_VALUE"""),25.8)</f>
        <v>25.8</v>
      </c>
      <c r="AI864" s="14">
        <f>IFERROR(__xludf.DUMMYFUNCTION("""COMPUTED_VALUE"""),25.620000000000005)</f>
        <v>25.62</v>
      </c>
      <c r="AJ864" s="14">
        <f>IFERROR(__xludf.DUMMYFUNCTION("""COMPUTED_VALUE"""),6.05)</f>
        <v>6.05</v>
      </c>
      <c r="AK864" s="14">
        <f>IFERROR(__xludf.DUMMYFUNCTION("""COMPUTED_VALUE"""),5.61)</f>
        <v>5.61</v>
      </c>
      <c r="AL864" s="14">
        <f>IFERROR(__xludf.DUMMYFUNCTION("""COMPUTED_VALUE"""),6.07)</f>
        <v>6.07</v>
      </c>
      <c r="AM864" s="14">
        <f>IFERROR(__xludf.DUMMYFUNCTION("""COMPUTED_VALUE"""),5.76)</f>
        <v>5.76</v>
      </c>
      <c r="AN864" s="14">
        <f>IFERROR(__xludf.DUMMYFUNCTION("""COMPUTED_VALUE"""),6.1)</f>
        <v>6.1</v>
      </c>
      <c r="AO864" s="14">
        <f>IFERROR(__xludf.DUMMYFUNCTION("""COMPUTED_VALUE"""),5.918000000000001)</f>
        <v>5.918</v>
      </c>
      <c r="AP864" s="14">
        <f>IFERROR(__xludf.DUMMYFUNCTION("""COMPUTED_VALUE"""),2.0)</f>
        <v>2</v>
      </c>
      <c r="AQ864" s="14">
        <f>IFERROR(__xludf.DUMMYFUNCTION("""COMPUTED_VALUE"""),5.0)</f>
        <v>5</v>
      </c>
      <c r="AR864" s="14">
        <f>IFERROR(__xludf.DUMMYFUNCTION("""COMPUTED_VALUE"""),6.0)</f>
        <v>6</v>
      </c>
      <c r="AS864" s="14">
        <f>IFERROR(__xludf.DUMMYFUNCTION("""COMPUTED_VALUE"""),1.0)</f>
        <v>1</v>
      </c>
      <c r="AT864" s="14">
        <f>IFERROR(__xludf.DUMMYFUNCTION("""COMPUTED_VALUE"""),0.16)</f>
        <v>0.16</v>
      </c>
      <c r="AU864" s="14">
        <f>IFERROR(__xludf.DUMMYFUNCTION("""COMPUTED_VALUE"""),139100.0)</f>
        <v>139100</v>
      </c>
      <c r="AV864" s="14">
        <f>IFERROR(__xludf.DUMMYFUNCTION("""COMPUTED_VALUE"""),0.05)</f>
        <v>0.05</v>
      </c>
      <c r="AW864" s="14">
        <f>IFERROR(__xludf.DUMMYFUNCTION("""COMPUTED_VALUE"""),1.0)</f>
        <v>1</v>
      </c>
      <c r="AX864" s="14">
        <f>IFERROR(__xludf.DUMMYFUNCTION("""COMPUTED_VALUE"""),121000.0)</f>
        <v>121000</v>
      </c>
      <c r="AY864" s="14">
        <f>IFERROR(__xludf.DUMMYFUNCTION("""COMPUTED_VALUE"""),1.1)</f>
        <v>1.1</v>
      </c>
      <c r="AZ864" s="14">
        <f>IFERROR(__xludf.DUMMYFUNCTION("""COMPUTED_VALUE"""),0.007)</f>
        <v>0.007</v>
      </c>
      <c r="BA864" s="14">
        <f t="shared" si="1"/>
        <v>2.107</v>
      </c>
    </row>
    <row r="865" ht="14.25" customHeight="1">
      <c r="A865" s="10" t="str">
        <f>IFERROR(__xludf.DUMMYFUNCTION("""COMPUTED_VALUE"""),"050623DU01")</f>
        <v>050623DU01</v>
      </c>
      <c r="B865" s="12" t="str">
        <f>IFERROR(__xludf.DUMMYFUNCTION("""COMPUTED_VALUE"""),"QLI-Bella Flor")</f>
        <v>QLI-Bella Flor</v>
      </c>
      <c r="C865" s="12"/>
      <c r="D865" s="12"/>
      <c r="E865" s="44">
        <f>IFERROR(__xludf.DUMMYFUNCTION("""COMPUTED_VALUE"""),45082.0)</f>
        <v>45082</v>
      </c>
      <c r="F865" s="12" t="str">
        <f>IFERROR(__xludf.DUMMYFUNCTION("""COMPUTED_VALUE"""),"TIPO I")</f>
        <v>TIPO I</v>
      </c>
      <c r="G865" s="12" t="str">
        <f>IFERROR(__xludf.DUMMYFUNCTION("""COMPUTED_VALUE"""),"Canal natural con lecho rocoso. Se percibe olor, se observa color, presencia de residuos sólidos alrededor del punto de monitoreo, se suspende el monitoreo durante la quinta alícuota por presencia de precipitaciones fuertes.")</f>
        <v>Canal natural con lecho rocoso. Se percibe olor, se observa color, presencia de residuos sólidos alrededor del punto de monitoreo, se suspende el monitoreo durante la quinta alícuota por presencia de precipitaciones fuertes.</v>
      </c>
      <c r="H865" s="45">
        <f>IFERROR(__xludf.DUMMYFUNCTION("""COMPUTED_VALUE"""),0.25)</f>
        <v>0.25</v>
      </c>
      <c r="I865" s="45">
        <f>IFERROR(__xludf.DUMMYFUNCTION("""COMPUTED_VALUE"""),0.3333333333321207)</f>
        <v>0.3333333333</v>
      </c>
      <c r="J865" s="12">
        <f>IFERROR(__xludf.DUMMYFUNCTION("""COMPUTED_VALUE"""),1.2)</f>
        <v>1.2</v>
      </c>
      <c r="K865" s="12">
        <f>IFERROR(__xludf.DUMMYFUNCTION("""COMPUTED_VALUE"""),0.15)</f>
        <v>0.15</v>
      </c>
      <c r="L865" s="14">
        <f>IFERROR(__xludf.DUMMYFUNCTION("""COMPUTED_VALUE"""),49.821)</f>
        <v>49.821</v>
      </c>
      <c r="M865" s="14">
        <f>IFERROR(__xludf.DUMMYFUNCTION("""COMPUTED_VALUE"""),52.654)</f>
        <v>52.654</v>
      </c>
      <c r="N865" s="14">
        <f>IFERROR(__xludf.DUMMYFUNCTION("""COMPUTED_VALUE"""),55.68)</f>
        <v>55.68</v>
      </c>
      <c r="O865" s="14">
        <f>IFERROR(__xludf.DUMMYFUNCTION("""COMPUTED_VALUE"""),59.37)</f>
        <v>59.37</v>
      </c>
      <c r="P865" s="14"/>
      <c r="Q865" s="14">
        <f>IFERROR(__xludf.DUMMYFUNCTION("""COMPUTED_VALUE"""),54.381)</f>
        <v>54.381</v>
      </c>
      <c r="R865" s="48">
        <f>IFERROR(__xludf.DUMMYFUNCTION("""COMPUTED_VALUE"""),7.69)</f>
        <v>7.69</v>
      </c>
      <c r="S865" s="48">
        <f>IFERROR(__xludf.DUMMYFUNCTION("""COMPUTED_VALUE"""),7.43)</f>
        <v>7.43</v>
      </c>
      <c r="T865" s="48">
        <f>IFERROR(__xludf.DUMMYFUNCTION("""COMPUTED_VALUE"""),7.64)</f>
        <v>7.64</v>
      </c>
      <c r="U865" s="48">
        <f>IFERROR(__xludf.DUMMYFUNCTION("""COMPUTED_VALUE"""),7.77)</f>
        <v>7.77</v>
      </c>
      <c r="V865" s="48"/>
      <c r="W865" s="14">
        <f>IFERROR(__xludf.DUMMYFUNCTION("""COMPUTED_VALUE"""),7.6325)</f>
        <v>7.6325</v>
      </c>
      <c r="X865" s="14">
        <f>IFERROR(__xludf.DUMMYFUNCTION("""COMPUTED_VALUE"""),16.0)</f>
        <v>16</v>
      </c>
      <c r="Y865" s="14">
        <f>IFERROR(__xludf.DUMMYFUNCTION("""COMPUTED_VALUE"""),15.5)</f>
        <v>15.5</v>
      </c>
      <c r="Z865" s="14">
        <f>IFERROR(__xludf.DUMMYFUNCTION("""COMPUTED_VALUE"""),16.0)</f>
        <v>16</v>
      </c>
      <c r="AA865" s="14">
        <f>IFERROR(__xludf.DUMMYFUNCTION("""COMPUTED_VALUE"""),16.2)</f>
        <v>16.2</v>
      </c>
      <c r="AB865" s="14"/>
      <c r="AC865" s="14">
        <f>IFERROR(__xludf.DUMMYFUNCTION("""COMPUTED_VALUE"""),15.925)</f>
        <v>15.925</v>
      </c>
      <c r="AD865" s="48">
        <f>IFERROR(__xludf.DUMMYFUNCTION("""COMPUTED_VALUE"""),325.0)</f>
        <v>325</v>
      </c>
      <c r="AE865" s="48">
        <f>IFERROR(__xludf.DUMMYFUNCTION("""COMPUTED_VALUE"""),319.0)</f>
        <v>319</v>
      </c>
      <c r="AF865" s="48">
        <f>IFERROR(__xludf.DUMMYFUNCTION("""COMPUTED_VALUE"""),298.0)</f>
        <v>298</v>
      </c>
      <c r="AG865" s="48">
        <f>IFERROR(__xludf.DUMMYFUNCTION("""COMPUTED_VALUE"""),329.0)</f>
        <v>329</v>
      </c>
      <c r="AH865" s="48"/>
      <c r="AI865" s="14">
        <f>IFERROR(__xludf.DUMMYFUNCTION("""COMPUTED_VALUE"""),317.75)</f>
        <v>317.75</v>
      </c>
      <c r="AJ865" s="14">
        <f>IFERROR(__xludf.DUMMYFUNCTION("""COMPUTED_VALUE"""),4.75)</f>
        <v>4.75</v>
      </c>
      <c r="AK865" s="14">
        <f>IFERROR(__xludf.DUMMYFUNCTION("""COMPUTED_VALUE"""),4.83)</f>
        <v>4.83</v>
      </c>
      <c r="AL865" s="14">
        <f>IFERROR(__xludf.DUMMYFUNCTION("""COMPUTED_VALUE"""),4.96)</f>
        <v>4.96</v>
      </c>
      <c r="AM865" s="14">
        <f>IFERROR(__xludf.DUMMYFUNCTION("""COMPUTED_VALUE"""),5.02)</f>
        <v>5.02</v>
      </c>
      <c r="AN865" s="14"/>
      <c r="AO865" s="14">
        <f>IFERROR(__xludf.DUMMYFUNCTION("""COMPUTED_VALUE"""),4.89)</f>
        <v>4.89</v>
      </c>
      <c r="AP865" s="14">
        <f>IFERROR(__xludf.DUMMYFUNCTION("""COMPUTED_VALUE"""),15.0)</f>
        <v>15</v>
      </c>
      <c r="AQ865" s="14">
        <f>IFERROR(__xludf.DUMMYFUNCTION("""COMPUTED_VALUE"""),23.0)</f>
        <v>23</v>
      </c>
      <c r="AR865" s="14">
        <f>IFERROR(__xludf.DUMMYFUNCTION("""COMPUTED_VALUE"""),38.0)</f>
        <v>38</v>
      </c>
      <c r="AS865" s="14">
        <f>IFERROR(__xludf.DUMMYFUNCTION("""COMPUTED_VALUE"""),1.0)</f>
        <v>1</v>
      </c>
      <c r="AT865" s="14">
        <f>IFERROR(__xludf.DUMMYFUNCTION("""COMPUTED_VALUE"""),0.36)</f>
        <v>0.36</v>
      </c>
      <c r="AU865" s="14">
        <f>IFERROR(__xludf.DUMMYFUNCTION("""COMPUTED_VALUE"""),139100.0)</f>
        <v>139100</v>
      </c>
      <c r="AV865" s="14">
        <f>IFERROR(__xludf.DUMMYFUNCTION("""COMPUTED_VALUE"""),1.3)</f>
        <v>1.3</v>
      </c>
      <c r="AW865" s="14">
        <f>IFERROR(__xludf.DUMMYFUNCTION("""COMPUTED_VALUE"""),11.5)</f>
        <v>11.5</v>
      </c>
      <c r="AX865" s="14">
        <f>IFERROR(__xludf.DUMMYFUNCTION("""COMPUTED_VALUE"""),124600.0)</f>
        <v>124600</v>
      </c>
      <c r="AY865" s="14">
        <f>IFERROR(__xludf.DUMMYFUNCTION("""COMPUTED_VALUE"""),0.7)</f>
        <v>0.7</v>
      </c>
      <c r="AZ865" s="14">
        <f>IFERROR(__xludf.DUMMYFUNCTION("""COMPUTED_VALUE"""),0.068)</f>
        <v>0.068</v>
      </c>
      <c r="BA865" s="14">
        <f t="shared" si="1"/>
        <v>12.268</v>
      </c>
    </row>
    <row r="866" ht="14.25" customHeight="1">
      <c r="A866" s="10" t="str">
        <f>IFERROR(__xludf.DUMMYFUNCTION("""COMPUTED_VALUE"""),"050623DU04")</f>
        <v>050623DU04</v>
      </c>
      <c r="B866" s="12" t="str">
        <f>IFERROR(__xludf.DUMMYFUNCTION("""COMPUTED_VALUE"""),"QLI-San Francisco")</f>
        <v>QLI-San Francisco</v>
      </c>
      <c r="C866" s="12"/>
      <c r="D866" s="12"/>
      <c r="E866" s="44">
        <f>IFERROR(__xludf.DUMMYFUNCTION("""COMPUTED_VALUE"""),45082.0)</f>
        <v>45082</v>
      </c>
      <c r="F866" s="12" t="str">
        <f>IFERROR(__xludf.DUMMYFUNCTION("""COMPUTED_VALUE"""),"TIPO I")</f>
        <v>TIPO I</v>
      </c>
      <c r="G866" s="12" t="str">
        <f>IFERROR(__xludf.DUMMYFUNCTION("""COMPUTED_VALUE"""),"Canal natural con lecho rocoso - arenoso, se percibe olor, se observa color, material flotante y presencia de residuos sólidos alrededor del punto de monitoreo. Altitud 2596 msnm"".")</f>
        <v>Canal natural con lecho rocoso - arenoso, se percibe olor, se observa color, material flotante y presencia de residuos sólidos alrededor del punto de monitoreo. Altitud 2596 msnm".</v>
      </c>
      <c r="H866" s="45">
        <f>IFERROR(__xludf.DUMMYFUNCTION("""COMPUTED_VALUE"""),0.5)</f>
        <v>0.5</v>
      </c>
      <c r="I866" s="45">
        <f>IFERROR(__xludf.DUMMYFUNCTION("""COMPUTED_VALUE"""),0.5833333333321207)</f>
        <v>0.5833333333</v>
      </c>
      <c r="J866" s="12">
        <f>IFERROR(__xludf.DUMMYFUNCTION("""COMPUTED_VALUE"""),1.7)</f>
        <v>1.7</v>
      </c>
      <c r="K866" s="12">
        <f>IFERROR(__xludf.DUMMYFUNCTION("""COMPUTED_VALUE"""),0.25)</f>
        <v>0.25</v>
      </c>
      <c r="L866" s="14">
        <f>IFERROR(__xludf.DUMMYFUNCTION("""COMPUTED_VALUE"""),114.434)</f>
        <v>114.434</v>
      </c>
      <c r="M866" s="14">
        <f>IFERROR(__xludf.DUMMYFUNCTION("""COMPUTED_VALUE"""),116.281)</f>
        <v>116.281</v>
      </c>
      <c r="N866" s="14">
        <f>IFERROR(__xludf.DUMMYFUNCTION("""COMPUTED_VALUE"""),119.35)</f>
        <v>119.35</v>
      </c>
      <c r="O866" s="14">
        <f>IFERROR(__xludf.DUMMYFUNCTION("""COMPUTED_VALUE"""),121.977)</f>
        <v>121.977</v>
      </c>
      <c r="P866" s="14">
        <f>IFERROR(__xludf.DUMMYFUNCTION("""COMPUTED_VALUE"""),123.372)</f>
        <v>123.372</v>
      </c>
      <c r="Q866" s="14">
        <f>IFERROR(__xludf.DUMMYFUNCTION("""COMPUTED_VALUE"""),119.083)</f>
        <v>119.083</v>
      </c>
      <c r="R866" s="48">
        <f>IFERROR(__xludf.DUMMYFUNCTION("""COMPUTED_VALUE"""),7.76)</f>
        <v>7.76</v>
      </c>
      <c r="S866" s="48">
        <f>IFERROR(__xludf.DUMMYFUNCTION("""COMPUTED_VALUE"""),8.06)</f>
        <v>8.06</v>
      </c>
      <c r="T866" s="48">
        <f>IFERROR(__xludf.DUMMYFUNCTION("""COMPUTED_VALUE"""),7.89)</f>
        <v>7.89</v>
      </c>
      <c r="U866" s="48">
        <f>IFERROR(__xludf.DUMMYFUNCTION("""COMPUTED_VALUE"""),7.69)</f>
        <v>7.69</v>
      </c>
      <c r="V866" s="48">
        <f>IFERROR(__xludf.DUMMYFUNCTION("""COMPUTED_VALUE"""),7.57)</f>
        <v>7.57</v>
      </c>
      <c r="W866" s="14">
        <f>IFERROR(__xludf.DUMMYFUNCTION("""COMPUTED_VALUE"""),7.794)</f>
        <v>7.794</v>
      </c>
      <c r="X866" s="14">
        <f>IFERROR(__xludf.DUMMYFUNCTION("""COMPUTED_VALUE"""),19.1)</f>
        <v>19.1</v>
      </c>
      <c r="Y866" s="14">
        <f>IFERROR(__xludf.DUMMYFUNCTION("""COMPUTED_VALUE"""),19.4)</f>
        <v>19.4</v>
      </c>
      <c r="Z866" s="14">
        <f>IFERROR(__xludf.DUMMYFUNCTION("""COMPUTED_VALUE"""),19.5)</f>
        <v>19.5</v>
      </c>
      <c r="AA866" s="14">
        <f>IFERROR(__xludf.DUMMYFUNCTION("""COMPUTED_VALUE"""),19.1)</f>
        <v>19.1</v>
      </c>
      <c r="AB866" s="14">
        <f>IFERROR(__xludf.DUMMYFUNCTION("""COMPUTED_VALUE"""),19.0)</f>
        <v>19</v>
      </c>
      <c r="AC866" s="14">
        <f>IFERROR(__xludf.DUMMYFUNCTION("""COMPUTED_VALUE"""),19.22)</f>
        <v>19.22</v>
      </c>
      <c r="AD866" s="48">
        <f>IFERROR(__xludf.DUMMYFUNCTION("""COMPUTED_VALUE"""),408.0)</f>
        <v>408</v>
      </c>
      <c r="AE866" s="48">
        <f>IFERROR(__xludf.DUMMYFUNCTION("""COMPUTED_VALUE"""),395.0)</f>
        <v>395</v>
      </c>
      <c r="AF866" s="48">
        <f>IFERROR(__xludf.DUMMYFUNCTION("""COMPUTED_VALUE"""),404.0)</f>
        <v>404</v>
      </c>
      <c r="AG866" s="48">
        <f>IFERROR(__xludf.DUMMYFUNCTION("""COMPUTED_VALUE"""),411.0)</f>
        <v>411</v>
      </c>
      <c r="AH866" s="48">
        <f>IFERROR(__xludf.DUMMYFUNCTION("""COMPUTED_VALUE"""),413.0)</f>
        <v>413</v>
      </c>
      <c r="AI866" s="14">
        <f>IFERROR(__xludf.DUMMYFUNCTION("""COMPUTED_VALUE"""),406.2)</f>
        <v>406.2</v>
      </c>
      <c r="AJ866" s="14">
        <f>IFERROR(__xludf.DUMMYFUNCTION("""COMPUTED_VALUE"""),4.32)</f>
        <v>4.32</v>
      </c>
      <c r="AK866" s="14">
        <f>IFERROR(__xludf.DUMMYFUNCTION("""COMPUTED_VALUE"""),3.75)</f>
        <v>3.75</v>
      </c>
      <c r="AL866" s="14">
        <f>IFERROR(__xludf.DUMMYFUNCTION("""COMPUTED_VALUE"""),4.23)</f>
        <v>4.23</v>
      </c>
      <c r="AM866" s="14">
        <f>IFERROR(__xludf.DUMMYFUNCTION("""COMPUTED_VALUE"""),4.16)</f>
        <v>4.16</v>
      </c>
      <c r="AN866" s="14">
        <f>IFERROR(__xludf.DUMMYFUNCTION("""COMPUTED_VALUE"""),4.52)</f>
        <v>4.52</v>
      </c>
      <c r="AO866" s="14">
        <f>IFERROR(__xludf.DUMMYFUNCTION("""COMPUTED_VALUE"""),4.196)</f>
        <v>4.196</v>
      </c>
      <c r="AP866" s="14">
        <f>IFERROR(__xludf.DUMMYFUNCTION("""COMPUTED_VALUE"""),25.0)</f>
        <v>25</v>
      </c>
      <c r="AQ866" s="14">
        <f>IFERROR(__xludf.DUMMYFUNCTION("""COMPUTED_VALUE"""),39.0)</f>
        <v>39</v>
      </c>
      <c r="AR866" s="14">
        <f>IFERROR(__xludf.DUMMYFUNCTION("""COMPUTED_VALUE"""),109.0)</f>
        <v>109</v>
      </c>
      <c r="AS866" s="14">
        <f>IFERROR(__xludf.DUMMYFUNCTION("""COMPUTED_VALUE"""),1.0)</f>
        <v>1</v>
      </c>
      <c r="AT866" s="14">
        <f>IFERROR(__xludf.DUMMYFUNCTION("""COMPUTED_VALUE"""),0.96)</f>
        <v>0.96</v>
      </c>
      <c r="AU866" s="14">
        <f>IFERROR(__xludf.DUMMYFUNCTION("""COMPUTED_VALUE"""),1281000.0)</f>
        <v>1281000</v>
      </c>
      <c r="AV866" s="14">
        <f>IFERROR(__xludf.DUMMYFUNCTION("""COMPUTED_VALUE"""),1.49)</f>
        <v>1.49</v>
      </c>
      <c r="AW866" s="14">
        <f>IFERROR(__xludf.DUMMYFUNCTION("""COMPUTED_VALUE"""),10.6)</f>
        <v>10.6</v>
      </c>
      <c r="AX866" s="14">
        <f>IFERROR(__xludf.DUMMYFUNCTION("""COMPUTED_VALUE"""),595000.0)</f>
        <v>595000</v>
      </c>
      <c r="AY866" s="14">
        <f>IFERROR(__xludf.DUMMYFUNCTION("""COMPUTED_VALUE"""),1.3)</f>
        <v>1.3</v>
      </c>
      <c r="AZ866" s="14">
        <f>IFERROR(__xludf.DUMMYFUNCTION("""COMPUTED_VALUE"""),0.379)</f>
        <v>0.379</v>
      </c>
      <c r="BA866" s="14">
        <f t="shared" si="1"/>
        <v>12.279</v>
      </c>
    </row>
    <row r="867" ht="14.25" customHeight="1">
      <c r="A867" s="10" t="str">
        <f>IFERROR(__xludf.DUMMYFUNCTION("""COMPUTED_VALUE"""),"080623DU01")</f>
        <v>080623DU01</v>
      </c>
      <c r="B867" s="12" t="str">
        <f>IFERROR(__xludf.DUMMYFUNCTION("""COMPUTED_VALUE"""),"CMO-Cantón Norte")</f>
        <v>CMO-Cantón Norte</v>
      </c>
      <c r="C867" s="12"/>
      <c r="D867" s="12"/>
      <c r="E867" s="44">
        <f>IFERROR(__xludf.DUMMYFUNCTION("""COMPUTED_VALUE"""),45085.0)</f>
        <v>45085</v>
      </c>
      <c r="F867" s="12" t="str">
        <f>IFERROR(__xludf.DUMMYFUNCTION("""COMPUTED_VALUE"""),"TIPO I")</f>
        <v>TIPO I</v>
      </c>
      <c r="G867" s="12" t="str">
        <f>IFERROR(__xludf.DUMMYFUNCTION("""COMPUTED_VALUE"""),"Estructura del canal en concreto, se observa material flotante aguas arriba y aguas abajo del punto de monitoreo, no se observa color y no se percibe olor. Altitud 2596 msnm.")</f>
        <v>Estructura del canal en concreto, se observa material flotante aguas arriba y aguas abajo del punto de monitoreo, no se observa color y no se percibe olor. Altitud 2596 msnm.</v>
      </c>
      <c r="H867" s="45">
        <f>IFERROR(__xludf.DUMMYFUNCTION("""COMPUTED_VALUE"""),0.3333333333321207)</f>
        <v>0.3333333333</v>
      </c>
      <c r="I867" s="45">
        <f>IFERROR(__xludf.DUMMYFUNCTION("""COMPUTED_VALUE"""),0.4166666666678793)</f>
        <v>0.4166666667</v>
      </c>
      <c r="J867" s="12">
        <f>IFERROR(__xludf.DUMMYFUNCTION("""COMPUTED_VALUE"""),2.0)</f>
        <v>2</v>
      </c>
      <c r="K867" s="12">
        <f>IFERROR(__xludf.DUMMYFUNCTION("""COMPUTED_VALUE"""),0.14)</f>
        <v>0.14</v>
      </c>
      <c r="L867" s="14">
        <f>IFERROR(__xludf.DUMMYFUNCTION("""COMPUTED_VALUE"""),156.326)</f>
        <v>156.326</v>
      </c>
      <c r="M867" s="14">
        <f>IFERROR(__xludf.DUMMYFUNCTION("""COMPUTED_VALUE"""),157.624)</f>
        <v>157.624</v>
      </c>
      <c r="N867" s="14">
        <f>IFERROR(__xludf.DUMMYFUNCTION("""COMPUTED_VALUE"""),158.359)</f>
        <v>158.359</v>
      </c>
      <c r="O867" s="14">
        <f>IFERROR(__xludf.DUMMYFUNCTION("""COMPUTED_VALUE"""),159.575)</f>
        <v>159.575</v>
      </c>
      <c r="P867" s="14">
        <f>IFERROR(__xludf.DUMMYFUNCTION("""COMPUTED_VALUE"""),159.923)</f>
        <v>159.923</v>
      </c>
      <c r="Q867" s="14">
        <f>IFERROR(__xludf.DUMMYFUNCTION("""COMPUTED_VALUE"""),158.362)</f>
        <v>158.362</v>
      </c>
      <c r="R867" s="48">
        <f>IFERROR(__xludf.DUMMYFUNCTION("""COMPUTED_VALUE"""),7.47)</f>
        <v>7.47</v>
      </c>
      <c r="S867" s="48">
        <f>IFERROR(__xludf.DUMMYFUNCTION("""COMPUTED_VALUE"""),7.56)</f>
        <v>7.56</v>
      </c>
      <c r="T867" s="48">
        <f>IFERROR(__xludf.DUMMYFUNCTION("""COMPUTED_VALUE"""),7.53)</f>
        <v>7.53</v>
      </c>
      <c r="U867" s="48">
        <f>IFERROR(__xludf.DUMMYFUNCTION("""COMPUTED_VALUE"""),7.47)</f>
        <v>7.47</v>
      </c>
      <c r="V867" s="48">
        <f>IFERROR(__xludf.DUMMYFUNCTION("""COMPUTED_VALUE"""),7.43)</f>
        <v>7.43</v>
      </c>
      <c r="W867" s="14">
        <f>IFERROR(__xludf.DUMMYFUNCTION("""COMPUTED_VALUE"""),7.491999999999999)</f>
        <v>7.492</v>
      </c>
      <c r="X867" s="14">
        <f>IFERROR(__xludf.DUMMYFUNCTION("""COMPUTED_VALUE"""),15.9)</f>
        <v>15.9</v>
      </c>
      <c r="Y867" s="14">
        <f>IFERROR(__xludf.DUMMYFUNCTION("""COMPUTED_VALUE"""),16.1)</f>
        <v>16.1</v>
      </c>
      <c r="Z867" s="14">
        <f>IFERROR(__xludf.DUMMYFUNCTION("""COMPUTED_VALUE"""),16.1)</f>
        <v>16.1</v>
      </c>
      <c r="AA867" s="14">
        <f>IFERROR(__xludf.DUMMYFUNCTION("""COMPUTED_VALUE"""),16.2)</f>
        <v>16.2</v>
      </c>
      <c r="AB867" s="14">
        <f>IFERROR(__xludf.DUMMYFUNCTION("""COMPUTED_VALUE"""),16.0)</f>
        <v>16</v>
      </c>
      <c r="AC867" s="14">
        <f>IFERROR(__xludf.DUMMYFUNCTION("""COMPUTED_VALUE"""),16.06)</f>
        <v>16.06</v>
      </c>
      <c r="AD867" s="48">
        <f>IFERROR(__xludf.DUMMYFUNCTION("""COMPUTED_VALUE"""),213.0)</f>
        <v>213</v>
      </c>
      <c r="AE867" s="48">
        <f>IFERROR(__xludf.DUMMYFUNCTION("""COMPUTED_VALUE"""),204.0)</f>
        <v>204</v>
      </c>
      <c r="AF867" s="48">
        <f>IFERROR(__xludf.DUMMYFUNCTION("""COMPUTED_VALUE"""),201.0)</f>
        <v>201</v>
      </c>
      <c r="AG867" s="48">
        <f>IFERROR(__xludf.DUMMYFUNCTION("""COMPUTED_VALUE"""),194.0)</f>
        <v>194</v>
      </c>
      <c r="AH867" s="48">
        <f>IFERROR(__xludf.DUMMYFUNCTION("""COMPUTED_VALUE"""),196.0)</f>
        <v>196</v>
      </c>
      <c r="AI867" s="14">
        <f>IFERROR(__xludf.DUMMYFUNCTION("""COMPUTED_VALUE"""),201.6)</f>
        <v>201.6</v>
      </c>
      <c r="AJ867" s="14">
        <f>IFERROR(__xludf.DUMMYFUNCTION("""COMPUTED_VALUE"""),5.33)</f>
        <v>5.33</v>
      </c>
      <c r="AK867" s="14">
        <f>IFERROR(__xludf.DUMMYFUNCTION("""COMPUTED_VALUE"""),5.25)</f>
        <v>5.25</v>
      </c>
      <c r="AL867" s="14">
        <f>IFERROR(__xludf.DUMMYFUNCTION("""COMPUTED_VALUE"""),5.41)</f>
        <v>5.41</v>
      </c>
      <c r="AM867" s="14">
        <f>IFERROR(__xludf.DUMMYFUNCTION("""COMPUTED_VALUE"""),5.06)</f>
        <v>5.06</v>
      </c>
      <c r="AN867" s="14">
        <f>IFERROR(__xludf.DUMMYFUNCTION("""COMPUTED_VALUE"""),5.15)</f>
        <v>5.15</v>
      </c>
      <c r="AO867" s="14">
        <f>IFERROR(__xludf.DUMMYFUNCTION("""COMPUTED_VALUE"""),5.24)</f>
        <v>5.24</v>
      </c>
      <c r="AP867" s="14">
        <f>IFERROR(__xludf.DUMMYFUNCTION("""COMPUTED_VALUE"""),6.0)</f>
        <v>6</v>
      </c>
      <c r="AQ867" s="14">
        <f>IFERROR(__xludf.DUMMYFUNCTION("""COMPUTED_VALUE"""),10.0)</f>
        <v>10</v>
      </c>
      <c r="AR867" s="14">
        <f>IFERROR(__xludf.DUMMYFUNCTION("""COMPUTED_VALUE"""),20.0)</f>
        <v>20</v>
      </c>
      <c r="AS867" s="14">
        <f>IFERROR(__xludf.DUMMYFUNCTION("""COMPUTED_VALUE"""),1.0)</f>
        <v>1</v>
      </c>
      <c r="AT867" s="14">
        <f>IFERROR(__xludf.DUMMYFUNCTION("""COMPUTED_VALUE"""),0.28)</f>
        <v>0.28</v>
      </c>
      <c r="AU867" s="14">
        <f>IFERROR(__xludf.DUMMYFUNCTION("""COMPUTED_VALUE"""),98800.0)</f>
        <v>98800</v>
      </c>
      <c r="AV867" s="14">
        <f>IFERROR(__xludf.DUMMYFUNCTION("""COMPUTED_VALUE"""),0.58)</f>
        <v>0.58</v>
      </c>
      <c r="AW867" s="14">
        <f>IFERROR(__xludf.DUMMYFUNCTION("""COMPUTED_VALUE"""),5.9)</f>
        <v>5.9</v>
      </c>
      <c r="AX867" s="14">
        <f>IFERROR(__xludf.DUMMYFUNCTION("""COMPUTED_VALUE"""),66300.0)</f>
        <v>66300</v>
      </c>
      <c r="AY867" s="14">
        <f>IFERROR(__xludf.DUMMYFUNCTION("""COMPUTED_VALUE"""),1.1)</f>
        <v>1.1</v>
      </c>
      <c r="AZ867" s="14">
        <f>IFERROR(__xludf.DUMMYFUNCTION("""COMPUTED_VALUE"""),0.065)</f>
        <v>0.065</v>
      </c>
      <c r="BA867" s="14">
        <f t="shared" si="1"/>
        <v>7.065</v>
      </c>
    </row>
    <row r="868" ht="14.25" customHeight="1">
      <c r="A868" s="10" t="str">
        <f>IFERROR(__xludf.DUMMYFUNCTION("""COMPUTED_VALUE"""),"090623FE01")</f>
        <v>090623FE01</v>
      </c>
      <c r="B868" s="12" t="str">
        <f>IFERROR(__xludf.DUMMYFUNCTION("""COMPUTED_VALUE"""),"QZA-Entre Nubes")</f>
        <v>QZA-Entre Nubes</v>
      </c>
      <c r="C868" s="12"/>
      <c r="D868" s="12"/>
      <c r="E868" s="44">
        <f>IFERROR(__xludf.DUMMYFUNCTION("""COMPUTED_VALUE"""),45086.0)</f>
        <v>45086</v>
      </c>
      <c r="F868" s="12" t="str">
        <f>IFERROR(__xludf.DUMMYFUNCTION("""COMPUTED_VALUE"""),"TIPO I")</f>
        <v>TIPO I</v>
      </c>
      <c r="G868" s="12" t="str">
        <f>IFERROR(__xludf.DUMMYFUNCTION("""COMPUTED_VALUE"""),"Canal en concreto con lecho arenoso, se percibe olor,  se observa color, residuos solidos a alrededor del punto y lama en la base del canal. Altitud : 2671 msnm.")</f>
        <v>Canal en concreto con lecho arenoso, se percibe olor,  se observa color, residuos solidos a alrededor del punto y lama en la base del canal. Altitud : 2671 msnm.</v>
      </c>
      <c r="H868" s="45">
        <f>IFERROR(__xludf.DUMMYFUNCTION("""COMPUTED_VALUE"""),0.25)</f>
        <v>0.25</v>
      </c>
      <c r="I868" s="45">
        <f>IFERROR(__xludf.DUMMYFUNCTION("""COMPUTED_VALUE"""),0.3333333333321207)</f>
        <v>0.3333333333</v>
      </c>
      <c r="J868" s="12">
        <f>IFERROR(__xludf.DUMMYFUNCTION("""COMPUTED_VALUE"""),4.6)</f>
        <v>4.6</v>
      </c>
      <c r="K868" s="12">
        <f>IFERROR(__xludf.DUMMYFUNCTION("""COMPUTED_VALUE"""),0.08)</f>
        <v>0.08</v>
      </c>
      <c r="L868" s="14">
        <f>IFERROR(__xludf.DUMMYFUNCTION("""COMPUTED_VALUE"""),103.796)</f>
        <v>103.796</v>
      </c>
      <c r="M868" s="14">
        <f>IFERROR(__xludf.DUMMYFUNCTION("""COMPUTED_VALUE"""),107.735)</f>
        <v>107.735</v>
      </c>
      <c r="N868" s="14">
        <f>IFERROR(__xludf.DUMMYFUNCTION("""COMPUTED_VALUE"""),111.653)</f>
        <v>111.653</v>
      </c>
      <c r="O868" s="14">
        <f>IFERROR(__xludf.DUMMYFUNCTION("""COMPUTED_VALUE"""),117.25)</f>
        <v>117.25</v>
      </c>
      <c r="P868" s="14">
        <f>IFERROR(__xludf.DUMMYFUNCTION("""COMPUTED_VALUE"""),121.908)</f>
        <v>121.908</v>
      </c>
      <c r="Q868" s="14">
        <f>IFERROR(__xludf.DUMMYFUNCTION("""COMPUTED_VALUE"""),112.469)</f>
        <v>112.469</v>
      </c>
      <c r="R868" s="48">
        <f>IFERROR(__xludf.DUMMYFUNCTION("""COMPUTED_VALUE"""),7.62)</f>
        <v>7.62</v>
      </c>
      <c r="S868" s="48">
        <f>IFERROR(__xludf.DUMMYFUNCTION("""COMPUTED_VALUE"""),7.69)</f>
        <v>7.69</v>
      </c>
      <c r="T868" s="48">
        <f>IFERROR(__xludf.DUMMYFUNCTION("""COMPUTED_VALUE"""),7.73)</f>
        <v>7.73</v>
      </c>
      <c r="U868" s="48">
        <f>IFERROR(__xludf.DUMMYFUNCTION("""COMPUTED_VALUE"""),7.79)</f>
        <v>7.79</v>
      </c>
      <c r="V868" s="48">
        <f>IFERROR(__xludf.DUMMYFUNCTION("""COMPUTED_VALUE"""),7.82)</f>
        <v>7.82</v>
      </c>
      <c r="W868" s="14">
        <f>IFERROR(__xludf.DUMMYFUNCTION("""COMPUTED_VALUE"""),7.7299999999999995)</f>
        <v>7.73</v>
      </c>
      <c r="X868" s="14">
        <f>IFERROR(__xludf.DUMMYFUNCTION("""COMPUTED_VALUE"""),16.9)</f>
        <v>16.9</v>
      </c>
      <c r="Y868" s="14">
        <f>IFERROR(__xludf.DUMMYFUNCTION("""COMPUTED_VALUE"""),16.9)</f>
        <v>16.9</v>
      </c>
      <c r="Z868" s="14">
        <f>IFERROR(__xludf.DUMMYFUNCTION("""COMPUTED_VALUE"""),16.8)</f>
        <v>16.8</v>
      </c>
      <c r="AA868" s="14">
        <f>IFERROR(__xludf.DUMMYFUNCTION("""COMPUTED_VALUE"""),17.0)</f>
        <v>17</v>
      </c>
      <c r="AB868" s="14">
        <f>IFERROR(__xludf.DUMMYFUNCTION("""COMPUTED_VALUE"""),17.1)</f>
        <v>17.1</v>
      </c>
      <c r="AC868" s="14">
        <f>IFERROR(__xludf.DUMMYFUNCTION("""COMPUTED_VALUE"""),16.939999999999998)</f>
        <v>16.94</v>
      </c>
      <c r="AD868" s="48">
        <f>IFERROR(__xludf.DUMMYFUNCTION("""COMPUTED_VALUE"""),437.0)</f>
        <v>437</v>
      </c>
      <c r="AE868" s="48">
        <f>IFERROR(__xludf.DUMMYFUNCTION("""COMPUTED_VALUE"""),443.0)</f>
        <v>443</v>
      </c>
      <c r="AF868" s="48">
        <f>IFERROR(__xludf.DUMMYFUNCTION("""COMPUTED_VALUE"""),497.0)</f>
        <v>497</v>
      </c>
      <c r="AG868" s="48">
        <f>IFERROR(__xludf.DUMMYFUNCTION("""COMPUTED_VALUE"""),513.0)</f>
        <v>513</v>
      </c>
      <c r="AH868" s="48">
        <f>IFERROR(__xludf.DUMMYFUNCTION("""COMPUTED_VALUE"""),517.0)</f>
        <v>517</v>
      </c>
      <c r="AI868" s="14">
        <f>IFERROR(__xludf.DUMMYFUNCTION("""COMPUTED_VALUE"""),481.4)</f>
        <v>481.4</v>
      </c>
      <c r="AJ868" s="14">
        <f>IFERROR(__xludf.DUMMYFUNCTION("""COMPUTED_VALUE"""),3.9)</f>
        <v>3.9</v>
      </c>
      <c r="AK868" s="14">
        <f>IFERROR(__xludf.DUMMYFUNCTION("""COMPUTED_VALUE"""),3.86)</f>
        <v>3.86</v>
      </c>
      <c r="AL868" s="14">
        <f>IFERROR(__xludf.DUMMYFUNCTION("""COMPUTED_VALUE"""),3.69)</f>
        <v>3.69</v>
      </c>
      <c r="AM868" s="14">
        <f>IFERROR(__xludf.DUMMYFUNCTION("""COMPUTED_VALUE"""),3.83)</f>
        <v>3.83</v>
      </c>
      <c r="AN868" s="14">
        <f>IFERROR(__xludf.DUMMYFUNCTION("""COMPUTED_VALUE"""),3.62)</f>
        <v>3.62</v>
      </c>
      <c r="AO868" s="14">
        <f>IFERROR(__xludf.DUMMYFUNCTION("""COMPUTED_VALUE"""),3.78)</f>
        <v>3.78</v>
      </c>
      <c r="AP868" s="14">
        <f>IFERROR(__xludf.DUMMYFUNCTION("""COMPUTED_VALUE"""),117.0)</f>
        <v>117</v>
      </c>
      <c r="AQ868" s="14">
        <f>IFERROR(__xludf.DUMMYFUNCTION("""COMPUTED_VALUE"""),173.0)</f>
        <v>173</v>
      </c>
      <c r="AR868" s="14">
        <f>IFERROR(__xludf.DUMMYFUNCTION("""COMPUTED_VALUE"""),91.0)</f>
        <v>91</v>
      </c>
      <c r="AS868" s="14">
        <f>IFERROR(__xludf.DUMMYFUNCTION("""COMPUTED_VALUE"""),27.0)</f>
        <v>27</v>
      </c>
      <c r="AT868" s="14">
        <f>IFERROR(__xludf.DUMMYFUNCTION("""COMPUTED_VALUE"""),1.46)</f>
        <v>1.46</v>
      </c>
      <c r="AU868" s="14">
        <f>IFERROR(__xludf.DUMMYFUNCTION("""COMPUTED_VALUE"""),9330000.0)</f>
        <v>9330000</v>
      </c>
      <c r="AV868" s="14">
        <f>IFERROR(__xludf.DUMMYFUNCTION("""COMPUTED_VALUE"""),3.53)</f>
        <v>3.53</v>
      </c>
      <c r="AW868" s="14">
        <f>IFERROR(__xludf.DUMMYFUNCTION("""COMPUTED_VALUE"""),24.4)</f>
        <v>24.4</v>
      </c>
      <c r="AX868" s="14">
        <f>IFERROR(__xludf.DUMMYFUNCTION("""COMPUTED_VALUE"""),8200000.0)</f>
        <v>8200000</v>
      </c>
      <c r="AY868" s="14">
        <f>IFERROR(__xludf.DUMMYFUNCTION("""COMPUTED_VALUE"""),1.5)</f>
        <v>1.5</v>
      </c>
      <c r="AZ868" s="14">
        <f>IFERROR(__xludf.DUMMYFUNCTION("""COMPUTED_VALUE"""),0.007)</f>
        <v>0.007</v>
      </c>
      <c r="BA868" s="14">
        <f t="shared" si="1"/>
        <v>25.907</v>
      </c>
    </row>
    <row r="869" ht="14.25" customHeight="1">
      <c r="A869" s="10" t="str">
        <f>IFERROR(__xludf.DUMMYFUNCTION("""COMPUTED_VALUE"""),"090623MO02")</f>
        <v>090623MO02</v>
      </c>
      <c r="B869" s="12" t="str">
        <f>IFERROR(__xludf.DUMMYFUNCTION("""COMPUTED_VALUE"""),"QZA-Molinos")</f>
        <v>QZA-Molinos</v>
      </c>
      <c r="C869" s="12"/>
      <c r="D869" s="12"/>
      <c r="E869" s="44">
        <f>IFERROR(__xludf.DUMMYFUNCTION("""COMPUTED_VALUE"""),45086.0)</f>
        <v>45086</v>
      </c>
      <c r="F869" s="12" t="str">
        <f>IFERROR(__xludf.DUMMYFUNCTION("""COMPUTED_VALUE"""),"TIPO I")</f>
        <v>TIPO I</v>
      </c>
      <c r="G869" s="12" t="str">
        <f>IFERROR(__xludf.DUMMYFUNCTION("""COMPUTED_VALUE"""),"Lecho natural, lodoso rocoso, se observa color y se percibe olor. Altitud 2593 msnm.")</f>
        <v>Lecho natural, lodoso rocoso, se observa color y se percibe olor. Altitud 2593 msnm.</v>
      </c>
      <c r="H869" s="45">
        <f>IFERROR(__xludf.DUMMYFUNCTION("""COMPUTED_VALUE"""),0.5)</f>
        <v>0.5</v>
      </c>
      <c r="I869" s="45">
        <f>IFERROR(__xludf.DUMMYFUNCTION("""COMPUTED_VALUE"""),0.5833333333321207)</f>
        <v>0.5833333333</v>
      </c>
      <c r="J869" s="12">
        <f>IFERROR(__xludf.DUMMYFUNCTION("""COMPUTED_VALUE"""),5.7)</f>
        <v>5.7</v>
      </c>
      <c r="K869" s="12">
        <f>IFERROR(__xludf.DUMMYFUNCTION("""COMPUTED_VALUE"""),0.28)</f>
        <v>0.28</v>
      </c>
      <c r="L869" s="14">
        <f>IFERROR(__xludf.DUMMYFUNCTION("""COMPUTED_VALUE"""),386.432)</f>
        <v>386.432</v>
      </c>
      <c r="M869" s="14">
        <f>IFERROR(__xludf.DUMMYFUNCTION("""COMPUTED_VALUE"""),372.79)</f>
        <v>372.79</v>
      </c>
      <c r="N869" s="14">
        <f>IFERROR(__xludf.DUMMYFUNCTION("""COMPUTED_VALUE"""),373.14)</f>
        <v>373.14</v>
      </c>
      <c r="O869" s="14">
        <f>IFERROR(__xludf.DUMMYFUNCTION("""COMPUTED_VALUE"""),382.612)</f>
        <v>382.612</v>
      </c>
      <c r="P869" s="14">
        <f>IFERROR(__xludf.DUMMYFUNCTION("""COMPUTED_VALUE"""),376.88)</f>
        <v>376.88</v>
      </c>
      <c r="Q869" s="14">
        <f>IFERROR(__xludf.DUMMYFUNCTION("""COMPUTED_VALUE"""),378.371)</f>
        <v>378.371</v>
      </c>
      <c r="R869" s="48">
        <f>IFERROR(__xludf.DUMMYFUNCTION("""COMPUTED_VALUE"""),7.62)</f>
        <v>7.62</v>
      </c>
      <c r="S869" s="48">
        <f>IFERROR(__xludf.DUMMYFUNCTION("""COMPUTED_VALUE"""),7.54)</f>
        <v>7.54</v>
      </c>
      <c r="T869" s="48">
        <f>IFERROR(__xludf.DUMMYFUNCTION("""COMPUTED_VALUE"""),7.31)</f>
        <v>7.31</v>
      </c>
      <c r="U869" s="48">
        <f>IFERROR(__xludf.DUMMYFUNCTION("""COMPUTED_VALUE"""),7.52)</f>
        <v>7.52</v>
      </c>
      <c r="V869" s="48">
        <f>IFERROR(__xludf.DUMMYFUNCTION("""COMPUTED_VALUE"""),7.48)</f>
        <v>7.48</v>
      </c>
      <c r="W869" s="14">
        <f>IFERROR(__xludf.DUMMYFUNCTION("""COMPUTED_VALUE"""),7.494)</f>
        <v>7.494</v>
      </c>
      <c r="X869" s="14">
        <f>IFERROR(__xludf.DUMMYFUNCTION("""COMPUTED_VALUE"""),19.7)</f>
        <v>19.7</v>
      </c>
      <c r="Y869" s="14">
        <f>IFERROR(__xludf.DUMMYFUNCTION("""COMPUTED_VALUE"""),19.8)</f>
        <v>19.8</v>
      </c>
      <c r="Z869" s="14">
        <f>IFERROR(__xludf.DUMMYFUNCTION("""COMPUTED_VALUE"""),19.9)</f>
        <v>19.9</v>
      </c>
      <c r="AA869" s="14">
        <f>IFERROR(__xludf.DUMMYFUNCTION("""COMPUTED_VALUE"""),20.2)</f>
        <v>20.2</v>
      </c>
      <c r="AB869" s="14">
        <f>IFERROR(__xludf.DUMMYFUNCTION("""COMPUTED_VALUE"""),20.0)</f>
        <v>20</v>
      </c>
      <c r="AC869" s="14">
        <f>IFERROR(__xludf.DUMMYFUNCTION("""COMPUTED_VALUE"""),19.919999999999998)</f>
        <v>19.92</v>
      </c>
      <c r="AD869" s="48">
        <f>IFERROR(__xludf.DUMMYFUNCTION("""COMPUTED_VALUE"""),597.0)</f>
        <v>597</v>
      </c>
      <c r="AE869" s="48">
        <f>IFERROR(__xludf.DUMMYFUNCTION("""COMPUTED_VALUE"""),588.0)</f>
        <v>588</v>
      </c>
      <c r="AF869" s="48">
        <f>IFERROR(__xludf.DUMMYFUNCTION("""COMPUTED_VALUE"""),594.0)</f>
        <v>594</v>
      </c>
      <c r="AG869" s="48">
        <f>IFERROR(__xludf.DUMMYFUNCTION("""COMPUTED_VALUE"""),587.0)</f>
        <v>587</v>
      </c>
      <c r="AH869" s="48">
        <f>IFERROR(__xludf.DUMMYFUNCTION("""COMPUTED_VALUE"""),573.0)</f>
        <v>573</v>
      </c>
      <c r="AI869" s="14">
        <f>IFERROR(__xludf.DUMMYFUNCTION("""COMPUTED_VALUE"""),587.8)</f>
        <v>587.8</v>
      </c>
      <c r="AJ869" s="14">
        <f>IFERROR(__xludf.DUMMYFUNCTION("""COMPUTED_VALUE"""),1.09)</f>
        <v>1.09</v>
      </c>
      <c r="AK869" s="14">
        <f>IFERROR(__xludf.DUMMYFUNCTION("""COMPUTED_VALUE"""),1.0)</f>
        <v>1</v>
      </c>
      <c r="AL869" s="14">
        <f>IFERROR(__xludf.DUMMYFUNCTION("""COMPUTED_VALUE"""),1.22)</f>
        <v>1.22</v>
      </c>
      <c r="AM869" s="14">
        <f>IFERROR(__xludf.DUMMYFUNCTION("""COMPUTED_VALUE"""),1.47)</f>
        <v>1.47</v>
      </c>
      <c r="AN869" s="14">
        <f>IFERROR(__xludf.DUMMYFUNCTION("""COMPUTED_VALUE"""),0.84)</f>
        <v>0.84</v>
      </c>
      <c r="AO869" s="14">
        <f>IFERROR(__xludf.DUMMYFUNCTION("""COMPUTED_VALUE"""),1.1239999999999999)</f>
        <v>1.124</v>
      </c>
      <c r="AP869" s="14">
        <f>IFERROR(__xludf.DUMMYFUNCTION("""COMPUTED_VALUE"""),141.0)</f>
        <v>141</v>
      </c>
      <c r="AQ869" s="14">
        <f>IFERROR(__xludf.DUMMYFUNCTION("""COMPUTED_VALUE"""),206.0)</f>
        <v>206</v>
      </c>
      <c r="AR869" s="14">
        <f>IFERROR(__xludf.DUMMYFUNCTION("""COMPUTED_VALUE"""),143.0)</f>
        <v>143</v>
      </c>
      <c r="AS869" s="14">
        <f>IFERROR(__xludf.DUMMYFUNCTION("""COMPUTED_VALUE"""),34.0)</f>
        <v>34</v>
      </c>
      <c r="AT869" s="14">
        <f>IFERROR(__xludf.DUMMYFUNCTION("""COMPUTED_VALUE"""),3.52)</f>
        <v>3.52</v>
      </c>
      <c r="AU869" s="14">
        <f>IFERROR(__xludf.DUMMYFUNCTION("""COMPUTED_VALUE"""),9580000.0)</f>
        <v>9580000</v>
      </c>
      <c r="AV869" s="14">
        <f>IFERROR(__xludf.DUMMYFUNCTION("""COMPUTED_VALUE"""),3.37)</f>
        <v>3.37</v>
      </c>
      <c r="AW869" s="14">
        <f>IFERROR(__xludf.DUMMYFUNCTION("""COMPUTED_VALUE"""),22.4)</f>
        <v>22.4</v>
      </c>
      <c r="AX869" s="14">
        <f>IFERROR(__xludf.DUMMYFUNCTION("""COMPUTED_VALUE"""),8160000.0)</f>
        <v>8160000</v>
      </c>
      <c r="AY869" s="14">
        <f>IFERROR(__xludf.DUMMYFUNCTION("""COMPUTED_VALUE"""),1.3)</f>
        <v>1.3</v>
      </c>
      <c r="AZ869" s="14">
        <f>IFERROR(__xludf.DUMMYFUNCTION("""COMPUTED_VALUE"""),0.007)</f>
        <v>0.007</v>
      </c>
      <c r="BA869" s="14">
        <f t="shared" si="1"/>
        <v>23.707</v>
      </c>
    </row>
    <row r="870" ht="14.25" customHeight="1">
      <c r="A870" s="10" t="str">
        <f>IFERROR(__xludf.DUMMYFUNCTION("""COMPUTED_VALUE"""),"260623MO01")</f>
        <v>260623MO01</v>
      </c>
      <c r="B870" s="12" t="str">
        <f>IFERROR(__xludf.DUMMYFUNCTION("""COMPUTED_VALUE"""),"CON-Bella Suiza")</f>
        <v>CON-Bella Suiza</v>
      </c>
      <c r="C870" s="12"/>
      <c r="D870" s="12"/>
      <c r="E870" s="44">
        <f>IFERROR(__xludf.DUMMYFUNCTION("""COMPUTED_VALUE"""),45103.0)</f>
        <v>45103</v>
      </c>
      <c r="F870" s="12" t="str">
        <f>IFERROR(__xludf.DUMMYFUNCTION("""COMPUTED_VALUE"""),"TIPO I")</f>
        <v>TIPO I</v>
      </c>
      <c r="G870" s="12" t="str">
        <f>IFERROR(__xludf.DUMMYFUNCTION("""COMPUTED_VALUE"""),"Canal en concreto, se percibe olor, se observa color, material flotante y vegetal al margen del canal. Altitud 2578 msnm")</f>
        <v>Canal en concreto, se percibe olor, se observa color, material flotante y vegetal al margen del canal. Altitud 2578 msnm</v>
      </c>
      <c r="H870" s="45">
        <f>IFERROR(__xludf.DUMMYFUNCTION("""COMPUTED_VALUE"""),0.3333333333321207)</f>
        <v>0.3333333333</v>
      </c>
      <c r="I870" s="45">
        <f>IFERROR(__xludf.DUMMYFUNCTION("""COMPUTED_VALUE"""),0.4166666666678793)</f>
        <v>0.4166666667</v>
      </c>
      <c r="J870" s="12">
        <f>IFERROR(__xludf.DUMMYFUNCTION("""COMPUTED_VALUE"""),1.0)</f>
        <v>1</v>
      </c>
      <c r="K870" s="12">
        <f>IFERROR(__xludf.DUMMYFUNCTION("""COMPUTED_VALUE"""),0.09)</f>
        <v>0.09</v>
      </c>
      <c r="L870" s="14">
        <f>IFERROR(__xludf.DUMMYFUNCTION("""COMPUTED_VALUE"""),13.479)</f>
        <v>13.479</v>
      </c>
      <c r="M870" s="14">
        <f>IFERROR(__xludf.DUMMYFUNCTION("""COMPUTED_VALUE"""),13.264)</f>
        <v>13.264</v>
      </c>
      <c r="N870" s="14">
        <f>IFERROR(__xludf.DUMMYFUNCTION("""COMPUTED_VALUE"""),13.308)</f>
        <v>13.308</v>
      </c>
      <c r="O870" s="14">
        <f>IFERROR(__xludf.DUMMYFUNCTION("""COMPUTED_VALUE"""),14.315)</f>
        <v>14.315</v>
      </c>
      <c r="P870" s="14">
        <f>IFERROR(__xludf.DUMMYFUNCTION("""COMPUTED_VALUE"""),14.071)</f>
        <v>14.071</v>
      </c>
      <c r="Q870" s="14">
        <f>IFERROR(__xludf.DUMMYFUNCTION("""COMPUTED_VALUE"""),13.687)</f>
        <v>13.687</v>
      </c>
      <c r="R870" s="48">
        <f>IFERROR(__xludf.DUMMYFUNCTION("""COMPUTED_VALUE"""),7.28)</f>
        <v>7.28</v>
      </c>
      <c r="S870" s="48">
        <f>IFERROR(__xludf.DUMMYFUNCTION("""COMPUTED_VALUE"""),7.18)</f>
        <v>7.18</v>
      </c>
      <c r="T870" s="48">
        <f>IFERROR(__xludf.DUMMYFUNCTION("""COMPUTED_VALUE"""),7.2)</f>
        <v>7.2</v>
      </c>
      <c r="U870" s="48">
        <f>IFERROR(__xludf.DUMMYFUNCTION("""COMPUTED_VALUE"""),7.19)</f>
        <v>7.19</v>
      </c>
      <c r="V870" s="48">
        <f>IFERROR(__xludf.DUMMYFUNCTION("""COMPUTED_VALUE"""),7.58)</f>
        <v>7.58</v>
      </c>
      <c r="W870" s="14">
        <f>IFERROR(__xludf.DUMMYFUNCTION("""COMPUTED_VALUE"""),7.286)</f>
        <v>7.286</v>
      </c>
      <c r="X870" s="14">
        <f>IFERROR(__xludf.DUMMYFUNCTION("""COMPUTED_VALUE"""),18.6)</f>
        <v>18.6</v>
      </c>
      <c r="Y870" s="14">
        <f>IFERROR(__xludf.DUMMYFUNCTION("""COMPUTED_VALUE"""),18.8)</f>
        <v>18.8</v>
      </c>
      <c r="Z870" s="14">
        <f>IFERROR(__xludf.DUMMYFUNCTION("""COMPUTED_VALUE"""),19.1)</f>
        <v>19.1</v>
      </c>
      <c r="AA870" s="14">
        <f>IFERROR(__xludf.DUMMYFUNCTION("""COMPUTED_VALUE"""),19.0)</f>
        <v>19</v>
      </c>
      <c r="AB870" s="14">
        <f>IFERROR(__xludf.DUMMYFUNCTION("""COMPUTED_VALUE"""),19.8)</f>
        <v>19.8</v>
      </c>
      <c r="AC870" s="14">
        <f>IFERROR(__xludf.DUMMYFUNCTION("""COMPUTED_VALUE"""),19.06)</f>
        <v>19.06</v>
      </c>
      <c r="AD870" s="48">
        <f>IFERROR(__xludf.DUMMYFUNCTION("""COMPUTED_VALUE"""),229.0)</f>
        <v>229</v>
      </c>
      <c r="AE870" s="48">
        <f>IFERROR(__xludf.DUMMYFUNCTION("""COMPUTED_VALUE"""),222.0)</f>
        <v>222</v>
      </c>
      <c r="AF870" s="48">
        <f>IFERROR(__xludf.DUMMYFUNCTION("""COMPUTED_VALUE"""),252.0)</f>
        <v>252</v>
      </c>
      <c r="AG870" s="48">
        <f>IFERROR(__xludf.DUMMYFUNCTION("""COMPUTED_VALUE"""),251.0)</f>
        <v>251</v>
      </c>
      <c r="AH870" s="48">
        <f>IFERROR(__xludf.DUMMYFUNCTION("""COMPUTED_VALUE"""),368.0)</f>
        <v>368</v>
      </c>
      <c r="AI870" s="14">
        <f>IFERROR(__xludf.DUMMYFUNCTION("""COMPUTED_VALUE"""),264.4)</f>
        <v>264.4</v>
      </c>
      <c r="AJ870" s="14">
        <f>IFERROR(__xludf.DUMMYFUNCTION("""COMPUTED_VALUE"""),2.62)</f>
        <v>2.62</v>
      </c>
      <c r="AK870" s="14">
        <f>IFERROR(__xludf.DUMMYFUNCTION("""COMPUTED_VALUE"""),2.74)</f>
        <v>2.74</v>
      </c>
      <c r="AL870" s="14">
        <f>IFERROR(__xludf.DUMMYFUNCTION("""COMPUTED_VALUE"""),2.86)</f>
        <v>2.86</v>
      </c>
      <c r="AM870" s="14">
        <f>IFERROR(__xludf.DUMMYFUNCTION("""COMPUTED_VALUE"""),2.91)</f>
        <v>2.91</v>
      </c>
      <c r="AN870" s="14">
        <f>IFERROR(__xludf.DUMMYFUNCTION("""COMPUTED_VALUE"""),2.96)</f>
        <v>2.96</v>
      </c>
      <c r="AO870" s="14">
        <f>IFERROR(__xludf.DUMMYFUNCTION("""COMPUTED_VALUE"""),2.818)</f>
        <v>2.818</v>
      </c>
      <c r="AP870" s="14">
        <f>IFERROR(__xludf.DUMMYFUNCTION("""COMPUTED_VALUE"""),21.0)</f>
        <v>21</v>
      </c>
      <c r="AQ870" s="14">
        <f>IFERROR(__xludf.DUMMYFUNCTION("""COMPUTED_VALUE"""),32.0)</f>
        <v>32</v>
      </c>
      <c r="AR870" s="14">
        <f>IFERROR(__xludf.DUMMYFUNCTION("""COMPUTED_VALUE"""),18.0)</f>
        <v>18</v>
      </c>
      <c r="AS870" s="14">
        <f>IFERROR(__xludf.DUMMYFUNCTION("""COMPUTED_VALUE"""),1.0)</f>
        <v>1</v>
      </c>
      <c r="AT870" s="14">
        <f>IFERROR(__xludf.DUMMYFUNCTION("""COMPUTED_VALUE"""),0.32)</f>
        <v>0.32</v>
      </c>
      <c r="AU870" s="14">
        <f>IFERROR(__xludf.DUMMYFUNCTION("""COMPUTED_VALUE"""),156500.0)</f>
        <v>156500</v>
      </c>
      <c r="AV870" s="14">
        <f>IFERROR(__xludf.DUMMYFUNCTION("""COMPUTED_VALUE"""),0.82)</f>
        <v>0.82</v>
      </c>
      <c r="AW870" s="14">
        <f>IFERROR(__xludf.DUMMYFUNCTION("""COMPUTED_VALUE"""),7.3)</f>
        <v>7.3</v>
      </c>
      <c r="AX870" s="14">
        <f>IFERROR(__xludf.DUMMYFUNCTION("""COMPUTED_VALUE"""),120100.0)</f>
        <v>120100</v>
      </c>
      <c r="AY870" s="14">
        <f>IFERROR(__xludf.DUMMYFUNCTION("""COMPUTED_VALUE"""),0.6)</f>
        <v>0.6</v>
      </c>
      <c r="AZ870" s="14">
        <f>IFERROR(__xludf.DUMMYFUNCTION("""COMPUTED_VALUE"""),0.007)</f>
        <v>0.007</v>
      </c>
      <c r="BA870" s="14">
        <f t="shared" si="1"/>
        <v>7.907</v>
      </c>
    </row>
    <row r="871" ht="14.25" customHeight="1">
      <c r="A871" s="10" t="str">
        <f>IFERROR(__xludf.DUMMYFUNCTION("""COMPUTED_VALUE"""),"270623FE01")</f>
        <v>270623FE01</v>
      </c>
      <c r="B871" s="12" t="str">
        <f>IFERROR(__xludf.DUMMYFUNCTION("""COMPUTED_VALUE"""),"CON-Country")</f>
        <v>CON-Country</v>
      </c>
      <c r="C871" s="12"/>
      <c r="D871" s="12"/>
      <c r="E871" s="44">
        <f>IFERROR(__xludf.DUMMYFUNCTION("""COMPUTED_VALUE"""),45104.0)</f>
        <v>45104</v>
      </c>
      <c r="F871" s="12" t="str">
        <f>IFERROR(__xludf.DUMMYFUNCTION("""COMPUTED_VALUE"""),"TIPO I")</f>
        <v>TIPO I</v>
      </c>
      <c r="G871" s="12" t="str">
        <f>IFERROR(__xludf.DUMMYFUNCTION("""COMPUTED_VALUE"""),"Canal en concreto, no se percibe olor, no se observa color, se observa material flotante.")</f>
        <v>Canal en concreto, no se percibe olor, no se observa color, se observa material flotante.</v>
      </c>
      <c r="H871" s="45">
        <f>IFERROR(__xludf.DUMMYFUNCTION("""COMPUTED_VALUE"""),0.3333333333321207)</f>
        <v>0.3333333333</v>
      </c>
      <c r="I871" s="45">
        <f>IFERROR(__xludf.DUMMYFUNCTION("""COMPUTED_VALUE"""),0.4166666666678793)</f>
        <v>0.4166666667</v>
      </c>
      <c r="J871" s="12">
        <f>IFERROR(__xludf.DUMMYFUNCTION("""COMPUTED_VALUE"""),3.7)</f>
        <v>3.7</v>
      </c>
      <c r="K871" s="12">
        <f>IFERROR(__xludf.DUMMYFUNCTION("""COMPUTED_VALUE"""),0.06)</f>
        <v>0.06</v>
      </c>
      <c r="L871" s="14">
        <f>IFERROR(__xludf.DUMMYFUNCTION("""COMPUTED_VALUE"""),4.306)</f>
        <v>4.306</v>
      </c>
      <c r="M871" s="14">
        <f>IFERROR(__xludf.DUMMYFUNCTION("""COMPUTED_VALUE"""),4.347)</f>
        <v>4.347</v>
      </c>
      <c r="N871" s="14">
        <f>IFERROR(__xludf.DUMMYFUNCTION("""COMPUTED_VALUE"""),4.572)</f>
        <v>4.572</v>
      </c>
      <c r="O871" s="14">
        <f>IFERROR(__xludf.DUMMYFUNCTION("""COMPUTED_VALUE"""),4.619)</f>
        <v>4.619</v>
      </c>
      <c r="P871" s="14">
        <f>IFERROR(__xludf.DUMMYFUNCTION("""COMPUTED_VALUE"""),4.773)</f>
        <v>4.773</v>
      </c>
      <c r="Q871" s="14">
        <f>IFERROR(__xludf.DUMMYFUNCTION("""COMPUTED_VALUE"""),4.523)</f>
        <v>4.523</v>
      </c>
      <c r="R871" s="48">
        <f>IFERROR(__xludf.DUMMYFUNCTION("""COMPUTED_VALUE"""),8.75)</f>
        <v>8.75</v>
      </c>
      <c r="S871" s="48">
        <f>IFERROR(__xludf.DUMMYFUNCTION("""COMPUTED_VALUE"""),8.18)</f>
        <v>8.18</v>
      </c>
      <c r="T871" s="48">
        <f>IFERROR(__xludf.DUMMYFUNCTION("""COMPUTED_VALUE"""),8.23)</f>
        <v>8.23</v>
      </c>
      <c r="U871" s="48">
        <f>IFERROR(__xludf.DUMMYFUNCTION("""COMPUTED_VALUE"""),8.29)</f>
        <v>8.29</v>
      </c>
      <c r="V871" s="48">
        <f>IFERROR(__xludf.DUMMYFUNCTION("""COMPUTED_VALUE"""),8.16)</f>
        <v>8.16</v>
      </c>
      <c r="W871" s="14">
        <f>IFERROR(__xludf.DUMMYFUNCTION("""COMPUTED_VALUE"""),8.322)</f>
        <v>8.322</v>
      </c>
      <c r="X871" s="14">
        <f>IFERROR(__xludf.DUMMYFUNCTION("""COMPUTED_VALUE"""),19.5)</f>
        <v>19.5</v>
      </c>
      <c r="Y871" s="14">
        <f>IFERROR(__xludf.DUMMYFUNCTION("""COMPUTED_VALUE"""),19.5)</f>
        <v>19.5</v>
      </c>
      <c r="Z871" s="14">
        <f>IFERROR(__xludf.DUMMYFUNCTION("""COMPUTED_VALUE"""),20.1)</f>
        <v>20.1</v>
      </c>
      <c r="AA871" s="14">
        <f>IFERROR(__xludf.DUMMYFUNCTION("""COMPUTED_VALUE"""),20.4)</f>
        <v>20.4</v>
      </c>
      <c r="AB871" s="14">
        <f>IFERROR(__xludf.DUMMYFUNCTION("""COMPUTED_VALUE"""),20.2)</f>
        <v>20.2</v>
      </c>
      <c r="AC871" s="14">
        <f>IFERROR(__xludf.DUMMYFUNCTION("""COMPUTED_VALUE"""),19.94)</f>
        <v>19.94</v>
      </c>
      <c r="AD871" s="48">
        <f>IFERROR(__xludf.DUMMYFUNCTION("""COMPUTED_VALUE"""),325.0)</f>
        <v>325</v>
      </c>
      <c r="AE871" s="48">
        <f>IFERROR(__xludf.DUMMYFUNCTION("""COMPUTED_VALUE"""),324.0)</f>
        <v>324</v>
      </c>
      <c r="AF871" s="48">
        <f>IFERROR(__xludf.DUMMYFUNCTION("""COMPUTED_VALUE"""),268.0)</f>
        <v>268</v>
      </c>
      <c r="AG871" s="48">
        <f>IFERROR(__xludf.DUMMYFUNCTION("""COMPUTED_VALUE"""),281.0)</f>
        <v>281</v>
      </c>
      <c r="AH871" s="48">
        <f>IFERROR(__xludf.DUMMYFUNCTION("""COMPUTED_VALUE"""),333.0)</f>
        <v>333</v>
      </c>
      <c r="AI871" s="14">
        <f>IFERROR(__xludf.DUMMYFUNCTION("""COMPUTED_VALUE"""),306.2)</f>
        <v>306.2</v>
      </c>
      <c r="AJ871" s="14">
        <f>IFERROR(__xludf.DUMMYFUNCTION("""COMPUTED_VALUE"""),5.43)</f>
        <v>5.43</v>
      </c>
      <c r="AK871" s="14">
        <f>IFERROR(__xludf.DUMMYFUNCTION("""COMPUTED_VALUE"""),5.45)</f>
        <v>5.45</v>
      </c>
      <c r="AL871" s="14">
        <f>IFERROR(__xludf.DUMMYFUNCTION("""COMPUTED_VALUE"""),5.72)</f>
        <v>5.72</v>
      </c>
      <c r="AM871" s="14">
        <f>IFERROR(__xludf.DUMMYFUNCTION("""COMPUTED_VALUE"""),5.79)</f>
        <v>5.79</v>
      </c>
      <c r="AN871" s="14">
        <f>IFERROR(__xludf.DUMMYFUNCTION("""COMPUTED_VALUE"""),5.84)</f>
        <v>5.84</v>
      </c>
      <c r="AO871" s="14">
        <f>IFERROR(__xludf.DUMMYFUNCTION("""COMPUTED_VALUE"""),5.645999999999999)</f>
        <v>5.646</v>
      </c>
      <c r="AP871" s="14">
        <f>IFERROR(__xludf.DUMMYFUNCTION("""COMPUTED_VALUE"""),15.0)</f>
        <v>15</v>
      </c>
      <c r="AQ871" s="14">
        <f>IFERROR(__xludf.DUMMYFUNCTION("""COMPUTED_VALUE"""),23.0)</f>
        <v>23</v>
      </c>
      <c r="AR871" s="14">
        <f>IFERROR(__xludf.DUMMYFUNCTION("""COMPUTED_VALUE"""),33.0)</f>
        <v>33</v>
      </c>
      <c r="AS871" s="14">
        <f>IFERROR(__xludf.DUMMYFUNCTION("""COMPUTED_VALUE"""),1.0)</f>
        <v>1</v>
      </c>
      <c r="AT871" s="14">
        <f>IFERROR(__xludf.DUMMYFUNCTION("""COMPUTED_VALUE"""),0.07)</f>
        <v>0.07</v>
      </c>
      <c r="AU871" s="14">
        <f>IFERROR(__xludf.DUMMYFUNCTION("""COMPUTED_VALUE"""),186000.0)</f>
        <v>186000</v>
      </c>
      <c r="AV871" s="14">
        <f>IFERROR(__xludf.DUMMYFUNCTION("""COMPUTED_VALUE"""),0.81)</f>
        <v>0.81</v>
      </c>
      <c r="AW871" s="14">
        <f>IFERROR(__xludf.DUMMYFUNCTION("""COMPUTED_VALUE"""),8.1)</f>
        <v>8.1</v>
      </c>
      <c r="AX871" s="14">
        <f>IFERROR(__xludf.DUMMYFUNCTION("""COMPUTED_VALUE"""),148300.0)</f>
        <v>148300</v>
      </c>
      <c r="AY871" s="14">
        <f>IFERROR(__xludf.DUMMYFUNCTION("""COMPUTED_VALUE"""),0.9)</f>
        <v>0.9</v>
      </c>
      <c r="AZ871" s="14">
        <f>IFERROR(__xludf.DUMMYFUNCTION("""COMPUTED_VALUE"""),0.045)</f>
        <v>0.045</v>
      </c>
      <c r="BA871" s="14">
        <f t="shared" si="1"/>
        <v>9.045</v>
      </c>
    </row>
    <row r="872" ht="14.25" customHeight="1">
      <c r="A872" s="10" t="str">
        <f>IFERROR(__xludf.DUMMYFUNCTION("""COMPUTED_VALUE"""),"220623MP02")</f>
        <v>220623MP02</v>
      </c>
      <c r="B872" s="12" t="str">
        <f>IFERROR(__xludf.DUMMYFUNCTION("""COMPUTED_VALUE"""),"QZA-Entre Nubes")</f>
        <v>QZA-Entre Nubes</v>
      </c>
      <c r="C872" s="12"/>
      <c r="D872" s="12"/>
      <c r="E872" s="44">
        <f>IFERROR(__xludf.DUMMYFUNCTION("""COMPUTED_VALUE"""),45099.0)</f>
        <v>45099</v>
      </c>
      <c r="F872" s="12" t="str">
        <f>IFERROR(__xludf.DUMMYFUNCTION("""COMPUTED_VALUE"""),"TIPO I")</f>
        <v>TIPO I</v>
      </c>
      <c r="G872" s="12" t="str">
        <f>IFERROR(__xludf.DUMMYFUNCTION("""COMPUTED_VALUE"""),"Monitoreo realizado en canal con lecho en concreto, durante las toma de muestra se presentan llovizna intermitentes, se percibe olor, se observa color y espuma aguas arriba del punto del monitoreo. Altitud: 2655 msnm.")</f>
        <v>Monitoreo realizado en canal con lecho en concreto, durante las toma de muestra se presentan llovizna intermitentes, se percibe olor, se observa color y espuma aguas arriba del punto del monitoreo. Altitud: 2655 msnm.</v>
      </c>
      <c r="H872" s="45">
        <f>IFERROR(__xludf.DUMMYFUNCTION("""COMPUTED_VALUE"""),0.4166666666678793)</f>
        <v>0.4166666667</v>
      </c>
      <c r="I872" s="45">
        <f>IFERROR(__xludf.DUMMYFUNCTION("""COMPUTED_VALUE"""),0.5)</f>
        <v>0.5</v>
      </c>
      <c r="J872" s="12">
        <f>IFERROR(__xludf.DUMMYFUNCTION("""COMPUTED_VALUE"""),4.5)</f>
        <v>4.5</v>
      </c>
      <c r="K872" s="12">
        <f>IFERROR(__xludf.DUMMYFUNCTION("""COMPUTED_VALUE"""),0.14)</f>
        <v>0.14</v>
      </c>
      <c r="L872" s="14">
        <f>IFERROR(__xludf.DUMMYFUNCTION("""COMPUTED_VALUE"""),197.536)</f>
        <v>197.536</v>
      </c>
      <c r="M872" s="14">
        <f>IFERROR(__xludf.DUMMYFUNCTION("""COMPUTED_VALUE"""),203.222)</f>
        <v>203.222</v>
      </c>
      <c r="N872" s="14">
        <f>IFERROR(__xludf.DUMMYFUNCTION("""COMPUTED_VALUE"""),211.415)</f>
        <v>211.415</v>
      </c>
      <c r="O872" s="14">
        <f>IFERROR(__xludf.DUMMYFUNCTION("""COMPUTED_VALUE"""),216.523)</f>
        <v>216.523</v>
      </c>
      <c r="P872" s="14">
        <f>IFERROR(__xludf.DUMMYFUNCTION("""COMPUTED_VALUE"""),217.685)</f>
        <v>217.685</v>
      </c>
      <c r="Q872" s="14">
        <f>IFERROR(__xludf.DUMMYFUNCTION("""COMPUTED_VALUE"""),209.276)</f>
        <v>209.276</v>
      </c>
      <c r="R872" s="48">
        <f>IFERROR(__xludf.DUMMYFUNCTION("""COMPUTED_VALUE"""),7.64)</f>
        <v>7.64</v>
      </c>
      <c r="S872" s="48">
        <f>IFERROR(__xludf.DUMMYFUNCTION("""COMPUTED_VALUE"""),7.82)</f>
        <v>7.82</v>
      </c>
      <c r="T872" s="48">
        <f>IFERROR(__xludf.DUMMYFUNCTION("""COMPUTED_VALUE"""),7.84)</f>
        <v>7.84</v>
      </c>
      <c r="U872" s="48">
        <f>IFERROR(__xludf.DUMMYFUNCTION("""COMPUTED_VALUE"""),7.88)</f>
        <v>7.88</v>
      </c>
      <c r="V872" s="48">
        <f>IFERROR(__xludf.DUMMYFUNCTION("""COMPUTED_VALUE"""),7.86)</f>
        <v>7.86</v>
      </c>
      <c r="W872" s="14">
        <f>IFERROR(__xludf.DUMMYFUNCTION("""COMPUTED_VALUE"""),7.808)</f>
        <v>7.808</v>
      </c>
      <c r="X872" s="14">
        <f>IFERROR(__xludf.DUMMYFUNCTION("""COMPUTED_VALUE"""),16.9)</f>
        <v>16.9</v>
      </c>
      <c r="Y872" s="14">
        <f>IFERROR(__xludf.DUMMYFUNCTION("""COMPUTED_VALUE"""),16.9)</f>
        <v>16.9</v>
      </c>
      <c r="Z872" s="14">
        <f>IFERROR(__xludf.DUMMYFUNCTION("""COMPUTED_VALUE"""),17.2)</f>
        <v>17.2</v>
      </c>
      <c r="AA872" s="14">
        <f>IFERROR(__xludf.DUMMYFUNCTION("""COMPUTED_VALUE"""),17.3)</f>
        <v>17.3</v>
      </c>
      <c r="AB872" s="14">
        <f>IFERROR(__xludf.DUMMYFUNCTION("""COMPUTED_VALUE"""),17.3)</f>
        <v>17.3</v>
      </c>
      <c r="AC872" s="14">
        <f>IFERROR(__xludf.DUMMYFUNCTION("""COMPUTED_VALUE"""),17.119999999999997)</f>
        <v>17.12</v>
      </c>
      <c r="AD872" s="48">
        <f>IFERROR(__xludf.DUMMYFUNCTION("""COMPUTED_VALUE"""),311.0)</f>
        <v>311</v>
      </c>
      <c r="AE872" s="48">
        <f>IFERROR(__xludf.DUMMYFUNCTION("""COMPUTED_VALUE"""),307.0)</f>
        <v>307</v>
      </c>
      <c r="AF872" s="48">
        <f>IFERROR(__xludf.DUMMYFUNCTION("""COMPUTED_VALUE"""),327.0)</f>
        <v>327</v>
      </c>
      <c r="AG872" s="48">
        <f>IFERROR(__xludf.DUMMYFUNCTION("""COMPUTED_VALUE"""),362.0)</f>
        <v>362</v>
      </c>
      <c r="AH872" s="48">
        <f>IFERROR(__xludf.DUMMYFUNCTION("""COMPUTED_VALUE"""),360.0)</f>
        <v>360</v>
      </c>
      <c r="AI872" s="14">
        <f>IFERROR(__xludf.DUMMYFUNCTION("""COMPUTED_VALUE"""),333.4)</f>
        <v>333.4</v>
      </c>
      <c r="AJ872" s="14">
        <f>IFERROR(__xludf.DUMMYFUNCTION("""COMPUTED_VALUE"""),3.38)</f>
        <v>3.38</v>
      </c>
      <c r="AK872" s="14">
        <f>IFERROR(__xludf.DUMMYFUNCTION("""COMPUTED_VALUE"""),3.37)</f>
        <v>3.37</v>
      </c>
      <c r="AL872" s="14">
        <f>IFERROR(__xludf.DUMMYFUNCTION("""COMPUTED_VALUE"""),3.62)</f>
        <v>3.62</v>
      </c>
      <c r="AM872" s="14">
        <f>IFERROR(__xludf.DUMMYFUNCTION("""COMPUTED_VALUE"""),3.53)</f>
        <v>3.53</v>
      </c>
      <c r="AN872" s="14">
        <f>IFERROR(__xludf.DUMMYFUNCTION("""COMPUTED_VALUE"""),3.5)</f>
        <v>3.5</v>
      </c>
      <c r="AO872" s="14">
        <f>IFERROR(__xludf.DUMMYFUNCTION("""COMPUTED_VALUE"""),3.4799999999999995)</f>
        <v>3.48</v>
      </c>
      <c r="AP872" s="14">
        <f>IFERROR(__xludf.DUMMYFUNCTION("""COMPUTED_VALUE"""),144.0)</f>
        <v>144</v>
      </c>
      <c r="AQ872" s="14">
        <f>IFERROR(__xludf.DUMMYFUNCTION("""COMPUTED_VALUE"""),216.0)</f>
        <v>216</v>
      </c>
      <c r="AR872" s="14">
        <f>IFERROR(__xludf.DUMMYFUNCTION("""COMPUTED_VALUE"""),191.0)</f>
        <v>191</v>
      </c>
      <c r="AS872" s="14">
        <f>IFERROR(__xludf.DUMMYFUNCTION("""COMPUTED_VALUE"""),12.5)</f>
        <v>12.5</v>
      </c>
      <c r="AT872" s="14">
        <f>IFERROR(__xludf.DUMMYFUNCTION("""COMPUTED_VALUE"""),2.51)</f>
        <v>2.51</v>
      </c>
      <c r="AU872" s="14">
        <f>IFERROR(__xludf.DUMMYFUNCTION("""COMPUTED_VALUE"""),5.73E7)</f>
        <v>57300000</v>
      </c>
      <c r="AV872" s="14">
        <f>IFERROR(__xludf.DUMMYFUNCTION("""COMPUTED_VALUE"""),1.87)</f>
        <v>1.87</v>
      </c>
      <c r="AW872" s="14">
        <f>IFERROR(__xludf.DUMMYFUNCTION("""COMPUTED_VALUE"""),11.5)</f>
        <v>11.5</v>
      </c>
      <c r="AX872" s="14">
        <f>IFERROR(__xludf.DUMMYFUNCTION("""COMPUTED_VALUE"""),4960000.0)</f>
        <v>4960000</v>
      </c>
      <c r="AY872" s="14">
        <f>IFERROR(__xludf.DUMMYFUNCTION("""COMPUTED_VALUE"""),3.2)</f>
        <v>3.2</v>
      </c>
      <c r="AZ872" s="14">
        <f>IFERROR(__xludf.DUMMYFUNCTION("""COMPUTED_VALUE"""),0.007)</f>
        <v>0.007</v>
      </c>
      <c r="BA872" s="14">
        <f t="shared" si="1"/>
        <v>14.707</v>
      </c>
    </row>
    <row r="873" ht="14.25" customHeight="1">
      <c r="A873" s="10" t="str">
        <f>IFERROR(__xludf.DUMMYFUNCTION("""COMPUTED_VALUE"""),"270623FE02")</f>
        <v>270623FE02</v>
      </c>
      <c r="B873" s="12" t="str">
        <f>IFERROR(__xludf.DUMMYFUNCTION("""COMPUTED_VALUE"""),"CON-Camino del Contador")</f>
        <v>CON-Camino del Contador</v>
      </c>
      <c r="C873" s="12"/>
      <c r="D873" s="12"/>
      <c r="E873" s="44">
        <f>IFERROR(__xludf.DUMMYFUNCTION("""COMPUTED_VALUE"""),45104.0)</f>
        <v>45104</v>
      </c>
      <c r="F873" s="12" t="str">
        <f>IFERROR(__xludf.DUMMYFUNCTION("""COMPUTED_VALUE"""),"TIPO I")</f>
        <v>TIPO I</v>
      </c>
      <c r="G873" s="12" t="str">
        <f>IFERROR(__xludf.DUMMYFUNCTION("""COMPUTED_VALUE"""),"Durante el monitoreo se percibe olor, se observa color, residuos sólidos sobre el cuerpo de agua y sus alrededores, sobre la cuenca se encuentran algas y sedimento.
Altitud: 2593 msnm. ")</f>
        <v>Durante el monitoreo se percibe olor, se observa color, residuos sólidos sobre el cuerpo de agua y sus alrededores, sobre la cuenca se encuentran algas y sedimento.
Altitud: 2593 msnm. </v>
      </c>
      <c r="H873" s="45">
        <f>IFERROR(__xludf.DUMMYFUNCTION("""COMPUTED_VALUE"""),0.5)</f>
        <v>0.5</v>
      </c>
      <c r="I873" s="45">
        <f>IFERROR(__xludf.DUMMYFUNCTION("""COMPUTED_VALUE"""),0.5833333333321207)</f>
        <v>0.5833333333</v>
      </c>
      <c r="J873" s="12">
        <f>IFERROR(__xludf.DUMMYFUNCTION("""COMPUTED_VALUE"""),4.4)</f>
        <v>4.4</v>
      </c>
      <c r="K873" s="12">
        <f>IFERROR(__xludf.DUMMYFUNCTION("""COMPUTED_VALUE"""),0.07)</f>
        <v>0.07</v>
      </c>
      <c r="L873" s="14">
        <f>IFERROR(__xludf.DUMMYFUNCTION("""COMPUTED_VALUE"""),29.998)</f>
        <v>29.998</v>
      </c>
      <c r="M873" s="14">
        <f>IFERROR(__xludf.DUMMYFUNCTION("""COMPUTED_VALUE"""),29.98)</f>
        <v>29.98</v>
      </c>
      <c r="N873" s="14">
        <f>IFERROR(__xludf.DUMMYFUNCTION("""COMPUTED_VALUE"""),30.01)</f>
        <v>30.01</v>
      </c>
      <c r="O873" s="14">
        <f>IFERROR(__xludf.DUMMYFUNCTION("""COMPUTED_VALUE"""),30.018)</f>
        <v>30.018</v>
      </c>
      <c r="P873" s="14">
        <f>IFERROR(__xludf.DUMMYFUNCTION("""COMPUTED_VALUE"""),30.162)</f>
        <v>30.162</v>
      </c>
      <c r="Q873" s="14">
        <f>IFERROR(__xludf.DUMMYFUNCTION("""COMPUTED_VALUE"""),30.034)</f>
        <v>30.034</v>
      </c>
      <c r="R873" s="48">
        <f>IFERROR(__xludf.DUMMYFUNCTION("""COMPUTED_VALUE"""),8.54)</f>
        <v>8.54</v>
      </c>
      <c r="S873" s="48">
        <f>IFERROR(__xludf.DUMMYFUNCTION("""COMPUTED_VALUE"""),8.79)</f>
        <v>8.79</v>
      </c>
      <c r="T873" s="48">
        <f>IFERROR(__xludf.DUMMYFUNCTION("""COMPUTED_VALUE"""),8.72)</f>
        <v>8.72</v>
      </c>
      <c r="U873" s="48">
        <f>IFERROR(__xludf.DUMMYFUNCTION("""COMPUTED_VALUE"""),8.74)</f>
        <v>8.74</v>
      </c>
      <c r="V873" s="48">
        <f>IFERROR(__xludf.DUMMYFUNCTION("""COMPUTED_VALUE"""),8.83)</f>
        <v>8.83</v>
      </c>
      <c r="W873" s="14">
        <f>IFERROR(__xludf.DUMMYFUNCTION("""COMPUTED_VALUE"""),8.724)</f>
        <v>8.724</v>
      </c>
      <c r="X873" s="14">
        <f>IFERROR(__xludf.DUMMYFUNCTION("""COMPUTED_VALUE"""),26.1)</f>
        <v>26.1</v>
      </c>
      <c r="Y873" s="14">
        <f>IFERROR(__xludf.DUMMYFUNCTION("""COMPUTED_VALUE"""),25.4)</f>
        <v>25.4</v>
      </c>
      <c r="Z873" s="14">
        <f>IFERROR(__xludf.DUMMYFUNCTION("""COMPUTED_VALUE"""),26.1)</f>
        <v>26.1</v>
      </c>
      <c r="AA873" s="14">
        <f>IFERROR(__xludf.DUMMYFUNCTION("""COMPUTED_VALUE"""),25.6)</f>
        <v>25.6</v>
      </c>
      <c r="AB873" s="14">
        <f>IFERROR(__xludf.DUMMYFUNCTION("""COMPUTED_VALUE"""),25.5)</f>
        <v>25.5</v>
      </c>
      <c r="AC873" s="14">
        <f>IFERROR(__xludf.DUMMYFUNCTION("""COMPUTED_VALUE"""),25.74)</f>
        <v>25.74</v>
      </c>
      <c r="AD873" s="48">
        <f>IFERROR(__xludf.DUMMYFUNCTION("""COMPUTED_VALUE"""),275.0)</f>
        <v>275</v>
      </c>
      <c r="AE873" s="48">
        <f>IFERROR(__xludf.DUMMYFUNCTION("""COMPUTED_VALUE"""),283.0)</f>
        <v>283</v>
      </c>
      <c r="AF873" s="48">
        <f>IFERROR(__xludf.DUMMYFUNCTION("""COMPUTED_VALUE"""),302.0)</f>
        <v>302</v>
      </c>
      <c r="AG873" s="48">
        <f>IFERROR(__xludf.DUMMYFUNCTION("""COMPUTED_VALUE"""),333.0)</f>
        <v>333</v>
      </c>
      <c r="AH873" s="48">
        <f>IFERROR(__xludf.DUMMYFUNCTION("""COMPUTED_VALUE"""),362.0)</f>
        <v>362</v>
      </c>
      <c r="AI873" s="14">
        <f>IFERROR(__xludf.DUMMYFUNCTION("""COMPUTED_VALUE"""),311.0)</f>
        <v>311</v>
      </c>
      <c r="AJ873" s="14">
        <f>IFERROR(__xludf.DUMMYFUNCTION("""COMPUTED_VALUE"""),7.06)</f>
        <v>7.06</v>
      </c>
      <c r="AK873" s="14">
        <f>IFERROR(__xludf.DUMMYFUNCTION("""COMPUTED_VALUE"""),7.05)</f>
        <v>7.05</v>
      </c>
      <c r="AL873" s="14">
        <f>IFERROR(__xludf.DUMMYFUNCTION("""COMPUTED_VALUE"""),7.15)</f>
        <v>7.15</v>
      </c>
      <c r="AM873" s="14">
        <f>IFERROR(__xludf.DUMMYFUNCTION("""COMPUTED_VALUE"""),7.16)</f>
        <v>7.16</v>
      </c>
      <c r="AN873" s="14">
        <f>IFERROR(__xludf.DUMMYFUNCTION("""COMPUTED_VALUE"""),7.18)</f>
        <v>7.18</v>
      </c>
      <c r="AO873" s="14">
        <f>IFERROR(__xludf.DUMMYFUNCTION("""COMPUTED_VALUE"""),7.119999999999999)</f>
        <v>7.12</v>
      </c>
      <c r="AP873" s="14">
        <f>IFERROR(__xludf.DUMMYFUNCTION("""COMPUTED_VALUE"""),28.0)</f>
        <v>28</v>
      </c>
      <c r="AQ873" s="14">
        <f>IFERROR(__xludf.DUMMYFUNCTION("""COMPUTED_VALUE"""),44.0)</f>
        <v>44</v>
      </c>
      <c r="AR873" s="14">
        <f>IFERROR(__xludf.DUMMYFUNCTION("""COMPUTED_VALUE"""),26.0)</f>
        <v>26</v>
      </c>
      <c r="AS873" s="14">
        <f>IFERROR(__xludf.DUMMYFUNCTION("""COMPUTED_VALUE"""),1.0)</f>
        <v>1</v>
      </c>
      <c r="AT873" s="14">
        <f>IFERROR(__xludf.DUMMYFUNCTION("""COMPUTED_VALUE"""),0.18)</f>
        <v>0.18</v>
      </c>
      <c r="AU873" s="14">
        <f>IFERROR(__xludf.DUMMYFUNCTION("""COMPUTED_VALUE"""),1081000.0)</f>
        <v>1081000</v>
      </c>
      <c r="AV873" s="14">
        <f>IFERROR(__xludf.DUMMYFUNCTION("""COMPUTED_VALUE"""),0.87)</f>
        <v>0.87</v>
      </c>
      <c r="AW873" s="14">
        <f>IFERROR(__xludf.DUMMYFUNCTION("""COMPUTED_VALUE"""),10.4)</f>
        <v>10.4</v>
      </c>
      <c r="AX873" s="14">
        <f>IFERROR(__xludf.DUMMYFUNCTION("""COMPUTED_VALUE"""),105400.0)</f>
        <v>105400</v>
      </c>
      <c r="AY873" s="14">
        <f>IFERROR(__xludf.DUMMYFUNCTION("""COMPUTED_VALUE"""),1.3)</f>
        <v>1.3</v>
      </c>
      <c r="AZ873" s="14">
        <f>IFERROR(__xludf.DUMMYFUNCTION("""COMPUTED_VALUE"""),0.029)</f>
        <v>0.029</v>
      </c>
      <c r="BA873" s="14">
        <f t="shared" si="1"/>
        <v>11.729</v>
      </c>
    </row>
    <row r="874" ht="14.25" customHeight="1">
      <c r="A874" s="10" t="str">
        <f>IFERROR(__xludf.DUMMYFUNCTION("""COMPUTED_VALUE"""),"260623MO03")</f>
        <v>260623MO03</v>
      </c>
      <c r="B874" s="12" t="str">
        <f>IFERROR(__xludf.DUMMYFUNCTION("""COMPUTED_VALUE"""),"CON-Callejas")</f>
        <v>CON-Callejas</v>
      </c>
      <c r="C874" s="12"/>
      <c r="D874" s="12"/>
      <c r="E874" s="44">
        <f>IFERROR(__xludf.DUMMYFUNCTION("""COMPUTED_VALUE"""),45103.0)</f>
        <v>45103</v>
      </c>
      <c r="F874" s="12" t="str">
        <f>IFERROR(__xludf.DUMMYFUNCTION("""COMPUTED_VALUE"""),"TIPO I")</f>
        <v>TIPO I</v>
      </c>
      <c r="G874" s="12" t="str">
        <f>IFERROR(__xludf.DUMMYFUNCTION("""COMPUTED_VALUE"""),"Estructura del canal en concreto, se percibe olor, se observa color, alta presencia de algas y material flotante en el cauce. ")</f>
        <v>Estructura del canal en concreto, se percibe olor, se observa color, alta presencia de algas y material flotante en el cauce. </v>
      </c>
      <c r="H874" s="45">
        <f>IFERROR(__xludf.DUMMYFUNCTION("""COMPUTED_VALUE"""),0.5)</f>
        <v>0.5</v>
      </c>
      <c r="I874" s="45">
        <f>IFERROR(__xludf.DUMMYFUNCTION("""COMPUTED_VALUE"""),0.5833333333321207)</f>
        <v>0.5833333333</v>
      </c>
      <c r="J874" s="12">
        <f>IFERROR(__xludf.DUMMYFUNCTION("""COMPUTED_VALUE"""),5.0)</f>
        <v>5</v>
      </c>
      <c r="K874" s="12">
        <f>IFERROR(__xludf.DUMMYFUNCTION("""COMPUTED_VALUE"""),0.07)</f>
        <v>0.07</v>
      </c>
      <c r="L874" s="14">
        <f>IFERROR(__xludf.DUMMYFUNCTION("""COMPUTED_VALUE"""),15.829)</f>
        <v>15.829</v>
      </c>
      <c r="M874" s="14">
        <f>IFERROR(__xludf.DUMMYFUNCTION("""COMPUTED_VALUE"""),16.01)</f>
        <v>16.01</v>
      </c>
      <c r="N874" s="14">
        <f>IFERROR(__xludf.DUMMYFUNCTION("""COMPUTED_VALUE"""),16.196)</f>
        <v>16.196</v>
      </c>
      <c r="O874" s="14">
        <f>IFERROR(__xludf.DUMMYFUNCTION("""COMPUTED_VALUE"""),16.353)</f>
        <v>16.353</v>
      </c>
      <c r="P874" s="14">
        <f>IFERROR(__xludf.DUMMYFUNCTION("""COMPUTED_VALUE"""),16.509)</f>
        <v>16.509</v>
      </c>
      <c r="Q874" s="14">
        <f>IFERROR(__xludf.DUMMYFUNCTION("""COMPUTED_VALUE"""),16.179)</f>
        <v>16.179</v>
      </c>
      <c r="R874" s="48">
        <f>IFERROR(__xludf.DUMMYFUNCTION("""COMPUTED_VALUE"""),9.26)</f>
        <v>9.26</v>
      </c>
      <c r="S874" s="48">
        <f>IFERROR(__xludf.DUMMYFUNCTION("""COMPUTED_VALUE"""),9.12)</f>
        <v>9.12</v>
      </c>
      <c r="T874" s="48">
        <f>IFERROR(__xludf.DUMMYFUNCTION("""COMPUTED_VALUE"""),9.02)</f>
        <v>9.02</v>
      </c>
      <c r="U874" s="48">
        <f>IFERROR(__xludf.DUMMYFUNCTION("""COMPUTED_VALUE"""),9.04)</f>
        <v>9.04</v>
      </c>
      <c r="V874" s="48">
        <f>IFERROR(__xludf.DUMMYFUNCTION("""COMPUTED_VALUE"""),9.07)</f>
        <v>9.07</v>
      </c>
      <c r="W874" s="14">
        <f>IFERROR(__xludf.DUMMYFUNCTION("""COMPUTED_VALUE"""),9.102)</f>
        <v>9.102</v>
      </c>
      <c r="X874" s="14">
        <f>IFERROR(__xludf.DUMMYFUNCTION("""COMPUTED_VALUE"""),27.1)</f>
        <v>27.1</v>
      </c>
      <c r="Y874" s="14">
        <f>IFERROR(__xludf.DUMMYFUNCTION("""COMPUTED_VALUE"""),26.2)</f>
        <v>26.2</v>
      </c>
      <c r="Z874" s="14">
        <f>IFERROR(__xludf.DUMMYFUNCTION("""COMPUTED_VALUE"""),26.2)</f>
        <v>26.2</v>
      </c>
      <c r="AA874" s="14">
        <f>IFERROR(__xludf.DUMMYFUNCTION("""COMPUTED_VALUE"""),26.6)</f>
        <v>26.6</v>
      </c>
      <c r="AB874" s="14">
        <f>IFERROR(__xludf.DUMMYFUNCTION("""COMPUTED_VALUE"""),26.4)</f>
        <v>26.4</v>
      </c>
      <c r="AC874" s="14">
        <f>IFERROR(__xludf.DUMMYFUNCTION("""COMPUTED_VALUE"""),26.5)</f>
        <v>26.5</v>
      </c>
      <c r="AD874" s="48">
        <f>IFERROR(__xludf.DUMMYFUNCTION("""COMPUTED_VALUE"""),320.0)</f>
        <v>320</v>
      </c>
      <c r="AE874" s="48">
        <f>IFERROR(__xludf.DUMMYFUNCTION("""COMPUTED_VALUE"""),360.0)</f>
        <v>360</v>
      </c>
      <c r="AF874" s="48">
        <f>IFERROR(__xludf.DUMMYFUNCTION("""COMPUTED_VALUE"""),394.0)</f>
        <v>394</v>
      </c>
      <c r="AG874" s="48">
        <f>IFERROR(__xludf.DUMMYFUNCTION("""COMPUTED_VALUE"""),385.0)</f>
        <v>385</v>
      </c>
      <c r="AH874" s="48">
        <f>IFERROR(__xludf.DUMMYFUNCTION("""COMPUTED_VALUE"""),392.0)</f>
        <v>392</v>
      </c>
      <c r="AI874" s="14">
        <f>IFERROR(__xludf.DUMMYFUNCTION("""COMPUTED_VALUE"""),370.2)</f>
        <v>370.2</v>
      </c>
      <c r="AJ874" s="14">
        <f>IFERROR(__xludf.DUMMYFUNCTION("""COMPUTED_VALUE"""),8.69)</f>
        <v>8.69</v>
      </c>
      <c r="AK874" s="14">
        <f>IFERROR(__xludf.DUMMYFUNCTION("""COMPUTED_VALUE"""),8.31)</f>
        <v>8.31</v>
      </c>
      <c r="AL874" s="14">
        <f>IFERROR(__xludf.DUMMYFUNCTION("""COMPUTED_VALUE"""),8.82)</f>
        <v>8.82</v>
      </c>
      <c r="AM874" s="14">
        <f>IFERROR(__xludf.DUMMYFUNCTION("""COMPUTED_VALUE"""),8.55)</f>
        <v>8.55</v>
      </c>
      <c r="AN874" s="14">
        <f>IFERROR(__xludf.DUMMYFUNCTION("""COMPUTED_VALUE"""),8.36)</f>
        <v>8.36</v>
      </c>
      <c r="AO874" s="14">
        <f>IFERROR(__xludf.DUMMYFUNCTION("""COMPUTED_VALUE"""),8.546000000000001)</f>
        <v>8.546</v>
      </c>
      <c r="AP874" s="14">
        <f>IFERROR(__xludf.DUMMYFUNCTION("""COMPUTED_VALUE"""),31.0)</f>
        <v>31</v>
      </c>
      <c r="AQ874" s="14">
        <f>IFERROR(__xludf.DUMMYFUNCTION("""COMPUTED_VALUE"""),51.0)</f>
        <v>51</v>
      </c>
      <c r="AR874" s="14">
        <f>IFERROR(__xludf.DUMMYFUNCTION("""COMPUTED_VALUE"""),37.0)</f>
        <v>37</v>
      </c>
      <c r="AS874" s="14">
        <f>IFERROR(__xludf.DUMMYFUNCTION("""COMPUTED_VALUE"""),1.0)</f>
        <v>1</v>
      </c>
      <c r="AT874" s="14">
        <f>IFERROR(__xludf.DUMMYFUNCTION("""COMPUTED_VALUE"""),0.31)</f>
        <v>0.31</v>
      </c>
      <c r="AU874" s="14">
        <f>IFERROR(__xludf.DUMMYFUNCTION("""COMPUTED_VALUE"""),119100.0)</f>
        <v>119100</v>
      </c>
      <c r="AV874" s="14">
        <f>IFERROR(__xludf.DUMMYFUNCTION("""COMPUTED_VALUE"""),1.06)</f>
        <v>1.06</v>
      </c>
      <c r="AW874" s="14">
        <f>IFERROR(__xludf.DUMMYFUNCTION("""COMPUTED_VALUE"""),1.1)</f>
        <v>1.1</v>
      </c>
      <c r="AX874" s="14">
        <f>IFERROR(__xludf.DUMMYFUNCTION("""COMPUTED_VALUE"""),88900.0)</f>
        <v>88900</v>
      </c>
      <c r="AY874" s="14">
        <f>IFERROR(__xludf.DUMMYFUNCTION("""COMPUTED_VALUE"""),1.7)</f>
        <v>1.7</v>
      </c>
      <c r="AZ874" s="14">
        <f>IFERROR(__xludf.DUMMYFUNCTION("""COMPUTED_VALUE"""),0.007)</f>
        <v>0.007</v>
      </c>
      <c r="BA874" s="14">
        <f t="shared" si="1"/>
        <v>2.807</v>
      </c>
    </row>
    <row r="875" ht="14.25" customHeight="1">
      <c r="A875" s="10" t="str">
        <f>IFERROR(__xludf.DUMMYFUNCTION("""COMPUTED_VALUE"""),"220623DU01")</f>
        <v>220623DU01</v>
      </c>
      <c r="B875" s="12" t="str">
        <f>IFERROR(__xludf.DUMMYFUNCTION("""COMPUTED_VALUE"""),"QZA-Quindío")</f>
        <v>QZA-Quindío</v>
      </c>
      <c r="C875" s="12"/>
      <c r="D875" s="12"/>
      <c r="E875" s="44">
        <f>IFERROR(__xludf.DUMMYFUNCTION("""COMPUTED_VALUE"""),45099.0)</f>
        <v>45099</v>
      </c>
      <c r="F875" s="12" t="str">
        <f>IFERROR(__xludf.DUMMYFUNCTION("""COMPUTED_VALUE"""),"TIPO I")</f>
        <v>TIPO I</v>
      </c>
      <c r="G875" s="12" t="str">
        <f>IFERROR(__xludf.DUMMYFUNCTION("""COMPUTED_VALUE"""),"Canal natural con lecho rocoso,se observan residuos sólidos en el margen del canal, por motivos de lluvia se cancela el quinto aforo. ")</f>
        <v>Canal natural con lecho rocoso,se observan residuos sólidos en el margen del canal, por motivos de lluvia se cancela el quinto aforo. </v>
      </c>
      <c r="H875" s="45">
        <f>IFERROR(__xludf.DUMMYFUNCTION("""COMPUTED_VALUE"""),0.25)</f>
        <v>0.25</v>
      </c>
      <c r="I875" s="45">
        <f>IFERROR(__xludf.DUMMYFUNCTION("""COMPUTED_VALUE"""),0.3333333333321207)</f>
        <v>0.3333333333</v>
      </c>
      <c r="J875" s="12">
        <f>IFERROR(__xludf.DUMMYFUNCTION("""COMPUTED_VALUE"""),1.5)</f>
        <v>1.5</v>
      </c>
      <c r="K875" s="12">
        <f>IFERROR(__xludf.DUMMYFUNCTION("""COMPUTED_VALUE"""),0.25)</f>
        <v>0.25</v>
      </c>
      <c r="L875" s="14">
        <f>IFERROR(__xludf.DUMMYFUNCTION("""COMPUTED_VALUE"""),34.965)</f>
        <v>34.965</v>
      </c>
      <c r="M875" s="14">
        <f>IFERROR(__xludf.DUMMYFUNCTION("""COMPUTED_VALUE"""),38.461)</f>
        <v>38.461</v>
      </c>
      <c r="N875" s="14">
        <f>IFERROR(__xludf.DUMMYFUNCTION("""COMPUTED_VALUE"""),42.881)</f>
        <v>42.881</v>
      </c>
      <c r="O875" s="14">
        <f>IFERROR(__xludf.DUMMYFUNCTION("""COMPUTED_VALUE"""),47.484)</f>
        <v>47.484</v>
      </c>
      <c r="P875" s="14"/>
      <c r="Q875" s="14">
        <f>IFERROR(__xludf.DUMMYFUNCTION("""COMPUTED_VALUE"""),40.948)</f>
        <v>40.948</v>
      </c>
      <c r="R875" s="48">
        <f>IFERROR(__xludf.DUMMYFUNCTION("""COMPUTED_VALUE"""),5.69)</f>
        <v>5.69</v>
      </c>
      <c r="S875" s="48">
        <f>IFERROR(__xludf.DUMMYFUNCTION("""COMPUTED_VALUE"""),5.9)</f>
        <v>5.9</v>
      </c>
      <c r="T875" s="48">
        <f>IFERROR(__xludf.DUMMYFUNCTION("""COMPUTED_VALUE"""),6.53)</f>
        <v>6.53</v>
      </c>
      <c r="U875" s="48">
        <f>IFERROR(__xludf.DUMMYFUNCTION("""COMPUTED_VALUE"""),5.59)</f>
        <v>5.59</v>
      </c>
      <c r="V875" s="48"/>
      <c r="W875" s="14">
        <f>IFERROR(__xludf.DUMMYFUNCTION("""COMPUTED_VALUE"""),5.9275)</f>
        <v>5.9275</v>
      </c>
      <c r="X875" s="14">
        <f>IFERROR(__xludf.DUMMYFUNCTION("""COMPUTED_VALUE"""),13.2)</f>
        <v>13.2</v>
      </c>
      <c r="Y875" s="14">
        <f>IFERROR(__xludf.DUMMYFUNCTION("""COMPUTED_VALUE"""),13.4)</f>
        <v>13.4</v>
      </c>
      <c r="Z875" s="14">
        <f>IFERROR(__xludf.DUMMYFUNCTION("""COMPUTED_VALUE"""),13.0)</f>
        <v>13</v>
      </c>
      <c r="AA875" s="14">
        <f>IFERROR(__xludf.DUMMYFUNCTION("""COMPUTED_VALUE"""),13.2)</f>
        <v>13.2</v>
      </c>
      <c r="AB875" s="14"/>
      <c r="AC875" s="14">
        <f>IFERROR(__xludf.DUMMYFUNCTION("""COMPUTED_VALUE"""),13.2)</f>
        <v>13.2</v>
      </c>
      <c r="AD875" s="48">
        <f>IFERROR(__xludf.DUMMYFUNCTION("""COMPUTED_VALUE"""),18.61)</f>
        <v>18.61</v>
      </c>
      <c r="AE875" s="48">
        <f>IFERROR(__xludf.DUMMYFUNCTION("""COMPUTED_VALUE"""),18.0)</f>
        <v>18</v>
      </c>
      <c r="AF875" s="48">
        <f>IFERROR(__xludf.DUMMYFUNCTION("""COMPUTED_VALUE"""),18.1)</f>
        <v>18.1</v>
      </c>
      <c r="AG875" s="48">
        <f>IFERROR(__xludf.DUMMYFUNCTION("""COMPUTED_VALUE"""),18.4)</f>
        <v>18.4</v>
      </c>
      <c r="AH875" s="48"/>
      <c r="AI875" s="14">
        <f>IFERROR(__xludf.DUMMYFUNCTION("""COMPUTED_VALUE"""),18.2775)</f>
        <v>18.2775</v>
      </c>
      <c r="AJ875" s="14">
        <f>IFERROR(__xludf.DUMMYFUNCTION("""COMPUTED_VALUE"""),5.84)</f>
        <v>5.84</v>
      </c>
      <c r="AK875" s="14">
        <f>IFERROR(__xludf.DUMMYFUNCTION("""COMPUTED_VALUE"""),5.76)</f>
        <v>5.76</v>
      </c>
      <c r="AL875" s="14">
        <f>IFERROR(__xludf.DUMMYFUNCTION("""COMPUTED_VALUE"""),5.56)</f>
        <v>5.56</v>
      </c>
      <c r="AM875" s="14">
        <f>IFERROR(__xludf.DUMMYFUNCTION("""COMPUTED_VALUE"""),5.95)</f>
        <v>5.95</v>
      </c>
      <c r="AN875" s="14"/>
      <c r="AO875" s="14">
        <f>IFERROR(__xludf.DUMMYFUNCTION("""COMPUTED_VALUE"""),5.7775)</f>
        <v>5.7775</v>
      </c>
      <c r="AP875" s="14">
        <f>IFERROR(__xludf.DUMMYFUNCTION("""COMPUTED_VALUE"""),3.0)</f>
        <v>3</v>
      </c>
      <c r="AQ875" s="14">
        <f>IFERROR(__xludf.DUMMYFUNCTION("""COMPUTED_VALUE"""),5.0)</f>
        <v>5</v>
      </c>
      <c r="AR875" s="14">
        <f>IFERROR(__xludf.DUMMYFUNCTION("""COMPUTED_VALUE"""),5.0)</f>
        <v>5</v>
      </c>
      <c r="AS875" s="14">
        <f>IFERROR(__xludf.DUMMYFUNCTION("""COMPUTED_VALUE"""),1.0)</f>
        <v>1</v>
      </c>
      <c r="AT875" s="14">
        <f>IFERROR(__xludf.DUMMYFUNCTION("""COMPUTED_VALUE"""),0.07)</f>
        <v>0.07</v>
      </c>
      <c r="AU875" s="14">
        <f>IFERROR(__xludf.DUMMYFUNCTION("""COMPUTED_VALUE"""),156500.0)</f>
        <v>156500</v>
      </c>
      <c r="AV875" s="14">
        <f>IFERROR(__xludf.DUMMYFUNCTION("""COMPUTED_VALUE"""),0.05)</f>
        <v>0.05</v>
      </c>
      <c r="AW875" s="14">
        <f>IFERROR(__xludf.DUMMYFUNCTION("""COMPUTED_VALUE"""),1.0)</f>
        <v>1</v>
      </c>
      <c r="AX875" s="14">
        <f>IFERROR(__xludf.DUMMYFUNCTION("""COMPUTED_VALUE"""),81600.0)</f>
        <v>81600</v>
      </c>
      <c r="AY875" s="14">
        <f>IFERROR(__xludf.DUMMYFUNCTION("""COMPUTED_VALUE"""),0.6)</f>
        <v>0.6</v>
      </c>
      <c r="AZ875" s="14">
        <f>IFERROR(__xludf.DUMMYFUNCTION("""COMPUTED_VALUE"""),0.007)</f>
        <v>0.007</v>
      </c>
      <c r="BA875" s="14">
        <f t="shared" si="1"/>
        <v>1.607</v>
      </c>
    </row>
    <row r="876" ht="14.25" customHeight="1">
      <c r="A876" s="10" t="str">
        <f>IFERROR(__xludf.DUMMYFUNCTION("""COMPUTED_VALUE"""),"220623WI04")</f>
        <v>220623WI04</v>
      </c>
      <c r="B876" s="12" t="str">
        <f>IFERROR(__xludf.DUMMYFUNCTION("""COMPUTED_VALUE"""),"QZA-Meissen")</f>
        <v>QZA-Meissen</v>
      </c>
      <c r="C876" s="12"/>
      <c r="D876" s="12"/>
      <c r="E876" s="44">
        <f>IFERROR(__xludf.DUMMYFUNCTION("""COMPUTED_VALUE"""),45099.0)</f>
        <v>45099</v>
      </c>
      <c r="F876" s="12" t="str">
        <f>IFERROR(__xludf.DUMMYFUNCTION("""COMPUTED_VALUE"""),"TIPO I")</f>
        <v>TIPO I</v>
      </c>
      <c r="G876" s="12" t="str">
        <f>IFERROR(__xludf.DUMMYFUNCTION("""COMPUTED_VALUE"""),"Canal artificial en concreto, lecho rocoso, se percibe olor y se observa color, residuos sólidos alrededor del punto. Altitud 2576 msnm. ")</f>
        <v>Canal artificial en concreto, lecho rocoso, se percibe olor y se observa color, residuos sólidos alrededor del punto. Altitud 2576 msnm. </v>
      </c>
      <c r="H876" s="45">
        <f>IFERROR(__xludf.DUMMYFUNCTION("""COMPUTED_VALUE"""),0.5833333333321207)</f>
        <v>0.5833333333</v>
      </c>
      <c r="I876" s="45">
        <f>IFERROR(__xludf.DUMMYFUNCTION("""COMPUTED_VALUE"""),0.6666666666678793)</f>
        <v>0.6666666667</v>
      </c>
      <c r="J876" s="12">
        <f>IFERROR(__xludf.DUMMYFUNCTION("""COMPUTED_VALUE"""),12.0)</f>
        <v>12</v>
      </c>
      <c r="K876" s="12">
        <f>IFERROR(__xludf.DUMMYFUNCTION("""COMPUTED_VALUE"""),0.1)</f>
        <v>0.1</v>
      </c>
      <c r="L876" s="14">
        <f>IFERROR(__xludf.DUMMYFUNCTION("""COMPUTED_VALUE"""),227.648)</f>
        <v>227.648</v>
      </c>
      <c r="M876" s="14">
        <f>IFERROR(__xludf.DUMMYFUNCTION("""COMPUTED_VALUE"""),236.602)</f>
        <v>236.602</v>
      </c>
      <c r="N876" s="14">
        <f>IFERROR(__xludf.DUMMYFUNCTION("""COMPUTED_VALUE"""),241.675)</f>
        <v>241.675</v>
      </c>
      <c r="O876" s="14">
        <f>IFERROR(__xludf.DUMMYFUNCTION("""COMPUTED_VALUE"""),244.19)</f>
        <v>244.19</v>
      </c>
      <c r="P876" s="14">
        <f>IFERROR(__xludf.DUMMYFUNCTION("""COMPUTED_VALUE"""),251.03)</f>
        <v>251.03</v>
      </c>
      <c r="Q876" s="14">
        <f>IFERROR(__xludf.DUMMYFUNCTION("""COMPUTED_VALUE"""),240.229)</f>
        <v>240.229</v>
      </c>
      <c r="R876" s="48">
        <f>IFERROR(__xludf.DUMMYFUNCTION("""COMPUTED_VALUE"""),7.5)</f>
        <v>7.5</v>
      </c>
      <c r="S876" s="48">
        <f>IFERROR(__xludf.DUMMYFUNCTION("""COMPUTED_VALUE"""),7.38)</f>
        <v>7.38</v>
      </c>
      <c r="T876" s="48">
        <f>IFERROR(__xludf.DUMMYFUNCTION("""COMPUTED_VALUE"""),7.52)</f>
        <v>7.52</v>
      </c>
      <c r="U876" s="48">
        <f>IFERROR(__xludf.DUMMYFUNCTION("""COMPUTED_VALUE"""),7.4)</f>
        <v>7.4</v>
      </c>
      <c r="V876" s="48">
        <f>IFERROR(__xludf.DUMMYFUNCTION("""COMPUTED_VALUE"""),7.51)</f>
        <v>7.51</v>
      </c>
      <c r="W876" s="14">
        <f>IFERROR(__xludf.DUMMYFUNCTION("""COMPUTED_VALUE"""),7.461999999999999)</f>
        <v>7.462</v>
      </c>
      <c r="X876" s="14">
        <f>IFERROR(__xludf.DUMMYFUNCTION("""COMPUTED_VALUE"""),21.4)</f>
        <v>21.4</v>
      </c>
      <c r="Y876" s="14">
        <f>IFERROR(__xludf.DUMMYFUNCTION("""COMPUTED_VALUE"""),21.8)</f>
        <v>21.8</v>
      </c>
      <c r="Z876" s="14">
        <f>IFERROR(__xludf.DUMMYFUNCTION("""COMPUTED_VALUE"""),21.6)</f>
        <v>21.6</v>
      </c>
      <c r="AA876" s="14">
        <f>IFERROR(__xludf.DUMMYFUNCTION("""COMPUTED_VALUE"""),21.8)</f>
        <v>21.8</v>
      </c>
      <c r="AB876" s="14">
        <f>IFERROR(__xludf.DUMMYFUNCTION("""COMPUTED_VALUE"""),21.9)</f>
        <v>21.9</v>
      </c>
      <c r="AC876" s="14">
        <f>IFERROR(__xludf.DUMMYFUNCTION("""COMPUTED_VALUE"""),21.7)</f>
        <v>21.7</v>
      </c>
      <c r="AD876" s="48">
        <f>IFERROR(__xludf.DUMMYFUNCTION("""COMPUTED_VALUE"""),409.0)</f>
        <v>409</v>
      </c>
      <c r="AE876" s="48">
        <f>IFERROR(__xludf.DUMMYFUNCTION("""COMPUTED_VALUE"""),273.0)</f>
        <v>273</v>
      </c>
      <c r="AF876" s="48">
        <f>IFERROR(__xludf.DUMMYFUNCTION("""COMPUTED_VALUE"""),412.0)</f>
        <v>412</v>
      </c>
      <c r="AG876" s="48">
        <f>IFERROR(__xludf.DUMMYFUNCTION("""COMPUTED_VALUE"""),274.0)</f>
        <v>274</v>
      </c>
      <c r="AH876" s="48">
        <f>IFERROR(__xludf.DUMMYFUNCTION("""COMPUTED_VALUE"""),410.0)</f>
        <v>410</v>
      </c>
      <c r="AI876" s="14">
        <f>IFERROR(__xludf.DUMMYFUNCTION("""COMPUTED_VALUE"""),355.6)</f>
        <v>355.6</v>
      </c>
      <c r="AJ876" s="14">
        <f>IFERROR(__xludf.DUMMYFUNCTION("""COMPUTED_VALUE"""),0.58)</f>
        <v>0.58</v>
      </c>
      <c r="AK876" s="14">
        <f>IFERROR(__xludf.DUMMYFUNCTION("""COMPUTED_VALUE"""),0.34)</f>
        <v>0.34</v>
      </c>
      <c r="AL876" s="14">
        <f>IFERROR(__xludf.DUMMYFUNCTION("""COMPUTED_VALUE"""),0.41)</f>
        <v>0.41</v>
      </c>
      <c r="AM876" s="14">
        <f>IFERROR(__xludf.DUMMYFUNCTION("""COMPUTED_VALUE"""),0.75)</f>
        <v>0.75</v>
      </c>
      <c r="AN876" s="14">
        <f>IFERROR(__xludf.DUMMYFUNCTION("""COMPUTED_VALUE"""),0.63)</f>
        <v>0.63</v>
      </c>
      <c r="AO876" s="14">
        <f>IFERROR(__xludf.DUMMYFUNCTION("""COMPUTED_VALUE"""),0.542)</f>
        <v>0.542</v>
      </c>
      <c r="AP876" s="14">
        <f>IFERROR(__xludf.DUMMYFUNCTION("""COMPUTED_VALUE"""),97.0)</f>
        <v>97</v>
      </c>
      <c r="AQ876" s="14">
        <f>IFERROR(__xludf.DUMMYFUNCTION("""COMPUTED_VALUE"""),141.0)</f>
        <v>141</v>
      </c>
      <c r="AR876" s="14">
        <f>IFERROR(__xludf.DUMMYFUNCTION("""COMPUTED_VALUE"""),159.0)</f>
        <v>159</v>
      </c>
      <c r="AS876" s="14">
        <f>IFERROR(__xludf.DUMMYFUNCTION("""COMPUTED_VALUE"""),11.8)</f>
        <v>11.8</v>
      </c>
      <c r="AT876" s="14">
        <f>IFERROR(__xludf.DUMMYFUNCTION("""COMPUTED_VALUE"""),3.44)</f>
        <v>3.44</v>
      </c>
      <c r="AU876" s="14">
        <f>IFERROR(__xludf.DUMMYFUNCTION("""COMPUTED_VALUE"""),7.38E7)</f>
        <v>73800000</v>
      </c>
      <c r="AV876" s="14">
        <f>IFERROR(__xludf.DUMMYFUNCTION("""COMPUTED_VALUE"""),2.27)</f>
        <v>2.27</v>
      </c>
      <c r="AW876" s="14">
        <f>IFERROR(__xludf.DUMMYFUNCTION("""COMPUTED_VALUE"""),14.8)</f>
        <v>14.8</v>
      </c>
      <c r="AX876" s="14">
        <f>IFERROR(__xludf.DUMMYFUNCTION("""COMPUTED_VALUE"""),5880000.0)</f>
        <v>5880000</v>
      </c>
      <c r="AY876" s="14">
        <f>IFERROR(__xludf.DUMMYFUNCTION("""COMPUTED_VALUE"""),0.2)</f>
        <v>0.2</v>
      </c>
      <c r="AZ876" s="14">
        <f>IFERROR(__xludf.DUMMYFUNCTION("""COMPUTED_VALUE"""),0.007)</f>
        <v>0.007</v>
      </c>
      <c r="BA876" s="14">
        <f t="shared" si="1"/>
        <v>15.007</v>
      </c>
    </row>
    <row r="877" ht="14.25" customHeight="1">
      <c r="A877" s="10" t="str">
        <f>IFERROR(__xludf.DUMMYFUNCTION("""COMPUTED_VALUE"""),"220623MP03")</f>
        <v>220623MP03</v>
      </c>
      <c r="B877" s="12" t="str">
        <f>IFERROR(__xludf.DUMMYFUNCTION("""COMPUTED_VALUE"""),"QZA-Molinos")</f>
        <v>QZA-Molinos</v>
      </c>
      <c r="C877" s="12"/>
      <c r="D877" s="12"/>
      <c r="E877" s="44">
        <f>IFERROR(__xludf.DUMMYFUNCTION("""COMPUTED_VALUE"""),45099.0)</f>
        <v>45099</v>
      </c>
      <c r="F877" s="12" t="str">
        <f>IFERROR(__xludf.DUMMYFUNCTION("""COMPUTED_VALUE"""),"TIPO I")</f>
        <v>TIPO I</v>
      </c>
      <c r="G877" s="12" t="str">
        <f>IFERROR(__xludf.DUMMYFUNCTION("""COMPUTED_VALUE"""),"Lecho lodoso- arenoso, por condiciones de vegetación  se dificulta el acceso a la Quebrada Aguamonte, por lo cual la muestra se toma a 10 m aguas abajo de la confluencia entre la Quebrada Aguamonte y Quebrada Chiguaza, se observa color y se percibe olor.")</f>
        <v>Lecho lodoso- arenoso, por condiciones de vegetación  se dificulta el acceso a la Quebrada Aguamonte, por lo cual la muestra se toma a 10 m aguas abajo de la confluencia entre la Quebrada Aguamonte y Quebrada Chiguaza, se observa color y se percibe olor.</v>
      </c>
      <c r="H877" s="45">
        <f>IFERROR(__xludf.DUMMYFUNCTION("""COMPUTED_VALUE"""),0.5833333333321207)</f>
        <v>0.5833333333</v>
      </c>
      <c r="I877" s="45">
        <f>IFERROR(__xludf.DUMMYFUNCTION("""COMPUTED_VALUE"""),0.6666666666678793)</f>
        <v>0.6666666667</v>
      </c>
      <c r="J877" s="12">
        <f>IFERROR(__xludf.DUMMYFUNCTION("""COMPUTED_VALUE"""),6.3)</f>
        <v>6.3</v>
      </c>
      <c r="K877" s="12">
        <f>IFERROR(__xludf.DUMMYFUNCTION("""COMPUTED_VALUE"""),0.29)</f>
        <v>0.29</v>
      </c>
      <c r="L877" s="14">
        <f>IFERROR(__xludf.DUMMYFUNCTION("""COMPUTED_VALUE"""),244.754)</f>
        <v>244.754</v>
      </c>
      <c r="M877" s="14">
        <f>IFERROR(__xludf.DUMMYFUNCTION("""COMPUTED_VALUE"""),242.991)</f>
        <v>242.991</v>
      </c>
      <c r="N877" s="14">
        <f>IFERROR(__xludf.DUMMYFUNCTION("""COMPUTED_VALUE"""),242.065)</f>
        <v>242.065</v>
      </c>
      <c r="O877" s="14">
        <f>IFERROR(__xludf.DUMMYFUNCTION("""COMPUTED_VALUE"""),241.642)</f>
        <v>241.642</v>
      </c>
      <c r="P877" s="14">
        <f>IFERROR(__xludf.DUMMYFUNCTION("""COMPUTED_VALUE"""),241.192)</f>
        <v>241.192</v>
      </c>
      <c r="Q877" s="14">
        <f>IFERROR(__xludf.DUMMYFUNCTION("""COMPUTED_VALUE"""),242.529)</f>
        <v>242.529</v>
      </c>
      <c r="R877" s="48">
        <f>IFERROR(__xludf.DUMMYFUNCTION("""COMPUTED_VALUE"""),7.64)</f>
        <v>7.64</v>
      </c>
      <c r="S877" s="48">
        <f>IFERROR(__xludf.DUMMYFUNCTION("""COMPUTED_VALUE"""),7.52)</f>
        <v>7.52</v>
      </c>
      <c r="T877" s="48">
        <f>IFERROR(__xludf.DUMMYFUNCTION("""COMPUTED_VALUE"""),7.56)</f>
        <v>7.56</v>
      </c>
      <c r="U877" s="48">
        <f>IFERROR(__xludf.DUMMYFUNCTION("""COMPUTED_VALUE"""),7.52)</f>
        <v>7.52</v>
      </c>
      <c r="V877" s="48">
        <f>IFERROR(__xludf.DUMMYFUNCTION("""COMPUTED_VALUE"""),7.53)</f>
        <v>7.53</v>
      </c>
      <c r="W877" s="14">
        <f>IFERROR(__xludf.DUMMYFUNCTION("""COMPUTED_VALUE"""),7.553999999999999)</f>
        <v>7.554</v>
      </c>
      <c r="X877" s="14">
        <f>IFERROR(__xludf.DUMMYFUNCTION("""COMPUTED_VALUE"""),19.5)</f>
        <v>19.5</v>
      </c>
      <c r="Y877" s="14">
        <f>IFERROR(__xludf.DUMMYFUNCTION("""COMPUTED_VALUE"""),19.3)</f>
        <v>19.3</v>
      </c>
      <c r="Z877" s="14">
        <f>IFERROR(__xludf.DUMMYFUNCTION("""COMPUTED_VALUE"""),19.2)</f>
        <v>19.2</v>
      </c>
      <c r="AA877" s="14">
        <f>IFERROR(__xludf.DUMMYFUNCTION("""COMPUTED_VALUE"""),18.3)</f>
        <v>18.3</v>
      </c>
      <c r="AB877" s="14">
        <f>IFERROR(__xludf.DUMMYFUNCTION("""COMPUTED_VALUE"""),17.9)</f>
        <v>17.9</v>
      </c>
      <c r="AC877" s="14">
        <f>IFERROR(__xludf.DUMMYFUNCTION("""COMPUTED_VALUE"""),18.839999999999996)</f>
        <v>18.84</v>
      </c>
      <c r="AD877" s="48">
        <f>IFERROR(__xludf.DUMMYFUNCTION("""COMPUTED_VALUE"""),424.0)</f>
        <v>424</v>
      </c>
      <c r="AE877" s="48">
        <f>IFERROR(__xludf.DUMMYFUNCTION("""COMPUTED_VALUE"""),425.0)</f>
        <v>425</v>
      </c>
      <c r="AF877" s="48">
        <f>IFERROR(__xludf.DUMMYFUNCTION("""COMPUTED_VALUE"""),425.0)</f>
        <v>425</v>
      </c>
      <c r="AG877" s="48">
        <f>IFERROR(__xludf.DUMMYFUNCTION("""COMPUTED_VALUE"""),430.0)</f>
        <v>430</v>
      </c>
      <c r="AH877" s="48">
        <f>IFERROR(__xludf.DUMMYFUNCTION("""COMPUTED_VALUE"""),383.0)</f>
        <v>383</v>
      </c>
      <c r="AI877" s="14">
        <f>IFERROR(__xludf.DUMMYFUNCTION("""COMPUTED_VALUE"""),417.4)</f>
        <v>417.4</v>
      </c>
      <c r="AJ877" s="14">
        <f>IFERROR(__xludf.DUMMYFUNCTION("""COMPUTED_VALUE"""),1.97)</f>
        <v>1.97</v>
      </c>
      <c r="AK877" s="14">
        <f>IFERROR(__xludf.DUMMYFUNCTION("""COMPUTED_VALUE"""),1.98)</f>
        <v>1.98</v>
      </c>
      <c r="AL877" s="14">
        <f>IFERROR(__xludf.DUMMYFUNCTION("""COMPUTED_VALUE"""),1.95)</f>
        <v>1.95</v>
      </c>
      <c r="AM877" s="14">
        <f>IFERROR(__xludf.DUMMYFUNCTION("""COMPUTED_VALUE"""),1.45)</f>
        <v>1.45</v>
      </c>
      <c r="AN877" s="14">
        <f>IFERROR(__xludf.DUMMYFUNCTION("""COMPUTED_VALUE"""),1.79)</f>
        <v>1.79</v>
      </c>
      <c r="AO877" s="14">
        <f>IFERROR(__xludf.DUMMYFUNCTION("""COMPUTED_VALUE"""),1.828)</f>
        <v>1.828</v>
      </c>
      <c r="AP877" s="14">
        <f>IFERROR(__xludf.DUMMYFUNCTION("""COMPUTED_VALUE"""),95.0)</f>
        <v>95</v>
      </c>
      <c r="AQ877" s="14">
        <f>IFERROR(__xludf.DUMMYFUNCTION("""COMPUTED_VALUE"""),141.0)</f>
        <v>141</v>
      </c>
      <c r="AR877" s="14">
        <f>IFERROR(__xludf.DUMMYFUNCTION("""COMPUTED_VALUE"""),125.0)</f>
        <v>125</v>
      </c>
      <c r="AS877" s="14">
        <f>IFERROR(__xludf.DUMMYFUNCTION("""COMPUTED_VALUE"""),15.4)</f>
        <v>15.4</v>
      </c>
      <c r="AT877" s="14">
        <f>IFERROR(__xludf.DUMMYFUNCTION("""COMPUTED_VALUE"""),3.2)</f>
        <v>3.2</v>
      </c>
      <c r="AU877" s="14">
        <f>IFERROR(__xludf.DUMMYFUNCTION("""COMPUTED_VALUE"""),67.0)</f>
        <v>67</v>
      </c>
      <c r="AV877" s="14">
        <f>IFERROR(__xludf.DUMMYFUNCTION("""COMPUTED_VALUE"""),1.43)</f>
        <v>1.43</v>
      </c>
      <c r="AW877" s="14">
        <f>IFERROR(__xludf.DUMMYFUNCTION("""COMPUTED_VALUE"""),18.8)</f>
        <v>18.8</v>
      </c>
      <c r="AX877" s="14">
        <f>IFERROR(__xludf.DUMMYFUNCTION("""COMPUTED_VALUE"""),20.9)</f>
        <v>20.9</v>
      </c>
      <c r="AY877" s="14">
        <f>IFERROR(__xludf.DUMMYFUNCTION("""COMPUTED_VALUE"""),1.1)</f>
        <v>1.1</v>
      </c>
      <c r="AZ877" s="14">
        <f>IFERROR(__xludf.DUMMYFUNCTION("""COMPUTED_VALUE"""),0.007)</f>
        <v>0.007</v>
      </c>
      <c r="BA877" s="14">
        <f t="shared" si="1"/>
        <v>19.907</v>
      </c>
    </row>
    <row r="878" ht="14.25" customHeight="1">
      <c r="A878" s="10" t="str">
        <f>IFERROR(__xludf.DUMMYFUNCTION("""COMPUTED_VALUE"""),"280623DU01")</f>
        <v>280623DU01</v>
      </c>
      <c r="B878" s="12" t="str">
        <f>IFERROR(__xludf.DUMMYFUNCTION("""COMPUTED_VALUE"""),"CRN-Entre Ríos")</f>
        <v>CRN-Entre Ríos</v>
      </c>
      <c r="C878" s="12"/>
      <c r="D878" s="12"/>
      <c r="E878" s="44">
        <f>IFERROR(__xludf.DUMMYFUNCTION("""COMPUTED_VALUE"""),45105.0)</f>
        <v>45105</v>
      </c>
      <c r="F878" s="12" t="str">
        <f>IFERROR(__xludf.DUMMYFUNCTION("""COMPUTED_VALUE"""),"TIPO I")</f>
        <v>TIPO I</v>
      </c>
      <c r="G878" s="12" t="str">
        <f>IFERROR(__xludf.DUMMYFUNCTION("""COMPUTED_VALUE"""),"Estructura del canal en concreto, se observa color y se percibe olor.")</f>
        <v>Estructura del canal en concreto, se observa color y se percibe olor.</v>
      </c>
      <c r="H878" s="45">
        <f>IFERROR(__xludf.DUMMYFUNCTION("""COMPUTED_VALUE"""),0.3333333333321207)</f>
        <v>0.3333333333</v>
      </c>
      <c r="I878" s="45">
        <f>IFERROR(__xludf.DUMMYFUNCTION("""COMPUTED_VALUE"""),0.4166666666678793)</f>
        <v>0.4166666667</v>
      </c>
      <c r="J878" s="12">
        <f>IFERROR(__xludf.DUMMYFUNCTION("""COMPUTED_VALUE"""),6.8)</f>
        <v>6.8</v>
      </c>
      <c r="K878" s="12">
        <f>IFERROR(__xludf.DUMMYFUNCTION("""COMPUTED_VALUE"""),0.21)</f>
        <v>0.21</v>
      </c>
      <c r="L878" s="14">
        <f>IFERROR(__xludf.DUMMYFUNCTION("""COMPUTED_VALUE"""),398.273)</f>
        <v>398.273</v>
      </c>
      <c r="M878" s="14">
        <f>IFERROR(__xludf.DUMMYFUNCTION("""COMPUTED_VALUE"""),398.355)</f>
        <v>398.355</v>
      </c>
      <c r="N878" s="14">
        <f>IFERROR(__xludf.DUMMYFUNCTION("""COMPUTED_VALUE"""),399.294)</f>
        <v>399.294</v>
      </c>
      <c r="O878" s="14">
        <f>IFERROR(__xludf.DUMMYFUNCTION("""COMPUTED_VALUE"""),399.891)</f>
        <v>399.891</v>
      </c>
      <c r="P878" s="14">
        <f>IFERROR(__xludf.DUMMYFUNCTION("""COMPUTED_VALUE"""),400.169)</f>
        <v>400.169</v>
      </c>
      <c r="Q878" s="14">
        <f>IFERROR(__xludf.DUMMYFUNCTION("""COMPUTED_VALUE"""),399.196)</f>
        <v>399.196</v>
      </c>
      <c r="R878" s="48">
        <f>IFERROR(__xludf.DUMMYFUNCTION("""COMPUTED_VALUE"""),7.82)</f>
        <v>7.82</v>
      </c>
      <c r="S878" s="48">
        <f>IFERROR(__xludf.DUMMYFUNCTION("""COMPUTED_VALUE"""),8.04)</f>
        <v>8.04</v>
      </c>
      <c r="T878" s="48">
        <f>IFERROR(__xludf.DUMMYFUNCTION("""COMPUTED_VALUE"""),8.15)</f>
        <v>8.15</v>
      </c>
      <c r="U878" s="48">
        <f>IFERROR(__xludf.DUMMYFUNCTION("""COMPUTED_VALUE"""),8.13)</f>
        <v>8.13</v>
      </c>
      <c r="V878" s="48">
        <f>IFERROR(__xludf.DUMMYFUNCTION("""COMPUTED_VALUE"""),8.14)</f>
        <v>8.14</v>
      </c>
      <c r="W878" s="14">
        <f>IFERROR(__xludf.DUMMYFUNCTION("""COMPUTED_VALUE"""),8.056000000000001)</f>
        <v>8.056</v>
      </c>
      <c r="X878" s="14">
        <f>IFERROR(__xludf.DUMMYFUNCTION("""COMPUTED_VALUE"""),19.3)</f>
        <v>19.3</v>
      </c>
      <c r="Y878" s="14">
        <f>IFERROR(__xludf.DUMMYFUNCTION("""COMPUTED_VALUE"""),19.9)</f>
        <v>19.9</v>
      </c>
      <c r="Z878" s="14">
        <f>IFERROR(__xludf.DUMMYFUNCTION("""COMPUTED_VALUE"""),20.6)</f>
        <v>20.6</v>
      </c>
      <c r="AA878" s="14">
        <f>IFERROR(__xludf.DUMMYFUNCTION("""COMPUTED_VALUE"""),20.5)</f>
        <v>20.5</v>
      </c>
      <c r="AB878" s="14">
        <f>IFERROR(__xludf.DUMMYFUNCTION("""COMPUTED_VALUE"""),20.7)</f>
        <v>20.7</v>
      </c>
      <c r="AC878" s="14">
        <f>IFERROR(__xludf.DUMMYFUNCTION("""COMPUTED_VALUE"""),20.200000000000003)</f>
        <v>20.2</v>
      </c>
      <c r="AD878" s="48">
        <f>IFERROR(__xludf.DUMMYFUNCTION("""COMPUTED_VALUE"""),375.0)</f>
        <v>375</v>
      </c>
      <c r="AE878" s="48">
        <f>IFERROR(__xludf.DUMMYFUNCTION("""COMPUTED_VALUE"""),484.0)</f>
        <v>484</v>
      </c>
      <c r="AF878" s="48">
        <f>IFERROR(__xludf.DUMMYFUNCTION("""COMPUTED_VALUE"""),452.0)</f>
        <v>452</v>
      </c>
      <c r="AG878" s="48">
        <f>IFERROR(__xludf.DUMMYFUNCTION("""COMPUTED_VALUE"""),451.0)</f>
        <v>451</v>
      </c>
      <c r="AH878" s="48">
        <f>IFERROR(__xludf.DUMMYFUNCTION("""COMPUTED_VALUE"""),449.0)</f>
        <v>449</v>
      </c>
      <c r="AI878" s="14">
        <f>IFERROR(__xludf.DUMMYFUNCTION("""COMPUTED_VALUE"""),442.2)</f>
        <v>442.2</v>
      </c>
      <c r="AJ878" s="14">
        <f>IFERROR(__xludf.DUMMYFUNCTION("""COMPUTED_VALUE"""),1.15)</f>
        <v>1.15</v>
      </c>
      <c r="AK878" s="14">
        <f>IFERROR(__xludf.DUMMYFUNCTION("""COMPUTED_VALUE"""),2.01)</f>
        <v>2.01</v>
      </c>
      <c r="AL878" s="14">
        <f>IFERROR(__xludf.DUMMYFUNCTION("""COMPUTED_VALUE"""),2.2)</f>
        <v>2.2</v>
      </c>
      <c r="AM878" s="14">
        <f>IFERROR(__xludf.DUMMYFUNCTION("""COMPUTED_VALUE"""),2.31)</f>
        <v>2.31</v>
      </c>
      <c r="AN878" s="14">
        <f>IFERROR(__xludf.DUMMYFUNCTION("""COMPUTED_VALUE"""),2.54)</f>
        <v>2.54</v>
      </c>
      <c r="AO878" s="14">
        <f>IFERROR(__xludf.DUMMYFUNCTION("""COMPUTED_VALUE"""),2.0420000000000003)</f>
        <v>2.042</v>
      </c>
      <c r="AP878" s="14">
        <f>IFERROR(__xludf.DUMMYFUNCTION("""COMPUTED_VALUE"""),185.0)</f>
        <v>185</v>
      </c>
      <c r="AQ878" s="14">
        <f>IFERROR(__xludf.DUMMYFUNCTION("""COMPUTED_VALUE"""),272.0)</f>
        <v>272</v>
      </c>
      <c r="AR878" s="14">
        <f>IFERROR(__xludf.DUMMYFUNCTION("""COMPUTED_VALUE"""),113.0)</f>
        <v>113</v>
      </c>
      <c r="AS878" s="14">
        <f>IFERROR(__xludf.DUMMYFUNCTION("""COMPUTED_VALUE"""),1.6)</f>
        <v>1.6</v>
      </c>
      <c r="AT878" s="14">
        <f>IFERROR(__xludf.DUMMYFUNCTION("""COMPUTED_VALUE"""),1.67)</f>
        <v>1.67</v>
      </c>
      <c r="AU878" s="14">
        <f>IFERROR(__xludf.DUMMYFUNCTION("""COMPUTED_VALUE"""),2.755E8)</f>
        <v>275500000</v>
      </c>
      <c r="AV878" s="14">
        <f>IFERROR(__xludf.DUMMYFUNCTION("""COMPUTED_VALUE"""),10.05)</f>
        <v>10.05</v>
      </c>
      <c r="AW878" s="14">
        <f>IFERROR(__xludf.DUMMYFUNCTION("""COMPUTED_VALUE"""),21.0)</f>
        <v>21</v>
      </c>
      <c r="AX878" s="14">
        <f>IFERROR(__xludf.DUMMYFUNCTION("""COMPUTED_VALUE"""),2.046E8)</f>
        <v>204600000</v>
      </c>
      <c r="AY878" s="14">
        <f>IFERROR(__xludf.DUMMYFUNCTION("""COMPUTED_VALUE"""),2.1)</f>
        <v>2.1</v>
      </c>
      <c r="AZ878" s="14">
        <f>IFERROR(__xludf.DUMMYFUNCTION("""COMPUTED_VALUE"""),0.007)</f>
        <v>0.007</v>
      </c>
      <c r="BA878" s="14">
        <f t="shared" si="1"/>
        <v>23.107</v>
      </c>
    </row>
    <row r="879" ht="14.25" customHeight="1">
      <c r="A879" s="10" t="str">
        <f>IFERROR(__xludf.DUMMYFUNCTION("""COMPUTED_VALUE"""),"050723WI03")</f>
        <v>050723WI03</v>
      </c>
      <c r="B879" s="12" t="str">
        <f>IFERROR(__xludf.DUMMYFUNCTION("""COMPUTED_VALUE"""),"QSL-Portal Usme")</f>
        <v>QSL-Portal Usme</v>
      </c>
      <c r="C879" s="12"/>
      <c r="D879" s="12"/>
      <c r="E879" s="44">
        <f>IFERROR(__xludf.DUMMYFUNCTION("""COMPUTED_VALUE"""),45112.0)</f>
        <v>45112</v>
      </c>
      <c r="F879" s="12" t="str">
        <f>IFERROR(__xludf.DUMMYFUNCTION("""COMPUTED_VALUE"""),"TIPO I")</f>
        <v>TIPO I</v>
      </c>
      <c r="G879" s="12" t="str">
        <f>IFERROR(__xludf.DUMMYFUNCTION("""COMPUTED_VALUE"""),"Toma de muestra en canal artificial en concreto, durante el monitoreo se observa color y se percibe olor. Altitud: 2583 msnm. ")</f>
        <v>Toma de muestra en canal artificial en concreto, durante el monitoreo se observa color y se percibe olor. Altitud: 2583 msnm. </v>
      </c>
      <c r="H879" s="45">
        <f>IFERROR(__xludf.DUMMYFUNCTION("""COMPUTED_VALUE"""),0.5833333333321207)</f>
        <v>0.5833333333</v>
      </c>
      <c r="I879" s="45">
        <f>IFERROR(__xludf.DUMMYFUNCTION("""COMPUTED_VALUE"""),0.6666666666678793)</f>
        <v>0.6666666667</v>
      </c>
      <c r="J879" s="12">
        <f>IFERROR(__xludf.DUMMYFUNCTION("""COMPUTED_VALUE"""),1.3)</f>
        <v>1.3</v>
      </c>
      <c r="K879" s="12">
        <f>IFERROR(__xludf.DUMMYFUNCTION("""COMPUTED_VALUE"""),0.11)</f>
        <v>0.11</v>
      </c>
      <c r="L879" s="14">
        <f>IFERROR(__xludf.DUMMYFUNCTION("""COMPUTED_VALUE"""),145.172)</f>
        <v>145.172</v>
      </c>
      <c r="M879" s="14">
        <f>IFERROR(__xludf.DUMMYFUNCTION("""COMPUTED_VALUE"""),145.195)</f>
        <v>145.195</v>
      </c>
      <c r="N879" s="14">
        <f>IFERROR(__xludf.DUMMYFUNCTION("""COMPUTED_VALUE"""),145.218)</f>
        <v>145.218</v>
      </c>
      <c r="O879" s="14">
        <f>IFERROR(__xludf.DUMMYFUNCTION("""COMPUTED_VALUE"""),145.239)</f>
        <v>145.239</v>
      </c>
      <c r="P879" s="14">
        <f>IFERROR(__xludf.DUMMYFUNCTION("""COMPUTED_VALUE"""),145.277)</f>
        <v>145.277</v>
      </c>
      <c r="Q879" s="14">
        <f>IFERROR(__xludf.DUMMYFUNCTION("""COMPUTED_VALUE"""),145.22)</f>
        <v>145.22</v>
      </c>
      <c r="R879" s="48">
        <f>IFERROR(__xludf.DUMMYFUNCTION("""COMPUTED_VALUE"""),7.4)</f>
        <v>7.4</v>
      </c>
      <c r="S879" s="48">
        <f>IFERROR(__xludf.DUMMYFUNCTION("""COMPUTED_VALUE"""),7.41)</f>
        <v>7.41</v>
      </c>
      <c r="T879" s="48">
        <f>IFERROR(__xludf.DUMMYFUNCTION("""COMPUTED_VALUE"""),7.35)</f>
        <v>7.35</v>
      </c>
      <c r="U879" s="48">
        <f>IFERROR(__xludf.DUMMYFUNCTION("""COMPUTED_VALUE"""),7.42)</f>
        <v>7.42</v>
      </c>
      <c r="V879" s="48">
        <f>IFERROR(__xludf.DUMMYFUNCTION("""COMPUTED_VALUE"""),7.38)</f>
        <v>7.38</v>
      </c>
      <c r="W879" s="14">
        <f>IFERROR(__xludf.DUMMYFUNCTION("""COMPUTED_VALUE"""),7.392)</f>
        <v>7.392</v>
      </c>
      <c r="X879" s="14">
        <f>IFERROR(__xludf.DUMMYFUNCTION("""COMPUTED_VALUE"""),19.0)</f>
        <v>19</v>
      </c>
      <c r="Y879" s="14">
        <f>IFERROR(__xludf.DUMMYFUNCTION("""COMPUTED_VALUE"""),19.8)</f>
        <v>19.8</v>
      </c>
      <c r="Z879" s="14">
        <f>IFERROR(__xludf.DUMMYFUNCTION("""COMPUTED_VALUE"""),18.7)</f>
        <v>18.7</v>
      </c>
      <c r="AA879" s="14">
        <f>IFERROR(__xludf.DUMMYFUNCTION("""COMPUTED_VALUE"""),19.0)</f>
        <v>19</v>
      </c>
      <c r="AB879" s="14">
        <f>IFERROR(__xludf.DUMMYFUNCTION("""COMPUTED_VALUE"""),18.6)</f>
        <v>18.6</v>
      </c>
      <c r="AC879" s="14">
        <f>IFERROR(__xludf.DUMMYFUNCTION("""COMPUTED_VALUE"""),19.02)</f>
        <v>19.02</v>
      </c>
      <c r="AD879" s="48">
        <f>IFERROR(__xludf.DUMMYFUNCTION("""COMPUTED_VALUE"""),443.0)</f>
        <v>443</v>
      </c>
      <c r="AE879" s="48">
        <f>IFERROR(__xludf.DUMMYFUNCTION("""COMPUTED_VALUE"""),420.0)</f>
        <v>420</v>
      </c>
      <c r="AF879" s="48">
        <f>IFERROR(__xludf.DUMMYFUNCTION("""COMPUTED_VALUE"""),434.0)</f>
        <v>434</v>
      </c>
      <c r="AG879" s="48">
        <f>IFERROR(__xludf.DUMMYFUNCTION("""COMPUTED_VALUE"""),412.0)</f>
        <v>412</v>
      </c>
      <c r="AH879" s="48">
        <f>IFERROR(__xludf.DUMMYFUNCTION("""COMPUTED_VALUE"""),403.0)</f>
        <v>403</v>
      </c>
      <c r="AI879" s="14">
        <f>IFERROR(__xludf.DUMMYFUNCTION("""COMPUTED_VALUE"""),422.4)</f>
        <v>422.4</v>
      </c>
      <c r="AJ879" s="14">
        <f>IFERROR(__xludf.DUMMYFUNCTION("""COMPUTED_VALUE"""),2.79)</f>
        <v>2.79</v>
      </c>
      <c r="AK879" s="14">
        <f>IFERROR(__xludf.DUMMYFUNCTION("""COMPUTED_VALUE"""),2.86)</f>
        <v>2.86</v>
      </c>
      <c r="AL879" s="14">
        <f>IFERROR(__xludf.DUMMYFUNCTION("""COMPUTED_VALUE"""),2.63)</f>
        <v>2.63</v>
      </c>
      <c r="AM879" s="14">
        <f>IFERROR(__xludf.DUMMYFUNCTION("""COMPUTED_VALUE"""),3.44)</f>
        <v>3.44</v>
      </c>
      <c r="AN879" s="14">
        <f>IFERROR(__xludf.DUMMYFUNCTION("""COMPUTED_VALUE"""),4.12)</f>
        <v>4.12</v>
      </c>
      <c r="AO879" s="14">
        <f>IFERROR(__xludf.DUMMYFUNCTION("""COMPUTED_VALUE"""),3.168)</f>
        <v>3.168</v>
      </c>
      <c r="AP879" s="14">
        <f>IFERROR(__xludf.DUMMYFUNCTION("""COMPUTED_VALUE"""),106.0)</f>
        <v>106</v>
      </c>
      <c r="AQ879" s="14">
        <f>IFERROR(__xludf.DUMMYFUNCTION("""COMPUTED_VALUE"""),156.0)</f>
        <v>156</v>
      </c>
      <c r="AR879" s="14">
        <f>IFERROR(__xludf.DUMMYFUNCTION("""COMPUTED_VALUE"""),92.0)</f>
        <v>92</v>
      </c>
      <c r="AS879" s="14">
        <f>IFERROR(__xludf.DUMMYFUNCTION("""COMPUTED_VALUE"""),35.0)</f>
        <v>35</v>
      </c>
      <c r="AT879" s="14">
        <f>IFERROR(__xludf.DUMMYFUNCTION("""COMPUTED_VALUE"""),4.38)</f>
        <v>4.38</v>
      </c>
      <c r="AU879" s="14">
        <f>IFERROR(__xludf.DUMMYFUNCTION("""COMPUTED_VALUE"""),1.117E7)</f>
        <v>11170000</v>
      </c>
      <c r="AV879" s="14">
        <f>IFERROR(__xludf.DUMMYFUNCTION("""COMPUTED_VALUE"""),1.72)</f>
        <v>1.72</v>
      </c>
      <c r="AW879" s="14">
        <f>IFERROR(__xludf.DUMMYFUNCTION("""COMPUTED_VALUE"""),15.7)</f>
        <v>15.7</v>
      </c>
      <c r="AX879" s="14">
        <f>IFERROR(__xludf.DUMMYFUNCTION("""COMPUTED_VALUE"""),1.02E7)</f>
        <v>10200000</v>
      </c>
      <c r="AY879" s="14">
        <f>IFERROR(__xludf.DUMMYFUNCTION("""COMPUTED_VALUE"""),0.4)</f>
        <v>0.4</v>
      </c>
      <c r="AZ879" s="14">
        <f>IFERROR(__xludf.DUMMYFUNCTION("""COMPUTED_VALUE"""),0.007)</f>
        <v>0.007</v>
      </c>
      <c r="BA879" s="14">
        <f t="shared" si="1"/>
        <v>16.107</v>
      </c>
    </row>
    <row r="880" ht="14.25" customHeight="1">
      <c r="A880" s="10" t="str">
        <f>IFERROR(__xludf.DUMMYFUNCTION("""COMPUTED_VALUE"""),"050723WI01")</f>
        <v>050723WI01</v>
      </c>
      <c r="B880" s="12" t="str">
        <f>IFERROR(__xludf.DUMMYFUNCTION("""COMPUTED_VALUE"""),"QSL-Alfonso López")</f>
        <v>QSL-Alfonso López</v>
      </c>
      <c r="C880" s="12"/>
      <c r="D880" s="12"/>
      <c r="E880" s="44">
        <f>IFERROR(__xludf.DUMMYFUNCTION("""COMPUTED_VALUE"""),45112.0)</f>
        <v>45112</v>
      </c>
      <c r="F880" s="12" t="str">
        <f>IFERROR(__xludf.DUMMYFUNCTION("""COMPUTED_VALUE"""),"TIPO I")</f>
        <v>TIPO I</v>
      </c>
      <c r="G880" s="12" t="str">
        <f>IFERROR(__xludf.DUMMYFUNCTION("""COMPUTED_VALUE"""),"Estructura natural, lecho rocoso, se percibe olor, se observa color y residuos sólidos al margen del canal. Altitud 2751 msnm.")</f>
        <v>Estructura natural, lecho rocoso, se percibe olor, se observa color y residuos sólidos al margen del canal. Altitud 2751 msnm.</v>
      </c>
      <c r="H880" s="45">
        <f>IFERROR(__xludf.DUMMYFUNCTION("""COMPUTED_VALUE"""),0.25)</f>
        <v>0.25</v>
      </c>
      <c r="I880" s="45">
        <f>IFERROR(__xludf.DUMMYFUNCTION("""COMPUTED_VALUE"""),0.3333333333321207)</f>
        <v>0.3333333333</v>
      </c>
      <c r="J880" s="12">
        <f>IFERROR(__xludf.DUMMYFUNCTION("""COMPUTED_VALUE"""),1.5)</f>
        <v>1.5</v>
      </c>
      <c r="K880" s="12">
        <f>IFERROR(__xludf.DUMMYFUNCTION("""COMPUTED_VALUE"""),0.14)</f>
        <v>0.14</v>
      </c>
      <c r="L880" s="14">
        <f>IFERROR(__xludf.DUMMYFUNCTION("""COMPUTED_VALUE"""),19.504)</f>
        <v>19.504</v>
      </c>
      <c r="M880" s="14">
        <f>IFERROR(__xludf.DUMMYFUNCTION("""COMPUTED_VALUE"""),19.505)</f>
        <v>19.505</v>
      </c>
      <c r="N880" s="14">
        <f>IFERROR(__xludf.DUMMYFUNCTION("""COMPUTED_VALUE"""),19.507)</f>
        <v>19.507</v>
      </c>
      <c r="O880" s="14">
        <f>IFERROR(__xludf.DUMMYFUNCTION("""COMPUTED_VALUE"""),19.51)</f>
        <v>19.51</v>
      </c>
      <c r="P880" s="14">
        <f>IFERROR(__xludf.DUMMYFUNCTION("""COMPUTED_VALUE"""),19.528)</f>
        <v>19.528</v>
      </c>
      <c r="Q880" s="14">
        <f>IFERROR(__xludf.DUMMYFUNCTION("""COMPUTED_VALUE"""),19.511)</f>
        <v>19.511</v>
      </c>
      <c r="R880" s="48">
        <f>IFERROR(__xludf.DUMMYFUNCTION("""COMPUTED_VALUE"""),7.71)</f>
        <v>7.71</v>
      </c>
      <c r="S880" s="48">
        <f>IFERROR(__xludf.DUMMYFUNCTION("""COMPUTED_VALUE"""),7.74)</f>
        <v>7.74</v>
      </c>
      <c r="T880" s="48">
        <f>IFERROR(__xludf.DUMMYFUNCTION("""COMPUTED_VALUE"""),7.63)</f>
        <v>7.63</v>
      </c>
      <c r="U880" s="48">
        <f>IFERROR(__xludf.DUMMYFUNCTION("""COMPUTED_VALUE"""),7.64)</f>
        <v>7.64</v>
      </c>
      <c r="V880" s="48">
        <f>IFERROR(__xludf.DUMMYFUNCTION("""COMPUTED_VALUE"""),7.64)</f>
        <v>7.64</v>
      </c>
      <c r="W880" s="14">
        <f>IFERROR(__xludf.DUMMYFUNCTION("""COMPUTED_VALUE"""),7.672)</f>
        <v>7.672</v>
      </c>
      <c r="X880" s="14">
        <f>IFERROR(__xludf.DUMMYFUNCTION("""COMPUTED_VALUE"""),13.9)</f>
        <v>13.9</v>
      </c>
      <c r="Y880" s="14">
        <f>IFERROR(__xludf.DUMMYFUNCTION("""COMPUTED_VALUE"""),13.9)</f>
        <v>13.9</v>
      </c>
      <c r="Z880" s="14">
        <f>IFERROR(__xludf.DUMMYFUNCTION("""COMPUTED_VALUE"""),13.8)</f>
        <v>13.8</v>
      </c>
      <c r="AA880" s="14">
        <f>IFERROR(__xludf.DUMMYFUNCTION("""COMPUTED_VALUE"""),14.5)</f>
        <v>14.5</v>
      </c>
      <c r="AB880" s="14">
        <f>IFERROR(__xludf.DUMMYFUNCTION("""COMPUTED_VALUE"""),14.0)</f>
        <v>14</v>
      </c>
      <c r="AC880" s="14">
        <f>IFERROR(__xludf.DUMMYFUNCTION("""COMPUTED_VALUE"""),14.02)</f>
        <v>14.02</v>
      </c>
      <c r="AD880" s="48">
        <f>IFERROR(__xludf.DUMMYFUNCTION("""COMPUTED_VALUE"""),200.0)</f>
        <v>200</v>
      </c>
      <c r="AE880" s="48">
        <f>IFERROR(__xludf.DUMMYFUNCTION("""COMPUTED_VALUE"""),255.0)</f>
        <v>255</v>
      </c>
      <c r="AF880" s="48">
        <f>IFERROR(__xludf.DUMMYFUNCTION("""COMPUTED_VALUE"""),197.0)</f>
        <v>197</v>
      </c>
      <c r="AG880" s="48">
        <f>IFERROR(__xludf.DUMMYFUNCTION("""COMPUTED_VALUE"""),182.7)</f>
        <v>182.7</v>
      </c>
      <c r="AH880" s="48">
        <f>IFERROR(__xludf.DUMMYFUNCTION("""COMPUTED_VALUE"""),172.9)</f>
        <v>172.9</v>
      </c>
      <c r="AI880" s="14">
        <f>IFERROR(__xludf.DUMMYFUNCTION("""COMPUTED_VALUE"""),201.52)</f>
        <v>201.52</v>
      </c>
      <c r="AJ880" s="14">
        <f>IFERROR(__xludf.DUMMYFUNCTION("""COMPUTED_VALUE"""),4.72)</f>
        <v>4.72</v>
      </c>
      <c r="AK880" s="14">
        <f>IFERROR(__xludf.DUMMYFUNCTION("""COMPUTED_VALUE"""),3.82)</f>
        <v>3.82</v>
      </c>
      <c r="AL880" s="14">
        <f>IFERROR(__xludf.DUMMYFUNCTION("""COMPUTED_VALUE"""),4.25)</f>
        <v>4.25</v>
      </c>
      <c r="AM880" s="14">
        <f>IFERROR(__xludf.DUMMYFUNCTION("""COMPUTED_VALUE"""),3.78)</f>
        <v>3.78</v>
      </c>
      <c r="AN880" s="14">
        <f>IFERROR(__xludf.DUMMYFUNCTION("""COMPUTED_VALUE"""),4.62)</f>
        <v>4.62</v>
      </c>
      <c r="AO880" s="14">
        <f>IFERROR(__xludf.DUMMYFUNCTION("""COMPUTED_VALUE"""),4.238)</f>
        <v>4.238</v>
      </c>
      <c r="AP880" s="14">
        <f>IFERROR(__xludf.DUMMYFUNCTION("""COMPUTED_VALUE"""),6.0)</f>
        <v>6</v>
      </c>
      <c r="AQ880" s="14">
        <f>IFERROR(__xludf.DUMMYFUNCTION("""COMPUTED_VALUE"""),10.0)</f>
        <v>10</v>
      </c>
      <c r="AR880" s="14">
        <f>IFERROR(__xludf.DUMMYFUNCTION("""COMPUTED_VALUE"""),54.0)</f>
        <v>54</v>
      </c>
      <c r="AS880" s="14">
        <f>IFERROR(__xludf.DUMMYFUNCTION("""COMPUTED_VALUE"""),1.0)</f>
        <v>1</v>
      </c>
      <c r="AT880" s="14">
        <f>IFERROR(__xludf.DUMMYFUNCTION("""COMPUTED_VALUE"""),0.07)</f>
        <v>0.07</v>
      </c>
      <c r="AU880" s="14">
        <f>IFERROR(__xludf.DUMMYFUNCTION("""COMPUTED_VALUE"""),1.382E7)</f>
        <v>13820000</v>
      </c>
      <c r="AV880" s="14">
        <f>IFERROR(__xludf.DUMMYFUNCTION("""COMPUTED_VALUE"""),0.33)</f>
        <v>0.33</v>
      </c>
      <c r="AW880" s="14">
        <f>IFERROR(__xludf.DUMMYFUNCTION("""COMPUTED_VALUE"""),1.1)</f>
        <v>1.1</v>
      </c>
      <c r="AX880" s="14">
        <f>IFERROR(__xludf.DUMMYFUNCTION("""COMPUTED_VALUE"""),1140000.0)</f>
        <v>1140000</v>
      </c>
      <c r="AY880" s="14">
        <f>IFERROR(__xludf.DUMMYFUNCTION("""COMPUTED_VALUE"""),4.1)</f>
        <v>4.1</v>
      </c>
      <c r="AZ880" s="14">
        <f>IFERROR(__xludf.DUMMYFUNCTION("""COMPUTED_VALUE"""),0.007)</f>
        <v>0.007</v>
      </c>
      <c r="BA880" s="14">
        <f t="shared" si="1"/>
        <v>5.207</v>
      </c>
    </row>
    <row r="881" ht="14.25" customHeight="1">
      <c r="A881" s="10" t="str">
        <f>IFERROR(__xludf.DUMMYFUNCTION("""COMPUTED_VALUE"""),"050723WI02")</f>
        <v>050723WI02</v>
      </c>
      <c r="B881" s="12" t="str">
        <f>IFERROR(__xludf.DUMMYFUNCTION("""COMPUTED_VALUE"""),"QSL-Barranquillita")</f>
        <v>QSL-Barranquillita</v>
      </c>
      <c r="C881" s="12"/>
      <c r="D881" s="12"/>
      <c r="E881" s="44">
        <f>IFERROR(__xludf.DUMMYFUNCTION("""COMPUTED_VALUE"""),45112.0)</f>
        <v>45112</v>
      </c>
      <c r="F881" s="12" t="str">
        <f>IFERROR(__xludf.DUMMYFUNCTION("""COMPUTED_VALUE"""),"TIPO I")</f>
        <v>TIPO I</v>
      </c>
      <c r="G881" s="12" t="str">
        <f>IFERROR(__xludf.DUMMYFUNCTION("""COMPUTED_VALUE"""),"Estructura del canal en concreto, se percibe olor, se observa color y residuos sólidos al margen de la quebrada. Altitud 2615 msnm.")</f>
        <v>Estructura del canal en concreto, se percibe olor, se observa color y residuos sólidos al margen de la quebrada. Altitud 2615 msnm.</v>
      </c>
      <c r="H881" s="45">
        <f>IFERROR(__xludf.DUMMYFUNCTION("""COMPUTED_VALUE"""),0.4166666666678793)</f>
        <v>0.4166666667</v>
      </c>
      <c r="I881" s="45">
        <f>IFERROR(__xludf.DUMMYFUNCTION("""COMPUTED_VALUE"""),0.5)</f>
        <v>0.5</v>
      </c>
      <c r="J881" s="12">
        <f>IFERROR(__xludf.DUMMYFUNCTION("""COMPUTED_VALUE"""),2.2)</f>
        <v>2.2</v>
      </c>
      <c r="K881" s="12">
        <f>IFERROR(__xludf.DUMMYFUNCTION("""COMPUTED_VALUE"""),0.09)</f>
        <v>0.09</v>
      </c>
      <c r="L881" s="14">
        <f>IFERROR(__xludf.DUMMYFUNCTION("""COMPUTED_VALUE"""),40.785)</f>
        <v>40.785</v>
      </c>
      <c r="M881" s="14">
        <f>IFERROR(__xludf.DUMMYFUNCTION("""COMPUTED_VALUE"""),40.825)</f>
        <v>40.825</v>
      </c>
      <c r="N881" s="14">
        <f>IFERROR(__xludf.DUMMYFUNCTION("""COMPUTED_VALUE"""),40.829)</f>
        <v>40.829</v>
      </c>
      <c r="O881" s="14">
        <f>IFERROR(__xludf.DUMMYFUNCTION("""COMPUTED_VALUE"""),40.846)</f>
        <v>40.846</v>
      </c>
      <c r="P881" s="14">
        <f>IFERROR(__xludf.DUMMYFUNCTION("""COMPUTED_VALUE"""),40.874)</f>
        <v>40.874</v>
      </c>
      <c r="Q881" s="14">
        <f>IFERROR(__xludf.DUMMYFUNCTION("""COMPUTED_VALUE"""),40.832)</f>
        <v>40.832</v>
      </c>
      <c r="R881" s="48">
        <f>IFERROR(__xludf.DUMMYFUNCTION("""COMPUTED_VALUE"""),7.77)</f>
        <v>7.77</v>
      </c>
      <c r="S881" s="48">
        <f>IFERROR(__xludf.DUMMYFUNCTION("""COMPUTED_VALUE"""),7.72)</f>
        <v>7.72</v>
      </c>
      <c r="T881" s="48">
        <f>IFERROR(__xludf.DUMMYFUNCTION("""COMPUTED_VALUE"""),7.62)</f>
        <v>7.62</v>
      </c>
      <c r="U881" s="48">
        <f>IFERROR(__xludf.DUMMYFUNCTION("""COMPUTED_VALUE"""),7.71)</f>
        <v>7.71</v>
      </c>
      <c r="V881" s="48">
        <f>IFERROR(__xludf.DUMMYFUNCTION("""COMPUTED_VALUE"""),7.69)</f>
        <v>7.69</v>
      </c>
      <c r="W881" s="14">
        <f>IFERROR(__xludf.DUMMYFUNCTION("""COMPUTED_VALUE"""),7.702)</f>
        <v>7.702</v>
      </c>
      <c r="X881" s="14">
        <f>IFERROR(__xludf.DUMMYFUNCTION("""COMPUTED_VALUE"""),16.5)</f>
        <v>16.5</v>
      </c>
      <c r="Y881" s="14">
        <f>IFERROR(__xludf.DUMMYFUNCTION("""COMPUTED_VALUE"""),16.8)</f>
        <v>16.8</v>
      </c>
      <c r="Z881" s="14">
        <f>IFERROR(__xludf.DUMMYFUNCTION("""COMPUTED_VALUE"""),16.7)</f>
        <v>16.7</v>
      </c>
      <c r="AA881" s="14">
        <f>IFERROR(__xludf.DUMMYFUNCTION("""COMPUTED_VALUE"""),16.9)</f>
        <v>16.9</v>
      </c>
      <c r="AB881" s="14">
        <f>IFERROR(__xludf.DUMMYFUNCTION("""COMPUTED_VALUE"""),17.0)</f>
        <v>17</v>
      </c>
      <c r="AC881" s="14">
        <f>IFERROR(__xludf.DUMMYFUNCTION("""COMPUTED_VALUE"""),16.78)</f>
        <v>16.78</v>
      </c>
      <c r="AD881" s="48">
        <f>IFERROR(__xludf.DUMMYFUNCTION("""COMPUTED_VALUE"""),317.0)</f>
        <v>317</v>
      </c>
      <c r="AE881" s="48">
        <f>IFERROR(__xludf.DUMMYFUNCTION("""COMPUTED_VALUE"""),294.0)</f>
        <v>294</v>
      </c>
      <c r="AF881" s="48">
        <f>IFERROR(__xludf.DUMMYFUNCTION("""COMPUTED_VALUE"""),293.0)</f>
        <v>293</v>
      </c>
      <c r="AG881" s="48">
        <f>IFERROR(__xludf.DUMMYFUNCTION("""COMPUTED_VALUE"""),297.0)</f>
        <v>297</v>
      </c>
      <c r="AH881" s="48">
        <f>IFERROR(__xludf.DUMMYFUNCTION("""COMPUTED_VALUE"""),298.0)</f>
        <v>298</v>
      </c>
      <c r="AI881" s="14">
        <f>IFERROR(__xludf.DUMMYFUNCTION("""COMPUTED_VALUE"""),299.8)</f>
        <v>299.8</v>
      </c>
      <c r="AJ881" s="14">
        <f>IFERROR(__xludf.DUMMYFUNCTION("""COMPUTED_VALUE"""),4.8)</f>
        <v>4.8</v>
      </c>
      <c r="AK881" s="14">
        <f>IFERROR(__xludf.DUMMYFUNCTION("""COMPUTED_VALUE"""),4.21)</f>
        <v>4.21</v>
      </c>
      <c r="AL881" s="14">
        <f>IFERROR(__xludf.DUMMYFUNCTION("""COMPUTED_VALUE"""),3.85)</f>
        <v>3.85</v>
      </c>
      <c r="AM881" s="14">
        <f>IFERROR(__xludf.DUMMYFUNCTION("""COMPUTED_VALUE"""),4.84)</f>
        <v>4.84</v>
      </c>
      <c r="AN881" s="14">
        <f>IFERROR(__xludf.DUMMYFUNCTION("""COMPUTED_VALUE"""),4.55)</f>
        <v>4.55</v>
      </c>
      <c r="AO881" s="14">
        <f>IFERROR(__xludf.DUMMYFUNCTION("""COMPUTED_VALUE"""),4.45)</f>
        <v>4.45</v>
      </c>
      <c r="AP881" s="14">
        <f>IFERROR(__xludf.DUMMYFUNCTION("""COMPUTED_VALUE"""),18.0)</f>
        <v>18</v>
      </c>
      <c r="AQ881" s="14">
        <f>IFERROR(__xludf.DUMMYFUNCTION("""COMPUTED_VALUE"""),27.0)</f>
        <v>27</v>
      </c>
      <c r="AR881" s="14">
        <f>IFERROR(__xludf.DUMMYFUNCTION("""COMPUTED_VALUE"""),25.0)</f>
        <v>25</v>
      </c>
      <c r="AS881" s="14">
        <f>IFERROR(__xludf.DUMMYFUNCTION("""COMPUTED_VALUE"""),1.1)</f>
        <v>1.1</v>
      </c>
      <c r="AT881" s="14">
        <f>IFERROR(__xludf.DUMMYFUNCTION("""COMPUTED_VALUE"""),0.07)</f>
        <v>0.07</v>
      </c>
      <c r="AU881" s="14">
        <f>IFERROR(__xludf.DUMMYFUNCTION("""COMPUTED_VALUE"""),1.865E8)</f>
        <v>186500000</v>
      </c>
      <c r="AV881" s="14">
        <f>IFERROR(__xludf.DUMMYFUNCTION("""COMPUTED_VALUE"""),0.83)</f>
        <v>0.83</v>
      </c>
      <c r="AW881" s="14">
        <f>IFERROR(__xludf.DUMMYFUNCTION("""COMPUTED_VALUE"""),4.2)</f>
        <v>4.2</v>
      </c>
      <c r="AX881" s="14">
        <f>IFERROR(__xludf.DUMMYFUNCTION("""COMPUTED_VALUE"""),1.73E8)</f>
        <v>173000000</v>
      </c>
      <c r="AY881" s="14">
        <f>IFERROR(__xludf.DUMMYFUNCTION("""COMPUTED_VALUE"""),1.1)</f>
        <v>1.1</v>
      </c>
      <c r="AZ881" s="14">
        <f>IFERROR(__xludf.DUMMYFUNCTION("""COMPUTED_VALUE"""),0.099)</f>
        <v>0.099</v>
      </c>
      <c r="BA881" s="14">
        <f t="shared" si="1"/>
        <v>5.399</v>
      </c>
    </row>
    <row r="882" ht="14.25" customHeight="1">
      <c r="A882" s="10" t="str">
        <f>IFERROR(__xludf.DUMMYFUNCTION("""COMPUTED_VALUE"""),"140723MO01")</f>
        <v>140723MO01</v>
      </c>
      <c r="B882" s="12" t="str">
        <f>IFERROR(__xludf.DUMMYFUNCTION("""COMPUTED_VALUE"""),"CRN-El Virrey")</f>
        <v>CRN-El Virrey</v>
      </c>
      <c r="C882" s="12"/>
      <c r="D882" s="12"/>
      <c r="E882" s="44">
        <f>IFERROR(__xludf.DUMMYFUNCTION("""COMPUTED_VALUE"""),45121.0)</f>
        <v>45121</v>
      </c>
      <c r="F882" s="12" t="str">
        <f>IFERROR(__xludf.DUMMYFUNCTION("""COMPUTED_VALUE"""),"TIPO I")</f>
        <v>TIPO I</v>
      </c>
      <c r="G882" s="12" t="str">
        <f>IFERROR(__xludf.DUMMYFUNCTION("""COMPUTED_VALUE"""),"Se percibe olor, se observa color y material flotante en el cauce del canal. Durante la toma de las dos primeras alícuotas se presentan lloviznas leves.")</f>
        <v>Se percibe olor, se observa color y material flotante en el cauce del canal. Durante la toma de las dos primeras alícuotas se presentan lloviznas leves.</v>
      </c>
      <c r="H882" s="45">
        <f>IFERROR(__xludf.DUMMYFUNCTION("""COMPUTED_VALUE"""),0.3333333333321207)</f>
        <v>0.3333333333</v>
      </c>
      <c r="I882" s="45">
        <f>IFERROR(__xludf.DUMMYFUNCTION("""COMPUTED_VALUE"""),0.4166666666678793)</f>
        <v>0.4166666667</v>
      </c>
      <c r="J882" s="12">
        <f>IFERROR(__xludf.DUMMYFUNCTION("""COMPUTED_VALUE"""),2.6)</f>
        <v>2.6</v>
      </c>
      <c r="K882" s="12">
        <f>IFERROR(__xludf.DUMMYFUNCTION("""COMPUTED_VALUE"""),0.27)</f>
        <v>0.27</v>
      </c>
      <c r="L882" s="14">
        <f>IFERROR(__xludf.DUMMYFUNCTION("""COMPUTED_VALUE"""),244.579)</f>
        <v>244.579</v>
      </c>
      <c r="M882" s="14">
        <f>IFERROR(__xludf.DUMMYFUNCTION("""COMPUTED_VALUE"""),243.033)</f>
        <v>243.033</v>
      </c>
      <c r="N882" s="14">
        <f>IFERROR(__xludf.DUMMYFUNCTION("""COMPUTED_VALUE"""),232.734)</f>
        <v>232.734</v>
      </c>
      <c r="O882" s="14">
        <f>IFERROR(__xludf.DUMMYFUNCTION("""COMPUTED_VALUE"""),208.268)</f>
        <v>208.268</v>
      </c>
      <c r="P882" s="14">
        <f>IFERROR(__xludf.DUMMYFUNCTION("""COMPUTED_VALUE"""),206.582)</f>
        <v>206.582</v>
      </c>
      <c r="Q882" s="14">
        <f>IFERROR(__xludf.DUMMYFUNCTION("""COMPUTED_VALUE"""),227.039)</f>
        <v>227.039</v>
      </c>
      <c r="R882" s="48">
        <f>IFERROR(__xludf.DUMMYFUNCTION("""COMPUTED_VALUE"""),8.0)</f>
        <v>8</v>
      </c>
      <c r="S882" s="48">
        <f>IFERROR(__xludf.DUMMYFUNCTION("""COMPUTED_VALUE"""),7.82)</f>
        <v>7.82</v>
      </c>
      <c r="T882" s="48">
        <f>IFERROR(__xludf.DUMMYFUNCTION("""COMPUTED_VALUE"""),8.07)</f>
        <v>8.07</v>
      </c>
      <c r="U882" s="48">
        <f>IFERROR(__xludf.DUMMYFUNCTION("""COMPUTED_VALUE"""),7.7)</f>
        <v>7.7</v>
      </c>
      <c r="V882" s="48">
        <f>IFERROR(__xludf.DUMMYFUNCTION("""COMPUTED_VALUE"""),7.62)</f>
        <v>7.62</v>
      </c>
      <c r="W882" s="14">
        <f>IFERROR(__xludf.DUMMYFUNCTION("""COMPUTED_VALUE"""),7.8420000000000005)</f>
        <v>7.842</v>
      </c>
      <c r="X882" s="14">
        <f>IFERROR(__xludf.DUMMYFUNCTION("""COMPUTED_VALUE"""),16.6)</f>
        <v>16.6</v>
      </c>
      <c r="Y882" s="14">
        <f>IFERROR(__xludf.DUMMYFUNCTION("""COMPUTED_VALUE"""),16.2)</f>
        <v>16.2</v>
      </c>
      <c r="Z882" s="14">
        <f>IFERROR(__xludf.DUMMYFUNCTION("""COMPUTED_VALUE"""),16.3)</f>
        <v>16.3</v>
      </c>
      <c r="AA882" s="14">
        <f>IFERROR(__xludf.DUMMYFUNCTION("""COMPUTED_VALUE"""),17.4)</f>
        <v>17.4</v>
      </c>
      <c r="AB882" s="14">
        <f>IFERROR(__xludf.DUMMYFUNCTION("""COMPUTED_VALUE"""),17.1)</f>
        <v>17.1</v>
      </c>
      <c r="AC882" s="14">
        <f>IFERROR(__xludf.DUMMYFUNCTION("""COMPUTED_VALUE"""),16.72)</f>
        <v>16.72</v>
      </c>
      <c r="AD882" s="48">
        <f>IFERROR(__xludf.DUMMYFUNCTION("""COMPUTED_VALUE"""),271.0)</f>
        <v>271</v>
      </c>
      <c r="AE882" s="48">
        <f>IFERROR(__xludf.DUMMYFUNCTION("""COMPUTED_VALUE"""),257.0)</f>
        <v>257</v>
      </c>
      <c r="AF882" s="48">
        <f>IFERROR(__xludf.DUMMYFUNCTION("""COMPUTED_VALUE"""),262.0)</f>
        <v>262</v>
      </c>
      <c r="AG882" s="48">
        <f>IFERROR(__xludf.DUMMYFUNCTION("""COMPUTED_VALUE"""),175.6)</f>
        <v>175.6</v>
      </c>
      <c r="AH882" s="48">
        <f>IFERROR(__xludf.DUMMYFUNCTION("""COMPUTED_VALUE"""),178.4)</f>
        <v>178.4</v>
      </c>
      <c r="AI882" s="14">
        <f>IFERROR(__xludf.DUMMYFUNCTION("""COMPUTED_VALUE"""),228.8)</f>
        <v>228.8</v>
      </c>
      <c r="AJ882" s="14">
        <f>IFERROR(__xludf.DUMMYFUNCTION("""COMPUTED_VALUE"""),4.56)</f>
        <v>4.56</v>
      </c>
      <c r="AK882" s="14">
        <f>IFERROR(__xludf.DUMMYFUNCTION("""COMPUTED_VALUE"""),3.74)</f>
        <v>3.74</v>
      </c>
      <c r="AL882" s="14">
        <f>IFERROR(__xludf.DUMMYFUNCTION("""COMPUTED_VALUE"""),4.09)</f>
        <v>4.09</v>
      </c>
      <c r="AM882" s="14">
        <f>IFERROR(__xludf.DUMMYFUNCTION("""COMPUTED_VALUE"""),5.02)</f>
        <v>5.02</v>
      </c>
      <c r="AN882" s="14">
        <f>IFERROR(__xludf.DUMMYFUNCTION("""COMPUTED_VALUE"""),4.68)</f>
        <v>4.68</v>
      </c>
      <c r="AO882" s="14">
        <f>IFERROR(__xludf.DUMMYFUNCTION("""COMPUTED_VALUE"""),4.418)</f>
        <v>4.418</v>
      </c>
      <c r="AP882" s="14">
        <f>IFERROR(__xludf.DUMMYFUNCTION("""COMPUTED_VALUE"""),70.0)</f>
        <v>70</v>
      </c>
      <c r="AQ882" s="14">
        <f>IFERROR(__xludf.DUMMYFUNCTION("""COMPUTED_VALUE"""),106.0)</f>
        <v>106</v>
      </c>
      <c r="AR882" s="14">
        <f>IFERROR(__xludf.DUMMYFUNCTION("""COMPUTED_VALUE"""),75.0)</f>
        <v>75</v>
      </c>
      <c r="AS882" s="14">
        <f>IFERROR(__xludf.DUMMYFUNCTION("""COMPUTED_VALUE"""),1.0)</f>
        <v>1</v>
      </c>
      <c r="AT882" s="14">
        <f>IFERROR(__xludf.DUMMYFUNCTION("""COMPUTED_VALUE"""),0.98)</f>
        <v>0.98</v>
      </c>
      <c r="AU882" s="14">
        <f>IFERROR(__xludf.DUMMYFUNCTION("""COMPUTED_VALUE"""),1.894E8)</f>
        <v>189400000</v>
      </c>
      <c r="AV882" s="14">
        <f>IFERROR(__xludf.DUMMYFUNCTION("""COMPUTED_VALUE"""),1.46)</f>
        <v>1.46</v>
      </c>
      <c r="AW882" s="14">
        <f>IFERROR(__xludf.DUMMYFUNCTION("""COMPUTED_VALUE"""),15.4)</f>
        <v>15.4</v>
      </c>
      <c r="AX882" s="14">
        <f>IFERROR(__xludf.DUMMYFUNCTION("""COMPUTED_VALUE"""),1.995E7)</f>
        <v>19950000</v>
      </c>
      <c r="AY882" s="14">
        <f>IFERROR(__xludf.DUMMYFUNCTION("""COMPUTED_VALUE"""),0.5)</f>
        <v>0.5</v>
      </c>
      <c r="AZ882" s="14">
        <f>IFERROR(__xludf.DUMMYFUNCTION("""COMPUTED_VALUE"""),0.007)</f>
        <v>0.007</v>
      </c>
      <c r="BA882" s="14">
        <f t="shared" si="1"/>
        <v>15.907</v>
      </c>
    </row>
    <row r="883" ht="14.25" customHeight="1">
      <c r="A883" s="10" t="str">
        <f>IFERROR(__xludf.DUMMYFUNCTION("""COMPUTED_VALUE"""),"140723AN04")</f>
        <v>140723AN04</v>
      </c>
      <c r="B883" s="12" t="str">
        <f>IFERROR(__xludf.DUMMYFUNCTION("""COMPUTED_VALUE"""),"CRN-La Castellana")</f>
        <v>CRN-La Castellana</v>
      </c>
      <c r="C883" s="12"/>
      <c r="D883" s="12"/>
      <c r="E883" s="44">
        <f>IFERROR(__xludf.DUMMYFUNCTION("""COMPUTED_VALUE"""),45121.0)</f>
        <v>45121</v>
      </c>
      <c r="F883" s="12" t="str">
        <f>IFERROR(__xludf.DUMMYFUNCTION("""COMPUTED_VALUE"""),"TIPO I")</f>
        <v>TIPO I</v>
      </c>
      <c r="G883" s="12" t="str">
        <f>IFERROR(__xludf.DUMMYFUNCTION("""COMPUTED_VALUE"""),"Se percibe olor, se observa color, durante el desarrollo del monitoreo se presentan lluvias fuertes en la primera alícuota por lo cual no es posible tomarla y al momento de tomar la tercera y cuarta alícuota se presentan lluvias leves.")</f>
        <v>Se percibe olor, se observa color, durante el desarrollo del monitoreo se presentan lluvias fuertes en la primera alícuota por lo cual no es posible tomarla y al momento de tomar la tercera y cuarta alícuota se presentan lluvias leves.</v>
      </c>
      <c r="H883" s="45">
        <f>IFERROR(__xludf.DUMMYFUNCTION("""COMPUTED_VALUE"""),0.5833333333321207)</f>
        <v>0.5833333333</v>
      </c>
      <c r="I883" s="45">
        <f>IFERROR(__xludf.DUMMYFUNCTION("""COMPUTED_VALUE"""),0.6666666666678793)</f>
        <v>0.6666666667</v>
      </c>
      <c r="J883" s="12">
        <f>IFERROR(__xludf.DUMMYFUNCTION("""COMPUTED_VALUE"""),5.9)</f>
        <v>5.9</v>
      </c>
      <c r="K883" s="12">
        <f>IFERROR(__xludf.DUMMYFUNCTION("""COMPUTED_VALUE"""),0.29)</f>
        <v>0.29</v>
      </c>
      <c r="L883" s="14"/>
      <c r="M883" s="14">
        <f>IFERROR(__xludf.DUMMYFUNCTION("""COMPUTED_VALUE"""),423.472)</f>
        <v>423.472</v>
      </c>
      <c r="N883" s="14">
        <f>IFERROR(__xludf.DUMMYFUNCTION("""COMPUTED_VALUE"""),440.418)</f>
        <v>440.418</v>
      </c>
      <c r="O883" s="14">
        <f>IFERROR(__xludf.DUMMYFUNCTION("""COMPUTED_VALUE"""),410.891)</f>
        <v>410.891</v>
      </c>
      <c r="P883" s="14">
        <f>IFERROR(__xludf.DUMMYFUNCTION("""COMPUTED_VALUE"""),405.98)</f>
        <v>405.98</v>
      </c>
      <c r="Q883" s="14">
        <f>IFERROR(__xludf.DUMMYFUNCTION("""COMPUTED_VALUE"""),420.19)</f>
        <v>420.19</v>
      </c>
      <c r="R883" s="48"/>
      <c r="S883" s="48">
        <f>IFERROR(__xludf.DUMMYFUNCTION("""COMPUTED_VALUE"""),8.16)</f>
        <v>8.16</v>
      </c>
      <c r="T883" s="48">
        <f>IFERROR(__xludf.DUMMYFUNCTION("""COMPUTED_VALUE"""),8.07)</f>
        <v>8.07</v>
      </c>
      <c r="U883" s="48">
        <f>IFERROR(__xludf.DUMMYFUNCTION("""COMPUTED_VALUE"""),7.96)</f>
        <v>7.96</v>
      </c>
      <c r="V883" s="48">
        <f>IFERROR(__xludf.DUMMYFUNCTION("""COMPUTED_VALUE"""),8.12)</f>
        <v>8.12</v>
      </c>
      <c r="W883" s="14">
        <f>IFERROR(__xludf.DUMMYFUNCTION("""COMPUTED_VALUE"""),8.0775)</f>
        <v>8.0775</v>
      </c>
      <c r="X883" s="14"/>
      <c r="Y883" s="14">
        <f>IFERROR(__xludf.DUMMYFUNCTION("""COMPUTED_VALUE"""),21.0)</f>
        <v>21</v>
      </c>
      <c r="Z883" s="14">
        <f>IFERROR(__xludf.DUMMYFUNCTION("""COMPUTED_VALUE"""),20.4)</f>
        <v>20.4</v>
      </c>
      <c r="AA883" s="14">
        <f>IFERROR(__xludf.DUMMYFUNCTION("""COMPUTED_VALUE"""),20.9)</f>
        <v>20.9</v>
      </c>
      <c r="AB883" s="14">
        <f>IFERROR(__xludf.DUMMYFUNCTION("""COMPUTED_VALUE"""),20.6)</f>
        <v>20.6</v>
      </c>
      <c r="AC883" s="14">
        <f>IFERROR(__xludf.DUMMYFUNCTION("""COMPUTED_VALUE"""),20.725)</f>
        <v>20.725</v>
      </c>
      <c r="AD883" s="48"/>
      <c r="AE883" s="48">
        <f>IFERROR(__xludf.DUMMYFUNCTION("""COMPUTED_VALUE"""),541.0)</f>
        <v>541</v>
      </c>
      <c r="AF883" s="48">
        <f>IFERROR(__xludf.DUMMYFUNCTION("""COMPUTED_VALUE"""),461.0)</f>
        <v>461</v>
      </c>
      <c r="AG883" s="48">
        <f>IFERROR(__xludf.DUMMYFUNCTION("""COMPUTED_VALUE"""),485.0)</f>
        <v>485</v>
      </c>
      <c r="AH883" s="48">
        <f>IFERROR(__xludf.DUMMYFUNCTION("""COMPUTED_VALUE"""),511.0)</f>
        <v>511</v>
      </c>
      <c r="AI883" s="14">
        <f>IFERROR(__xludf.DUMMYFUNCTION("""COMPUTED_VALUE"""),499.5)</f>
        <v>499.5</v>
      </c>
      <c r="AJ883" s="14"/>
      <c r="AK883" s="14">
        <f>IFERROR(__xludf.DUMMYFUNCTION("""COMPUTED_VALUE"""),3.6)</f>
        <v>3.6</v>
      </c>
      <c r="AL883" s="14">
        <f>IFERROR(__xludf.DUMMYFUNCTION("""COMPUTED_VALUE"""),4.3)</f>
        <v>4.3</v>
      </c>
      <c r="AM883" s="14">
        <f>IFERROR(__xludf.DUMMYFUNCTION("""COMPUTED_VALUE"""),3.7)</f>
        <v>3.7</v>
      </c>
      <c r="AN883" s="14">
        <f>IFERROR(__xludf.DUMMYFUNCTION("""COMPUTED_VALUE"""),3.5)</f>
        <v>3.5</v>
      </c>
      <c r="AO883" s="14">
        <f>IFERROR(__xludf.DUMMYFUNCTION("""COMPUTED_VALUE"""),3.7750000000000004)</f>
        <v>3.775</v>
      </c>
      <c r="AP883" s="14">
        <f>IFERROR(__xludf.DUMMYFUNCTION("""COMPUTED_VALUE"""),173.0)</f>
        <v>173</v>
      </c>
      <c r="AQ883" s="14">
        <f>IFERROR(__xludf.DUMMYFUNCTION("""COMPUTED_VALUE"""),259.0)</f>
        <v>259</v>
      </c>
      <c r="AR883" s="14">
        <f>IFERROR(__xludf.DUMMYFUNCTION("""COMPUTED_VALUE"""),145.0)</f>
        <v>145</v>
      </c>
      <c r="AS883" s="14">
        <f>IFERROR(__xludf.DUMMYFUNCTION("""COMPUTED_VALUE"""),70.0)</f>
        <v>70</v>
      </c>
      <c r="AT883" s="14">
        <f>IFERROR(__xludf.DUMMYFUNCTION("""COMPUTED_VALUE"""),4.78)</f>
        <v>4.78</v>
      </c>
      <c r="AU883" s="14">
        <f>IFERROR(__xludf.DUMMYFUNCTION("""COMPUTED_VALUE"""),1.014E8)</f>
        <v>101400000</v>
      </c>
      <c r="AV883" s="14">
        <f>IFERROR(__xludf.DUMMYFUNCTION("""COMPUTED_VALUE"""),2.95)</f>
        <v>2.95</v>
      </c>
      <c r="AW883" s="14">
        <f>IFERROR(__xludf.DUMMYFUNCTION("""COMPUTED_VALUE"""),37.8)</f>
        <v>37.8</v>
      </c>
      <c r="AX883" s="14">
        <f>IFERROR(__xludf.DUMMYFUNCTION("""COMPUTED_VALUE"""),5810000.0)</f>
        <v>5810000</v>
      </c>
      <c r="AY883" s="14">
        <f>IFERROR(__xludf.DUMMYFUNCTION("""COMPUTED_VALUE"""),0.7)</f>
        <v>0.7</v>
      </c>
      <c r="AZ883" s="14">
        <f>IFERROR(__xludf.DUMMYFUNCTION("""COMPUTED_VALUE"""),0.007)</f>
        <v>0.007</v>
      </c>
      <c r="BA883" s="14">
        <f t="shared" si="1"/>
        <v>38.507</v>
      </c>
    </row>
    <row r="884" ht="14.25" customHeight="1">
      <c r="A884" s="10" t="str">
        <f>IFERROR(__xludf.DUMMYFUNCTION("""COMPUTED_VALUE"""),"140723MO02")</f>
        <v>140723MO02</v>
      </c>
      <c r="B884" s="12" t="str">
        <f>IFERROR(__xludf.DUMMYFUNCTION("""COMPUTED_VALUE"""),"CRN-Quebrada Chicó")</f>
        <v>CRN-Quebrada Chicó</v>
      </c>
      <c r="C884" s="12"/>
      <c r="D884" s="12"/>
      <c r="E884" s="44">
        <f>IFERROR(__xludf.DUMMYFUNCTION("""COMPUTED_VALUE"""),45121.0)</f>
        <v>45121</v>
      </c>
      <c r="F884" s="12" t="str">
        <f>IFERROR(__xludf.DUMMYFUNCTION("""COMPUTED_VALUE"""),"TIPO I")</f>
        <v>TIPO I</v>
      </c>
      <c r="G884" s="12" t="str">
        <f>IFERROR(__xludf.DUMMYFUNCTION("""COMPUTED_VALUE"""),"Canal artificial en mampostería, se observa lama en el lecho del canal y residuos sólidos alrededor del punto, se percibe olor y no se observa color en la muestra de agua. Altitud 2610 msnm.")</f>
        <v>Canal artificial en mampostería, se observa lama en el lecho del canal y residuos sólidos alrededor del punto, se percibe olor y no se observa color en la muestra de agua. Altitud 2610 msnm.</v>
      </c>
      <c r="H884" s="45">
        <f>IFERROR(__xludf.DUMMYFUNCTION("""COMPUTED_VALUE"""),0.5)</f>
        <v>0.5</v>
      </c>
      <c r="I884" s="45">
        <f>IFERROR(__xludf.DUMMYFUNCTION("""COMPUTED_VALUE"""),0.5833333333321207)</f>
        <v>0.5833333333</v>
      </c>
      <c r="J884" s="12"/>
      <c r="K884" s="12"/>
      <c r="L884" s="14">
        <f>IFERROR(__xludf.DUMMYFUNCTION("""COMPUTED_VALUE"""),14.591)</f>
        <v>14.591</v>
      </c>
      <c r="M884" s="14">
        <f>IFERROR(__xludf.DUMMYFUNCTION("""COMPUTED_VALUE"""),13.324)</f>
        <v>13.324</v>
      </c>
      <c r="N884" s="14">
        <f>IFERROR(__xludf.DUMMYFUNCTION("""COMPUTED_VALUE"""),13.113)</f>
        <v>13.113</v>
      </c>
      <c r="O884" s="14">
        <f>IFERROR(__xludf.DUMMYFUNCTION("""COMPUTED_VALUE"""),12.268)</f>
        <v>12.268</v>
      </c>
      <c r="P884" s="14">
        <f>IFERROR(__xludf.DUMMYFUNCTION("""COMPUTED_VALUE"""),11.635)</f>
        <v>11.635</v>
      </c>
      <c r="Q884" s="14">
        <f>IFERROR(__xludf.DUMMYFUNCTION("""COMPUTED_VALUE"""),12.986)</f>
        <v>12.986</v>
      </c>
      <c r="R884" s="48">
        <f>IFERROR(__xludf.DUMMYFUNCTION("""COMPUTED_VALUE"""),7.7)</f>
        <v>7.7</v>
      </c>
      <c r="S884" s="48">
        <f>IFERROR(__xludf.DUMMYFUNCTION("""COMPUTED_VALUE"""),7.53)</f>
        <v>7.53</v>
      </c>
      <c r="T884" s="48">
        <f>IFERROR(__xludf.DUMMYFUNCTION("""COMPUTED_VALUE"""),7.14)</f>
        <v>7.14</v>
      </c>
      <c r="U884" s="48">
        <f>IFERROR(__xludf.DUMMYFUNCTION("""COMPUTED_VALUE"""),7.22)</f>
        <v>7.22</v>
      </c>
      <c r="V884" s="48">
        <f>IFERROR(__xludf.DUMMYFUNCTION("""COMPUTED_VALUE"""),7.26)</f>
        <v>7.26</v>
      </c>
      <c r="W884" s="14">
        <f>IFERROR(__xludf.DUMMYFUNCTION("""COMPUTED_VALUE"""),7.37)</f>
        <v>7.37</v>
      </c>
      <c r="X884" s="14">
        <f>IFERROR(__xludf.DUMMYFUNCTION("""COMPUTED_VALUE"""),15.6)</f>
        <v>15.6</v>
      </c>
      <c r="Y884" s="14">
        <f>IFERROR(__xludf.DUMMYFUNCTION("""COMPUTED_VALUE"""),16.2)</f>
        <v>16.2</v>
      </c>
      <c r="Z884" s="14">
        <f>IFERROR(__xludf.DUMMYFUNCTION("""COMPUTED_VALUE"""),15.5)</f>
        <v>15.5</v>
      </c>
      <c r="AA884" s="14">
        <f>IFERROR(__xludf.DUMMYFUNCTION("""COMPUTED_VALUE"""),15.5)</f>
        <v>15.5</v>
      </c>
      <c r="AB884" s="14">
        <f>IFERROR(__xludf.DUMMYFUNCTION("""COMPUTED_VALUE"""),15.3)</f>
        <v>15.3</v>
      </c>
      <c r="AC884" s="14">
        <f>IFERROR(__xludf.DUMMYFUNCTION("""COMPUTED_VALUE"""),15.62)</f>
        <v>15.62</v>
      </c>
      <c r="AD884" s="48">
        <f>IFERROR(__xludf.DUMMYFUNCTION("""COMPUTED_VALUE"""),114.9)</f>
        <v>114.9</v>
      </c>
      <c r="AE884" s="48">
        <f>IFERROR(__xludf.DUMMYFUNCTION("""COMPUTED_VALUE"""),99.3)</f>
        <v>99.3</v>
      </c>
      <c r="AF884" s="48">
        <f>IFERROR(__xludf.DUMMYFUNCTION("""COMPUTED_VALUE"""),91.5)</f>
        <v>91.5</v>
      </c>
      <c r="AG884" s="48">
        <f>IFERROR(__xludf.DUMMYFUNCTION("""COMPUTED_VALUE"""),82.2)</f>
        <v>82.2</v>
      </c>
      <c r="AH884" s="48">
        <f>IFERROR(__xludf.DUMMYFUNCTION("""COMPUTED_VALUE"""),83.6)</f>
        <v>83.6</v>
      </c>
      <c r="AI884" s="14">
        <f>IFERROR(__xludf.DUMMYFUNCTION("""COMPUTED_VALUE"""),94.3)</f>
        <v>94.3</v>
      </c>
      <c r="AJ884" s="14">
        <f>IFERROR(__xludf.DUMMYFUNCTION("""COMPUTED_VALUE"""),5.76)</f>
        <v>5.76</v>
      </c>
      <c r="AK884" s="14">
        <f>IFERROR(__xludf.DUMMYFUNCTION("""COMPUTED_VALUE"""),5.84)</f>
        <v>5.84</v>
      </c>
      <c r="AL884" s="14">
        <f>IFERROR(__xludf.DUMMYFUNCTION("""COMPUTED_VALUE"""),6.19)</f>
        <v>6.19</v>
      </c>
      <c r="AM884" s="14">
        <f>IFERROR(__xludf.DUMMYFUNCTION("""COMPUTED_VALUE"""),5.77)</f>
        <v>5.77</v>
      </c>
      <c r="AN884" s="14">
        <f>IFERROR(__xludf.DUMMYFUNCTION("""COMPUTED_VALUE"""),5.92)</f>
        <v>5.92</v>
      </c>
      <c r="AO884" s="14">
        <f>IFERROR(__xludf.DUMMYFUNCTION("""COMPUTED_VALUE"""),5.895999999999999)</f>
        <v>5.896</v>
      </c>
      <c r="AP884" s="14">
        <f>IFERROR(__xludf.DUMMYFUNCTION("""COMPUTED_VALUE"""),8.0)</f>
        <v>8</v>
      </c>
      <c r="AQ884" s="14">
        <f>IFERROR(__xludf.DUMMYFUNCTION("""COMPUTED_VALUE"""),13.0)</f>
        <v>13</v>
      </c>
      <c r="AR884" s="14">
        <f>IFERROR(__xludf.DUMMYFUNCTION("""COMPUTED_VALUE"""),13.0)</f>
        <v>13</v>
      </c>
      <c r="AS884" s="14">
        <f>IFERROR(__xludf.DUMMYFUNCTION("""COMPUTED_VALUE"""),1.0)</f>
        <v>1</v>
      </c>
      <c r="AT884" s="14">
        <f>IFERROR(__xludf.DUMMYFUNCTION("""COMPUTED_VALUE"""),0.14)</f>
        <v>0.14</v>
      </c>
      <c r="AU884" s="14">
        <f>IFERROR(__xludf.DUMMYFUNCTION("""COMPUTED_VALUE"""),1.535E8)</f>
        <v>153500000</v>
      </c>
      <c r="AV884" s="14">
        <f>IFERROR(__xludf.DUMMYFUNCTION("""COMPUTED_VALUE"""),0.18)</f>
        <v>0.18</v>
      </c>
      <c r="AW884" s="14">
        <f>IFERROR(__xludf.DUMMYFUNCTION("""COMPUTED_VALUE"""),1.4)</f>
        <v>1.4</v>
      </c>
      <c r="AX884" s="14">
        <f>IFERROR(__xludf.DUMMYFUNCTION("""COMPUTED_VALUE"""),1.395E7)</f>
        <v>13950000</v>
      </c>
      <c r="AY884" s="14">
        <f>IFERROR(__xludf.DUMMYFUNCTION("""COMPUTED_VALUE"""),1.8)</f>
        <v>1.8</v>
      </c>
      <c r="AZ884" s="14">
        <f>IFERROR(__xludf.DUMMYFUNCTION("""COMPUTED_VALUE"""),0.13)</f>
        <v>0.13</v>
      </c>
      <c r="BA884" s="14">
        <f t="shared" si="1"/>
        <v>3.33</v>
      </c>
    </row>
    <row r="885" ht="14.25" customHeight="1">
      <c r="A885" s="10" t="str">
        <f>IFERROR(__xludf.DUMMYFUNCTION("""COMPUTED_VALUE"""),"170723WI03")</f>
        <v>170723WI03</v>
      </c>
      <c r="B885" s="12" t="str">
        <f>IFERROR(__xludf.DUMMYFUNCTION("""COMPUTED_VALUE"""),"QTR-Mochuelo Bajo")</f>
        <v>QTR-Mochuelo Bajo</v>
      </c>
      <c r="C885" s="12"/>
      <c r="D885" s="12"/>
      <c r="E885" s="44">
        <f>IFERROR(__xludf.DUMMYFUNCTION("""COMPUTED_VALUE"""),45124.0)</f>
        <v>45124</v>
      </c>
      <c r="F885" s="12" t="str">
        <f>IFERROR(__xludf.DUMMYFUNCTION("""COMPUTED_VALUE"""),"TIPO I")</f>
        <v>TIPO I</v>
      </c>
      <c r="G885" s="12" t="str">
        <f>IFERROR(__xludf.DUMMYFUNCTION("""COMPUTED_VALUE"""),"Canal natural con lecho rocoso; se percibe olor, se observa color, residuos sólidos alrededor del punto de monitoreo, material flotante y espuma en el cauce del canal. Altitud 2649 msnm.")</f>
        <v>Canal natural con lecho rocoso; se percibe olor, se observa color, residuos sólidos alrededor del punto de monitoreo, material flotante y espuma en el cauce del canal. Altitud 2649 msnm.</v>
      </c>
      <c r="H885" s="45">
        <f>IFERROR(__xludf.DUMMYFUNCTION("""COMPUTED_VALUE"""),0.5833333333321207)</f>
        <v>0.5833333333</v>
      </c>
      <c r="I885" s="45">
        <f>IFERROR(__xludf.DUMMYFUNCTION("""COMPUTED_VALUE"""),0.6666666666678793)</f>
        <v>0.6666666667</v>
      </c>
      <c r="J885" s="12">
        <f>IFERROR(__xludf.DUMMYFUNCTION("""COMPUTED_VALUE"""),1.15)</f>
        <v>1.15</v>
      </c>
      <c r="K885" s="12">
        <f>IFERROR(__xludf.DUMMYFUNCTION("""COMPUTED_VALUE"""),0.16)</f>
        <v>0.16</v>
      </c>
      <c r="L885" s="14">
        <f>IFERROR(__xludf.DUMMYFUNCTION("""COMPUTED_VALUE"""),31.136)</f>
        <v>31.136</v>
      </c>
      <c r="M885" s="14">
        <f>IFERROR(__xludf.DUMMYFUNCTION("""COMPUTED_VALUE"""),30.816)</f>
        <v>30.816</v>
      </c>
      <c r="N885" s="14">
        <f>IFERROR(__xludf.DUMMYFUNCTION("""COMPUTED_VALUE"""),32.357)</f>
        <v>32.357</v>
      </c>
      <c r="O885" s="14">
        <f>IFERROR(__xludf.DUMMYFUNCTION("""COMPUTED_VALUE"""),31.68)</f>
        <v>31.68</v>
      </c>
      <c r="P885" s="14">
        <f>IFERROR(__xludf.DUMMYFUNCTION("""COMPUTED_VALUE"""),30.72)</f>
        <v>30.72</v>
      </c>
      <c r="Q885" s="14">
        <f>IFERROR(__xludf.DUMMYFUNCTION("""COMPUTED_VALUE"""),31.342)</f>
        <v>31.342</v>
      </c>
      <c r="R885" s="48">
        <f>IFERROR(__xludf.DUMMYFUNCTION("""COMPUTED_VALUE"""),7.77)</f>
        <v>7.77</v>
      </c>
      <c r="S885" s="48">
        <f>IFERROR(__xludf.DUMMYFUNCTION("""COMPUTED_VALUE"""),7.83)</f>
        <v>7.83</v>
      </c>
      <c r="T885" s="48">
        <f>IFERROR(__xludf.DUMMYFUNCTION("""COMPUTED_VALUE"""),7.88)</f>
        <v>7.88</v>
      </c>
      <c r="U885" s="48">
        <f>IFERROR(__xludf.DUMMYFUNCTION("""COMPUTED_VALUE"""),7.47)</f>
        <v>7.47</v>
      </c>
      <c r="V885" s="48">
        <f>IFERROR(__xludf.DUMMYFUNCTION("""COMPUTED_VALUE"""),7.69)</f>
        <v>7.69</v>
      </c>
      <c r="W885" s="14">
        <f>IFERROR(__xludf.DUMMYFUNCTION("""COMPUTED_VALUE"""),7.728)</f>
        <v>7.728</v>
      </c>
      <c r="X885" s="14">
        <f>IFERROR(__xludf.DUMMYFUNCTION("""COMPUTED_VALUE"""),16.2)</f>
        <v>16.2</v>
      </c>
      <c r="Y885" s="14">
        <f>IFERROR(__xludf.DUMMYFUNCTION("""COMPUTED_VALUE"""),16.3)</f>
        <v>16.3</v>
      </c>
      <c r="Z885" s="14">
        <f>IFERROR(__xludf.DUMMYFUNCTION("""COMPUTED_VALUE"""),16.6)</f>
        <v>16.6</v>
      </c>
      <c r="AA885" s="14">
        <f>IFERROR(__xludf.DUMMYFUNCTION("""COMPUTED_VALUE"""),16.7)</f>
        <v>16.7</v>
      </c>
      <c r="AB885" s="14">
        <f>IFERROR(__xludf.DUMMYFUNCTION("""COMPUTED_VALUE"""),16.7)</f>
        <v>16.7</v>
      </c>
      <c r="AC885" s="14">
        <f>IFERROR(__xludf.DUMMYFUNCTION("""COMPUTED_VALUE"""),16.5)</f>
        <v>16.5</v>
      </c>
      <c r="AD885" s="48">
        <f>IFERROR(__xludf.DUMMYFUNCTION("""COMPUTED_VALUE"""),565.0)</f>
        <v>565</v>
      </c>
      <c r="AE885" s="48">
        <f>IFERROR(__xludf.DUMMYFUNCTION("""COMPUTED_VALUE"""),562.0)</f>
        <v>562</v>
      </c>
      <c r="AF885" s="48">
        <f>IFERROR(__xludf.DUMMYFUNCTION("""COMPUTED_VALUE"""),502.0)</f>
        <v>502</v>
      </c>
      <c r="AG885" s="48">
        <f>IFERROR(__xludf.DUMMYFUNCTION("""COMPUTED_VALUE"""),539.0)</f>
        <v>539</v>
      </c>
      <c r="AH885" s="48">
        <f>IFERROR(__xludf.DUMMYFUNCTION("""COMPUTED_VALUE"""),499.0)</f>
        <v>499</v>
      </c>
      <c r="AI885" s="14">
        <f>IFERROR(__xludf.DUMMYFUNCTION("""COMPUTED_VALUE"""),533.4)</f>
        <v>533.4</v>
      </c>
      <c r="AJ885" s="14">
        <f>IFERROR(__xludf.DUMMYFUNCTION("""COMPUTED_VALUE"""),5.26)</f>
        <v>5.26</v>
      </c>
      <c r="AK885" s="14">
        <f>IFERROR(__xludf.DUMMYFUNCTION("""COMPUTED_VALUE"""),4.87)</f>
        <v>4.87</v>
      </c>
      <c r="AL885" s="14">
        <f>IFERROR(__xludf.DUMMYFUNCTION("""COMPUTED_VALUE"""),4.98)</f>
        <v>4.98</v>
      </c>
      <c r="AM885" s="14">
        <f>IFERROR(__xludf.DUMMYFUNCTION("""COMPUTED_VALUE"""),4.72)</f>
        <v>4.72</v>
      </c>
      <c r="AN885" s="14">
        <f>IFERROR(__xludf.DUMMYFUNCTION("""COMPUTED_VALUE"""),5.05)</f>
        <v>5.05</v>
      </c>
      <c r="AO885" s="14">
        <f>IFERROR(__xludf.DUMMYFUNCTION("""COMPUTED_VALUE"""),4.976)</f>
        <v>4.976</v>
      </c>
      <c r="AP885" s="14">
        <f>IFERROR(__xludf.DUMMYFUNCTION("""COMPUTED_VALUE"""),85.0)</f>
        <v>85</v>
      </c>
      <c r="AQ885" s="14">
        <f>IFERROR(__xludf.DUMMYFUNCTION("""COMPUTED_VALUE"""),125.0)</f>
        <v>125</v>
      </c>
      <c r="AR885" s="14">
        <f>IFERROR(__xludf.DUMMYFUNCTION("""COMPUTED_VALUE"""),73.0)</f>
        <v>73</v>
      </c>
      <c r="AS885" s="14">
        <f>IFERROR(__xludf.DUMMYFUNCTION("""COMPUTED_VALUE"""),6.1)</f>
        <v>6.1</v>
      </c>
      <c r="AT885" s="14">
        <f>IFERROR(__xludf.DUMMYFUNCTION("""COMPUTED_VALUE"""),0.93)</f>
        <v>0.93</v>
      </c>
      <c r="AU885" s="14">
        <f>IFERROR(__xludf.DUMMYFUNCTION("""COMPUTED_VALUE"""),7080000.0)</f>
        <v>7080000</v>
      </c>
      <c r="AV885" s="14">
        <f>IFERROR(__xludf.DUMMYFUNCTION("""COMPUTED_VALUE"""),1.36)</f>
        <v>1.36</v>
      </c>
      <c r="AW885" s="14">
        <f>IFERROR(__xludf.DUMMYFUNCTION("""COMPUTED_VALUE"""),15.4)</f>
        <v>15.4</v>
      </c>
      <c r="AX885" s="14">
        <f>IFERROR(__xludf.DUMMYFUNCTION("""COMPUTED_VALUE"""),61600.0)</f>
        <v>61600</v>
      </c>
      <c r="AY885" s="14">
        <f>IFERROR(__xludf.DUMMYFUNCTION("""COMPUTED_VALUE"""),0.7)</f>
        <v>0.7</v>
      </c>
      <c r="AZ885" s="14">
        <f>IFERROR(__xludf.DUMMYFUNCTION("""COMPUTED_VALUE"""),0.007)</f>
        <v>0.007</v>
      </c>
      <c r="BA885" s="14">
        <f t="shared" si="1"/>
        <v>16.107</v>
      </c>
    </row>
    <row r="886" ht="14.25" customHeight="1">
      <c r="A886" s="10" t="str">
        <f>IFERROR(__xludf.DUMMYFUNCTION("""COMPUTED_VALUE"""),"170723WI01")</f>
        <v>170723WI01</v>
      </c>
      <c r="B886" s="12" t="str">
        <f>IFERROR(__xludf.DUMMYFUNCTION("""COMPUTED_VALUE"""),"QTR-Quiba")</f>
        <v>QTR-Quiba</v>
      </c>
      <c r="C886" s="12"/>
      <c r="D886" s="12"/>
      <c r="E886" s="44">
        <f>IFERROR(__xludf.DUMMYFUNCTION("""COMPUTED_VALUE"""),45124.0)</f>
        <v>45124</v>
      </c>
      <c r="F886" s="12" t="str">
        <f>IFERROR(__xludf.DUMMYFUNCTION("""COMPUTED_VALUE"""),"TIPO I")</f>
        <v>TIPO I</v>
      </c>
      <c r="G886" s="12" t="str">
        <f>IFERROR(__xludf.DUMMYFUNCTION("""COMPUTED_VALUE"""),"Canal natural con lecho rocoso con gran presencia de arena a lo largo del canal; se percibe olor, se observa color en la muestra y residuos sólidos alrededor del punto de monitoreo; por fuertes precipitaciones no se toma la segunda alícuota ni se realiza "&amp;"el correspondiente aforo, se presentan ligeras lluvias durante la toma de la 3, 4 y 5 alícuota, en la toma de la 5° alícuota se evidencia un cambio significativo de pH. Altitud 2640 msnm.")</f>
        <v>Canal natural con lecho rocoso con gran presencia de arena a lo largo del canal; se percibe olor, se observa color en la muestra y residuos sólidos alrededor del punto de monitoreo; por fuertes precipitaciones no se toma la segunda alícuota ni se realiza el correspondiente aforo, se presentan ligeras lluvias durante la toma de la 3, 4 y 5 alícuota, en la toma de la 5° alícuota se evidencia un cambio significativo de pH. Altitud 2640 msnm.</v>
      </c>
      <c r="H886" s="45">
        <f>IFERROR(__xludf.DUMMYFUNCTION("""COMPUTED_VALUE"""),0.25)</f>
        <v>0.25</v>
      </c>
      <c r="I886" s="45">
        <f>IFERROR(__xludf.DUMMYFUNCTION("""COMPUTED_VALUE"""),0.3333333333321207)</f>
        <v>0.3333333333</v>
      </c>
      <c r="J886" s="12">
        <f>IFERROR(__xludf.DUMMYFUNCTION("""COMPUTED_VALUE"""),1.2)</f>
        <v>1.2</v>
      </c>
      <c r="K886" s="12">
        <f>IFERROR(__xludf.DUMMYFUNCTION("""COMPUTED_VALUE"""),0.22)</f>
        <v>0.22</v>
      </c>
      <c r="L886" s="14">
        <f>IFERROR(__xludf.DUMMYFUNCTION("""COMPUTED_VALUE"""),36.443)</f>
        <v>36.443</v>
      </c>
      <c r="M886" s="14"/>
      <c r="N886" s="14">
        <f>IFERROR(__xludf.DUMMYFUNCTION("""COMPUTED_VALUE"""),47.438)</f>
        <v>47.438</v>
      </c>
      <c r="O886" s="14">
        <f>IFERROR(__xludf.DUMMYFUNCTION("""COMPUTED_VALUE"""),47.307)</f>
        <v>47.307</v>
      </c>
      <c r="P886" s="14">
        <f>IFERROR(__xludf.DUMMYFUNCTION("""COMPUTED_VALUE"""),65.788)</f>
        <v>65.788</v>
      </c>
      <c r="Q886" s="14">
        <f>IFERROR(__xludf.DUMMYFUNCTION("""COMPUTED_VALUE"""),49.244)</f>
        <v>49.244</v>
      </c>
      <c r="R886" s="48">
        <f>IFERROR(__xludf.DUMMYFUNCTION("""COMPUTED_VALUE"""),7.76)</f>
        <v>7.76</v>
      </c>
      <c r="S886" s="48"/>
      <c r="T886" s="48">
        <f>IFERROR(__xludf.DUMMYFUNCTION("""COMPUTED_VALUE"""),7.88)</f>
        <v>7.88</v>
      </c>
      <c r="U886" s="48">
        <f>IFERROR(__xludf.DUMMYFUNCTION("""COMPUTED_VALUE"""),7.67)</f>
        <v>7.67</v>
      </c>
      <c r="V886" s="48">
        <f>IFERROR(__xludf.DUMMYFUNCTION("""COMPUTED_VALUE"""),8.51)</f>
        <v>8.51</v>
      </c>
      <c r="W886" s="14">
        <f>IFERROR(__xludf.DUMMYFUNCTION("""COMPUTED_VALUE"""),7.955)</f>
        <v>7.955</v>
      </c>
      <c r="X886" s="14">
        <f>IFERROR(__xludf.DUMMYFUNCTION("""COMPUTED_VALUE"""),14.3)</f>
        <v>14.3</v>
      </c>
      <c r="Y886" s="14"/>
      <c r="Z886" s="14">
        <f>IFERROR(__xludf.DUMMYFUNCTION("""COMPUTED_VALUE"""),14.0)</f>
        <v>14</v>
      </c>
      <c r="AA886" s="14">
        <f>IFERROR(__xludf.DUMMYFUNCTION("""COMPUTED_VALUE"""),14.1)</f>
        <v>14.1</v>
      </c>
      <c r="AB886" s="14">
        <f>IFERROR(__xludf.DUMMYFUNCTION("""COMPUTED_VALUE"""),14.9)</f>
        <v>14.9</v>
      </c>
      <c r="AC886" s="14">
        <f>IFERROR(__xludf.DUMMYFUNCTION("""COMPUTED_VALUE"""),14.325)</f>
        <v>14.325</v>
      </c>
      <c r="AD886" s="48">
        <f>IFERROR(__xludf.DUMMYFUNCTION("""COMPUTED_VALUE"""),447.0)</f>
        <v>447</v>
      </c>
      <c r="AE886" s="48"/>
      <c r="AF886" s="48">
        <f>IFERROR(__xludf.DUMMYFUNCTION("""COMPUTED_VALUE"""),498.0)</f>
        <v>498</v>
      </c>
      <c r="AG886" s="48">
        <f>IFERROR(__xludf.DUMMYFUNCTION("""COMPUTED_VALUE"""),483.0)</f>
        <v>483</v>
      </c>
      <c r="AH886" s="48">
        <f>IFERROR(__xludf.DUMMYFUNCTION("""COMPUTED_VALUE"""),438.0)</f>
        <v>438</v>
      </c>
      <c r="AI886" s="14">
        <f>IFERROR(__xludf.DUMMYFUNCTION("""COMPUTED_VALUE"""),466.5)</f>
        <v>466.5</v>
      </c>
      <c r="AJ886" s="14">
        <f>IFERROR(__xludf.DUMMYFUNCTION("""COMPUTED_VALUE"""),5.32)</f>
        <v>5.32</v>
      </c>
      <c r="AK886" s="14"/>
      <c r="AL886" s="14">
        <f>IFERROR(__xludf.DUMMYFUNCTION("""COMPUTED_VALUE"""),5.37)</f>
        <v>5.37</v>
      </c>
      <c r="AM886" s="14">
        <f>IFERROR(__xludf.DUMMYFUNCTION("""COMPUTED_VALUE"""),5.13)</f>
        <v>5.13</v>
      </c>
      <c r="AN886" s="14">
        <f>IFERROR(__xludf.DUMMYFUNCTION("""COMPUTED_VALUE"""),6.43)</f>
        <v>6.43</v>
      </c>
      <c r="AO886" s="14">
        <f>IFERROR(__xludf.DUMMYFUNCTION("""COMPUTED_VALUE"""),5.5625)</f>
        <v>5.5625</v>
      </c>
      <c r="AP886" s="14">
        <f>IFERROR(__xludf.DUMMYFUNCTION("""COMPUTED_VALUE"""),99.0)</f>
        <v>99</v>
      </c>
      <c r="AQ886" s="14">
        <f>IFERROR(__xludf.DUMMYFUNCTION("""COMPUTED_VALUE"""),153.0)</f>
        <v>153</v>
      </c>
      <c r="AR886" s="14">
        <f>IFERROR(__xludf.DUMMYFUNCTION("""COMPUTED_VALUE"""),944.0)</f>
        <v>944</v>
      </c>
      <c r="AS886" s="14">
        <f>IFERROR(__xludf.DUMMYFUNCTION("""COMPUTED_VALUE"""),1.0)</f>
        <v>1</v>
      </c>
      <c r="AT886" s="14">
        <f>IFERROR(__xludf.DUMMYFUNCTION("""COMPUTED_VALUE"""),1.05)</f>
        <v>1.05</v>
      </c>
      <c r="AU886" s="14">
        <f>IFERROR(__xludf.DUMMYFUNCTION("""COMPUTED_VALUE"""),8010000.0)</f>
        <v>8010000</v>
      </c>
      <c r="AV886" s="14">
        <f>IFERROR(__xludf.DUMMYFUNCTION("""COMPUTED_VALUE"""),1.54)</f>
        <v>1.54</v>
      </c>
      <c r="AW886" s="14">
        <f>IFERROR(__xludf.DUMMYFUNCTION("""COMPUTED_VALUE"""),20.4)</f>
        <v>20.4</v>
      </c>
      <c r="AX886" s="14">
        <f>IFERROR(__xludf.DUMMYFUNCTION("""COMPUTED_VALUE"""),40200.0)</f>
        <v>40200</v>
      </c>
      <c r="AY886" s="14">
        <f>IFERROR(__xludf.DUMMYFUNCTION("""COMPUTED_VALUE"""),1.0)</f>
        <v>1</v>
      </c>
      <c r="AZ886" s="14">
        <f>IFERROR(__xludf.DUMMYFUNCTION("""COMPUTED_VALUE"""),0.007)</f>
        <v>0.007</v>
      </c>
      <c r="BA886" s="14">
        <f t="shared" si="1"/>
        <v>21.407</v>
      </c>
    </row>
    <row r="887" ht="14.25" customHeight="1">
      <c r="A887" s="10" t="str">
        <f>IFERROR(__xludf.DUMMYFUNCTION("""COMPUTED_VALUE"""),"170723WI02")</f>
        <v>170723WI02</v>
      </c>
      <c r="B887" s="12" t="str">
        <f>IFERROR(__xludf.DUMMYFUNCTION("""COMPUTED_VALUE"""),"QTR-Acapulco")</f>
        <v>QTR-Acapulco</v>
      </c>
      <c r="C887" s="12"/>
      <c r="D887" s="12"/>
      <c r="E887" s="44">
        <f>IFERROR(__xludf.DUMMYFUNCTION("""COMPUTED_VALUE"""),45124.0)</f>
        <v>45124</v>
      </c>
      <c r="F887" s="12" t="str">
        <f>IFERROR(__xludf.DUMMYFUNCTION("""COMPUTED_VALUE"""),"TIPO I")</f>
        <v>TIPO I</v>
      </c>
      <c r="G887" s="12" t="str">
        <f>IFERROR(__xludf.DUMMYFUNCTION("""COMPUTED_VALUE"""),"Canal natural con lecho rocoso y presencia de arena abundante en el lecho, se percibe olor, se observa color, residuos sólidos y escombros en el cuerpo de agua, presencia de material flotante en el cauce del canal. Altitud 2592 msnm.")</f>
        <v>Canal natural con lecho rocoso y presencia de arena abundante en el lecho, se percibe olor, se observa color, residuos sólidos y escombros en el cuerpo de agua, presencia de material flotante en el cauce del canal. Altitud 2592 msnm.</v>
      </c>
      <c r="H887" s="45">
        <f>IFERROR(__xludf.DUMMYFUNCTION("""COMPUTED_VALUE"""),0.4166666666678793)</f>
        <v>0.4166666667</v>
      </c>
      <c r="I887" s="45">
        <f>IFERROR(__xludf.DUMMYFUNCTION("""COMPUTED_VALUE"""),0.5)</f>
        <v>0.5</v>
      </c>
      <c r="J887" s="12">
        <f>IFERROR(__xludf.DUMMYFUNCTION("""COMPUTED_VALUE"""),1.15)</f>
        <v>1.15</v>
      </c>
      <c r="K887" s="12">
        <f>IFERROR(__xludf.DUMMYFUNCTION("""COMPUTED_VALUE"""),0.16)</f>
        <v>0.16</v>
      </c>
      <c r="L887" s="14">
        <f>IFERROR(__xludf.DUMMYFUNCTION("""COMPUTED_VALUE"""),81.588)</f>
        <v>81.588</v>
      </c>
      <c r="M887" s="14">
        <f>IFERROR(__xludf.DUMMYFUNCTION("""COMPUTED_VALUE"""),75.265)</f>
        <v>75.265</v>
      </c>
      <c r="N887" s="14">
        <f>IFERROR(__xludf.DUMMYFUNCTION("""COMPUTED_VALUE"""),78.037)</f>
        <v>78.037</v>
      </c>
      <c r="O887" s="14">
        <f>IFERROR(__xludf.DUMMYFUNCTION("""COMPUTED_VALUE"""),78.161)</f>
        <v>78.161</v>
      </c>
      <c r="P887" s="14">
        <f>IFERROR(__xludf.DUMMYFUNCTION("""COMPUTED_VALUE"""),75.985)</f>
        <v>75.985</v>
      </c>
      <c r="Q887" s="14">
        <f>IFERROR(__xludf.DUMMYFUNCTION("""COMPUTED_VALUE"""),77.807)</f>
        <v>77.807</v>
      </c>
      <c r="R887" s="48">
        <f>IFERROR(__xludf.DUMMYFUNCTION("""COMPUTED_VALUE"""),9.01)</f>
        <v>9.01</v>
      </c>
      <c r="S887" s="48">
        <f>IFERROR(__xludf.DUMMYFUNCTION("""COMPUTED_VALUE"""),9.08)</f>
        <v>9.08</v>
      </c>
      <c r="T887" s="48">
        <f>IFERROR(__xludf.DUMMYFUNCTION("""COMPUTED_VALUE"""),9.18)</f>
        <v>9.18</v>
      </c>
      <c r="U887" s="48">
        <f>IFERROR(__xludf.DUMMYFUNCTION("""COMPUTED_VALUE"""),9.24)</f>
        <v>9.24</v>
      </c>
      <c r="V887" s="48">
        <f>IFERROR(__xludf.DUMMYFUNCTION("""COMPUTED_VALUE"""),8.69)</f>
        <v>8.69</v>
      </c>
      <c r="W887" s="14">
        <f>IFERROR(__xludf.DUMMYFUNCTION("""COMPUTED_VALUE"""),9.04)</f>
        <v>9.04</v>
      </c>
      <c r="X887" s="14">
        <f>IFERROR(__xludf.DUMMYFUNCTION("""COMPUTED_VALUE"""),15.5)</f>
        <v>15.5</v>
      </c>
      <c r="Y887" s="14">
        <f>IFERROR(__xludf.DUMMYFUNCTION("""COMPUTED_VALUE"""),15.9)</f>
        <v>15.9</v>
      </c>
      <c r="Z887" s="14">
        <f>IFERROR(__xludf.DUMMYFUNCTION("""COMPUTED_VALUE"""),17.2)</f>
        <v>17.2</v>
      </c>
      <c r="AA887" s="14">
        <f>IFERROR(__xludf.DUMMYFUNCTION("""COMPUTED_VALUE"""),16.7)</f>
        <v>16.7</v>
      </c>
      <c r="AB887" s="14">
        <f>IFERROR(__xludf.DUMMYFUNCTION("""COMPUTED_VALUE"""),16.4)</f>
        <v>16.4</v>
      </c>
      <c r="AC887" s="14">
        <f>IFERROR(__xludf.DUMMYFUNCTION("""COMPUTED_VALUE"""),16.339999999999996)</f>
        <v>16.34</v>
      </c>
      <c r="AD887" s="48">
        <f>IFERROR(__xludf.DUMMYFUNCTION("""COMPUTED_VALUE"""),503.0)</f>
        <v>503</v>
      </c>
      <c r="AE887" s="48">
        <f>IFERROR(__xludf.DUMMYFUNCTION("""COMPUTED_VALUE"""),510.0)</f>
        <v>510</v>
      </c>
      <c r="AF887" s="48">
        <f>IFERROR(__xludf.DUMMYFUNCTION("""COMPUTED_VALUE"""),508.0)</f>
        <v>508</v>
      </c>
      <c r="AG887" s="48">
        <f>IFERROR(__xludf.DUMMYFUNCTION("""COMPUTED_VALUE"""),461.0)</f>
        <v>461</v>
      </c>
      <c r="AH887" s="48">
        <f>IFERROR(__xludf.DUMMYFUNCTION("""COMPUTED_VALUE"""),524.0)</f>
        <v>524</v>
      </c>
      <c r="AI887" s="14">
        <f>IFERROR(__xludf.DUMMYFUNCTION("""COMPUTED_VALUE"""),501.2)</f>
        <v>501.2</v>
      </c>
      <c r="AJ887" s="14">
        <f>IFERROR(__xludf.DUMMYFUNCTION("""COMPUTED_VALUE"""),5.87)</f>
        <v>5.87</v>
      </c>
      <c r="AK887" s="14">
        <f>IFERROR(__xludf.DUMMYFUNCTION("""COMPUTED_VALUE"""),6.08)</f>
        <v>6.08</v>
      </c>
      <c r="AL887" s="14">
        <f>IFERROR(__xludf.DUMMYFUNCTION("""COMPUTED_VALUE"""),5.78)</f>
        <v>5.78</v>
      </c>
      <c r="AM887" s="14">
        <f>IFERROR(__xludf.DUMMYFUNCTION("""COMPUTED_VALUE"""),5.35)</f>
        <v>5.35</v>
      </c>
      <c r="AN887" s="14">
        <f>IFERROR(__xludf.DUMMYFUNCTION("""COMPUTED_VALUE"""),5.45)</f>
        <v>5.45</v>
      </c>
      <c r="AO887" s="14">
        <f>IFERROR(__xludf.DUMMYFUNCTION("""COMPUTED_VALUE"""),5.7059999999999995)</f>
        <v>5.706</v>
      </c>
      <c r="AP887" s="14">
        <f>IFERROR(__xludf.DUMMYFUNCTION("""COMPUTED_VALUE"""),123.0)</f>
        <v>123</v>
      </c>
      <c r="AQ887" s="14">
        <f>IFERROR(__xludf.DUMMYFUNCTION("""COMPUTED_VALUE"""),184.0)</f>
        <v>184</v>
      </c>
      <c r="AR887" s="14">
        <f>IFERROR(__xludf.DUMMYFUNCTION("""COMPUTED_VALUE"""),1180.0)</f>
        <v>1180</v>
      </c>
      <c r="AS887" s="14">
        <f>IFERROR(__xludf.DUMMYFUNCTION("""COMPUTED_VALUE"""),1.0)</f>
        <v>1</v>
      </c>
      <c r="AT887" s="14">
        <f>IFERROR(__xludf.DUMMYFUNCTION("""COMPUTED_VALUE"""),0.92)</f>
        <v>0.92</v>
      </c>
      <c r="AU887" s="14">
        <f>IFERROR(__xludf.DUMMYFUNCTION("""COMPUTED_VALUE"""),7380000.0)</f>
        <v>7380000</v>
      </c>
      <c r="AV887" s="14">
        <f>IFERROR(__xludf.DUMMYFUNCTION("""COMPUTED_VALUE"""),1.99)</f>
        <v>1.99</v>
      </c>
      <c r="AW887" s="14">
        <f>IFERROR(__xludf.DUMMYFUNCTION("""COMPUTED_VALUE"""),20.2)</f>
        <v>20.2</v>
      </c>
      <c r="AX887" s="14">
        <f>IFERROR(__xludf.DUMMYFUNCTION("""COMPUTED_VALUE"""),49600.0)</f>
        <v>49600</v>
      </c>
      <c r="AY887" s="14">
        <f>IFERROR(__xludf.DUMMYFUNCTION("""COMPUTED_VALUE"""),0.7)</f>
        <v>0.7</v>
      </c>
      <c r="AZ887" s="14">
        <f>IFERROR(__xludf.DUMMYFUNCTION("""COMPUTED_VALUE"""),0.007)</f>
        <v>0.007</v>
      </c>
      <c r="BA887" s="14">
        <f t="shared" si="1"/>
        <v>20.907</v>
      </c>
    </row>
    <row r="888" ht="14.25" customHeight="1">
      <c r="A888" s="10" t="str">
        <f>IFERROR(__xludf.DUMMYFUNCTION("""COMPUTED_VALUE"""),"210723DU02")</f>
        <v>210723DU02</v>
      </c>
      <c r="B888" s="12" t="str">
        <f>IFERROR(__xludf.DUMMYFUNCTION("""COMPUTED_VALUE"""),"QCH-Cantarrana")</f>
        <v>QCH-Cantarrana</v>
      </c>
      <c r="C888" s="12"/>
      <c r="D888" s="12"/>
      <c r="E888" s="44">
        <f>IFERROR(__xludf.DUMMYFUNCTION("""COMPUTED_VALUE"""),45128.0)</f>
        <v>45128</v>
      </c>
      <c r="F888" s="12" t="str">
        <f>IFERROR(__xludf.DUMMYFUNCTION("""COMPUTED_VALUE"""),"TIPO I")</f>
        <v>TIPO I</v>
      </c>
      <c r="G888" s="12" t="str">
        <f>IFERROR(__xludf.DUMMYFUNCTION("""COMPUTED_VALUE"""),"Se percibe olor, se observa color, residuos solidos y espumas en el cauce, durante el monitoreo se presentan lloviznas leves.")</f>
        <v>Se percibe olor, se observa color, residuos solidos y espumas en el cauce, durante el monitoreo se presentan lloviznas leves.</v>
      </c>
      <c r="H888" s="45">
        <f>IFERROR(__xludf.DUMMYFUNCTION("""COMPUTED_VALUE"""),0.4166666666678793)</f>
        <v>0.4166666667</v>
      </c>
      <c r="I888" s="45">
        <f>IFERROR(__xludf.DUMMYFUNCTION("""COMPUTED_VALUE"""),0.5)</f>
        <v>0.5</v>
      </c>
      <c r="J888" s="12">
        <f>IFERROR(__xludf.DUMMYFUNCTION("""COMPUTED_VALUE"""),0.7)</f>
        <v>0.7</v>
      </c>
      <c r="K888" s="12">
        <f>IFERROR(__xludf.DUMMYFUNCTION("""COMPUTED_VALUE"""),0.65)</f>
        <v>0.65</v>
      </c>
      <c r="L888" s="14">
        <f>IFERROR(__xludf.DUMMYFUNCTION("""COMPUTED_VALUE"""),77.678)</f>
        <v>77.678</v>
      </c>
      <c r="M888" s="14">
        <f>IFERROR(__xludf.DUMMYFUNCTION("""COMPUTED_VALUE"""),77.52)</f>
        <v>77.52</v>
      </c>
      <c r="N888" s="14">
        <f>IFERROR(__xludf.DUMMYFUNCTION("""COMPUTED_VALUE"""),77.604)</f>
        <v>77.604</v>
      </c>
      <c r="O888" s="14">
        <f>IFERROR(__xludf.DUMMYFUNCTION("""COMPUTED_VALUE"""),77.349)</f>
        <v>77.349</v>
      </c>
      <c r="P888" s="14">
        <f>IFERROR(__xludf.DUMMYFUNCTION("""COMPUTED_VALUE"""),77.504)</f>
        <v>77.504</v>
      </c>
      <c r="Q888" s="14">
        <f>IFERROR(__xludf.DUMMYFUNCTION("""COMPUTED_VALUE"""),77.531)</f>
        <v>77.531</v>
      </c>
      <c r="R888" s="48">
        <f>IFERROR(__xludf.DUMMYFUNCTION("""COMPUTED_VALUE"""),7.99)</f>
        <v>7.99</v>
      </c>
      <c r="S888" s="48">
        <f>IFERROR(__xludf.DUMMYFUNCTION("""COMPUTED_VALUE"""),7.97)</f>
        <v>7.97</v>
      </c>
      <c r="T888" s="48">
        <f>IFERROR(__xludf.DUMMYFUNCTION("""COMPUTED_VALUE"""),7.9)</f>
        <v>7.9</v>
      </c>
      <c r="U888" s="48">
        <f>IFERROR(__xludf.DUMMYFUNCTION("""COMPUTED_VALUE"""),7.89)</f>
        <v>7.89</v>
      </c>
      <c r="V888" s="48">
        <f>IFERROR(__xludf.DUMMYFUNCTION("""COMPUTED_VALUE"""),7.9)</f>
        <v>7.9</v>
      </c>
      <c r="W888" s="14">
        <f>IFERROR(__xludf.DUMMYFUNCTION("""COMPUTED_VALUE"""),7.93)</f>
        <v>7.93</v>
      </c>
      <c r="X888" s="14">
        <f>IFERROR(__xludf.DUMMYFUNCTION("""COMPUTED_VALUE"""),16.9)</f>
        <v>16.9</v>
      </c>
      <c r="Y888" s="14">
        <f>IFERROR(__xludf.DUMMYFUNCTION("""COMPUTED_VALUE"""),16.5)</f>
        <v>16.5</v>
      </c>
      <c r="Z888" s="14">
        <f>IFERROR(__xludf.DUMMYFUNCTION("""COMPUTED_VALUE"""),17.2)</f>
        <v>17.2</v>
      </c>
      <c r="AA888" s="14">
        <f>IFERROR(__xludf.DUMMYFUNCTION("""COMPUTED_VALUE"""),17.1)</f>
        <v>17.1</v>
      </c>
      <c r="AB888" s="14">
        <f>IFERROR(__xludf.DUMMYFUNCTION("""COMPUTED_VALUE"""),17.0)</f>
        <v>17</v>
      </c>
      <c r="AC888" s="14">
        <f>IFERROR(__xludf.DUMMYFUNCTION("""COMPUTED_VALUE"""),16.939999999999998)</f>
        <v>16.94</v>
      </c>
      <c r="AD888" s="48">
        <f>IFERROR(__xludf.DUMMYFUNCTION("""COMPUTED_VALUE"""),345.0)</f>
        <v>345</v>
      </c>
      <c r="AE888" s="48">
        <f>IFERROR(__xludf.DUMMYFUNCTION("""COMPUTED_VALUE"""),350.0)</f>
        <v>350</v>
      </c>
      <c r="AF888" s="48">
        <f>IFERROR(__xludf.DUMMYFUNCTION("""COMPUTED_VALUE"""),306.0)</f>
        <v>306</v>
      </c>
      <c r="AG888" s="48">
        <f>IFERROR(__xludf.DUMMYFUNCTION("""COMPUTED_VALUE"""),303.0)</f>
        <v>303</v>
      </c>
      <c r="AH888" s="48">
        <f>IFERROR(__xludf.DUMMYFUNCTION("""COMPUTED_VALUE"""),307.0)</f>
        <v>307</v>
      </c>
      <c r="AI888" s="14">
        <f>IFERROR(__xludf.DUMMYFUNCTION("""COMPUTED_VALUE"""),322.2)</f>
        <v>322.2</v>
      </c>
      <c r="AJ888" s="14">
        <f>IFERROR(__xludf.DUMMYFUNCTION("""COMPUTED_VALUE"""),4.53)</f>
        <v>4.53</v>
      </c>
      <c r="AK888" s="14">
        <f>IFERROR(__xludf.DUMMYFUNCTION("""COMPUTED_VALUE"""),4.23)</f>
        <v>4.23</v>
      </c>
      <c r="AL888" s="14">
        <f>IFERROR(__xludf.DUMMYFUNCTION("""COMPUTED_VALUE"""),4.46)</f>
        <v>4.46</v>
      </c>
      <c r="AM888" s="14">
        <f>IFERROR(__xludf.DUMMYFUNCTION("""COMPUTED_VALUE"""),4.65)</f>
        <v>4.65</v>
      </c>
      <c r="AN888" s="14">
        <f>IFERROR(__xludf.DUMMYFUNCTION("""COMPUTED_VALUE"""),4.73)</f>
        <v>4.73</v>
      </c>
      <c r="AO888" s="14">
        <f>IFERROR(__xludf.DUMMYFUNCTION("""COMPUTED_VALUE"""),4.520000000000001)</f>
        <v>4.52</v>
      </c>
      <c r="AP888" s="14">
        <f>IFERROR(__xludf.DUMMYFUNCTION("""COMPUTED_VALUE"""),98.0)</f>
        <v>98</v>
      </c>
      <c r="AQ888" s="14">
        <f>IFERROR(__xludf.DUMMYFUNCTION("""COMPUTED_VALUE"""),149.0)</f>
        <v>149</v>
      </c>
      <c r="AR888" s="14">
        <f>IFERROR(__xludf.DUMMYFUNCTION("""COMPUTED_VALUE"""),277.0)</f>
        <v>277</v>
      </c>
      <c r="AS888" s="14">
        <f>IFERROR(__xludf.DUMMYFUNCTION("""COMPUTED_VALUE"""),1.0)</f>
        <v>1</v>
      </c>
      <c r="AT888" s="14">
        <f>IFERROR(__xludf.DUMMYFUNCTION("""COMPUTED_VALUE"""),1.53)</f>
        <v>1.53</v>
      </c>
      <c r="AU888" s="14">
        <f>IFERROR(__xludf.DUMMYFUNCTION("""COMPUTED_VALUE"""),8010000.0)</f>
        <v>8010000</v>
      </c>
      <c r="AV888" s="14">
        <f>IFERROR(__xludf.DUMMYFUNCTION("""COMPUTED_VALUE"""),2.08)</f>
        <v>2.08</v>
      </c>
      <c r="AW888" s="14">
        <f>IFERROR(__xludf.DUMMYFUNCTION("""COMPUTED_VALUE"""),15.1)</f>
        <v>15.1</v>
      </c>
      <c r="AX888" s="14">
        <f>IFERROR(__xludf.DUMMYFUNCTION("""COMPUTED_VALUE"""),5830000.0)</f>
        <v>5830000</v>
      </c>
      <c r="AY888" s="14">
        <f>IFERROR(__xludf.DUMMYFUNCTION("""COMPUTED_VALUE"""),0.3)</f>
        <v>0.3</v>
      </c>
      <c r="AZ888" s="14">
        <f>IFERROR(__xludf.DUMMYFUNCTION("""COMPUTED_VALUE"""),0.007)</f>
        <v>0.007</v>
      </c>
      <c r="BA888" s="14">
        <f t="shared" si="1"/>
        <v>15.407</v>
      </c>
    </row>
    <row r="889" ht="14.25" customHeight="1">
      <c r="A889" s="10" t="str">
        <f>IFERROR(__xludf.DUMMYFUNCTION("""COMPUTED_VALUE"""),"270723MP02")</f>
        <v>270723MP02</v>
      </c>
      <c r="B889" s="12" t="str">
        <f>IFERROR(__xludf.DUMMYFUNCTION("""COMPUTED_VALUE"""),"CON-Camino del Contador")</f>
        <v>CON-Camino del Contador</v>
      </c>
      <c r="C889" s="12"/>
      <c r="D889" s="12"/>
      <c r="E889" s="44">
        <f>IFERROR(__xludf.DUMMYFUNCTION("""COMPUTED_VALUE"""),45134.0)</f>
        <v>45134</v>
      </c>
      <c r="F889" s="12" t="str">
        <f>IFERROR(__xludf.DUMMYFUNCTION("""COMPUTED_VALUE"""),"TIPO I")</f>
        <v>TIPO I</v>
      </c>
      <c r="G889" s="12" t="str">
        <f>IFERROR(__xludf.DUMMYFUNCTION("""COMPUTED_VALUE"""),"Canal en concreto; durante la toma de muestra se observa color y se percibe olor en el cuerpo de agua. Altitud 2574 msnm.")</f>
        <v>Canal en concreto; durante la toma de muestra se observa color y se percibe olor en el cuerpo de agua. Altitud 2574 msnm.</v>
      </c>
      <c r="H889" s="45">
        <f>IFERROR(__xludf.DUMMYFUNCTION("""COMPUTED_VALUE"""),0.4166666666678793)</f>
        <v>0.4166666667</v>
      </c>
      <c r="I889" s="45">
        <f>IFERROR(__xludf.DUMMYFUNCTION("""COMPUTED_VALUE"""),0.5)</f>
        <v>0.5</v>
      </c>
      <c r="J889" s="12">
        <f>IFERROR(__xludf.DUMMYFUNCTION("""COMPUTED_VALUE"""),3.4)</f>
        <v>3.4</v>
      </c>
      <c r="K889" s="12">
        <f>IFERROR(__xludf.DUMMYFUNCTION("""COMPUTED_VALUE"""),0.07)</f>
        <v>0.07</v>
      </c>
      <c r="L889" s="14">
        <f>IFERROR(__xludf.DUMMYFUNCTION("""COMPUTED_VALUE"""),42.233)</f>
        <v>42.233</v>
      </c>
      <c r="M889" s="14">
        <f>IFERROR(__xludf.DUMMYFUNCTION("""COMPUTED_VALUE"""),42.096)</f>
        <v>42.096</v>
      </c>
      <c r="N889" s="14">
        <f>IFERROR(__xludf.DUMMYFUNCTION("""COMPUTED_VALUE"""),41.921)</f>
        <v>41.921</v>
      </c>
      <c r="O889" s="14">
        <f>IFERROR(__xludf.DUMMYFUNCTION("""COMPUTED_VALUE"""),45.461)</f>
        <v>45.461</v>
      </c>
      <c r="P889" s="14">
        <f>IFERROR(__xludf.DUMMYFUNCTION("""COMPUTED_VALUE"""),45.165)</f>
        <v>45.165</v>
      </c>
      <c r="Q889" s="14">
        <f>IFERROR(__xludf.DUMMYFUNCTION("""COMPUTED_VALUE"""),43.375)</f>
        <v>43.375</v>
      </c>
      <c r="R889" s="48">
        <f>IFERROR(__xludf.DUMMYFUNCTION("""COMPUTED_VALUE"""),8.11)</f>
        <v>8.11</v>
      </c>
      <c r="S889" s="48">
        <f>IFERROR(__xludf.DUMMYFUNCTION("""COMPUTED_VALUE"""),8.43)</f>
        <v>8.43</v>
      </c>
      <c r="T889" s="48">
        <f>IFERROR(__xludf.DUMMYFUNCTION("""COMPUTED_VALUE"""),8.27)</f>
        <v>8.27</v>
      </c>
      <c r="U889" s="48">
        <f>IFERROR(__xludf.DUMMYFUNCTION("""COMPUTED_VALUE"""),8.39)</f>
        <v>8.39</v>
      </c>
      <c r="V889" s="48">
        <f>IFERROR(__xludf.DUMMYFUNCTION("""COMPUTED_VALUE"""),8.65)</f>
        <v>8.65</v>
      </c>
      <c r="W889" s="14">
        <f>IFERROR(__xludf.DUMMYFUNCTION("""COMPUTED_VALUE"""),8.370000000000001)</f>
        <v>8.37</v>
      </c>
      <c r="X889" s="14">
        <f>IFERROR(__xludf.DUMMYFUNCTION("""COMPUTED_VALUE"""),18.1)</f>
        <v>18.1</v>
      </c>
      <c r="Y889" s="14">
        <f>IFERROR(__xludf.DUMMYFUNCTION("""COMPUTED_VALUE"""),19.1)</f>
        <v>19.1</v>
      </c>
      <c r="Z889" s="14">
        <f>IFERROR(__xludf.DUMMYFUNCTION("""COMPUTED_VALUE"""),20.1)</f>
        <v>20.1</v>
      </c>
      <c r="AA889" s="14">
        <f>IFERROR(__xludf.DUMMYFUNCTION("""COMPUTED_VALUE"""),20.7)</f>
        <v>20.7</v>
      </c>
      <c r="AB889" s="14">
        <f>IFERROR(__xludf.DUMMYFUNCTION("""COMPUTED_VALUE"""),21.0)</f>
        <v>21</v>
      </c>
      <c r="AC889" s="14">
        <f>IFERROR(__xludf.DUMMYFUNCTION("""COMPUTED_VALUE"""),19.8)</f>
        <v>19.8</v>
      </c>
      <c r="AD889" s="48">
        <f>IFERROR(__xludf.DUMMYFUNCTION("""COMPUTED_VALUE"""),225.0)</f>
        <v>225</v>
      </c>
      <c r="AE889" s="48">
        <f>IFERROR(__xludf.DUMMYFUNCTION("""COMPUTED_VALUE"""),214.0)</f>
        <v>214</v>
      </c>
      <c r="AF889" s="48">
        <f>IFERROR(__xludf.DUMMYFUNCTION("""COMPUTED_VALUE"""),221.0)</f>
        <v>221</v>
      </c>
      <c r="AG889" s="48">
        <f>IFERROR(__xludf.DUMMYFUNCTION("""COMPUTED_VALUE"""),266.0)</f>
        <v>266</v>
      </c>
      <c r="AH889" s="48">
        <f>IFERROR(__xludf.DUMMYFUNCTION("""COMPUTED_VALUE"""),298.0)</f>
        <v>298</v>
      </c>
      <c r="AI889" s="14">
        <f>IFERROR(__xludf.DUMMYFUNCTION("""COMPUTED_VALUE"""),244.8)</f>
        <v>244.8</v>
      </c>
      <c r="AJ889" s="14">
        <f>IFERROR(__xludf.DUMMYFUNCTION("""COMPUTED_VALUE"""),5.1)</f>
        <v>5.1</v>
      </c>
      <c r="AK889" s="14">
        <f>IFERROR(__xludf.DUMMYFUNCTION("""COMPUTED_VALUE"""),5.97)</f>
        <v>5.97</v>
      </c>
      <c r="AL889" s="14">
        <f>IFERROR(__xludf.DUMMYFUNCTION("""COMPUTED_VALUE"""),6.04)</f>
        <v>6.04</v>
      </c>
      <c r="AM889" s="14">
        <f>IFERROR(__xludf.DUMMYFUNCTION("""COMPUTED_VALUE"""),6.04)</f>
        <v>6.04</v>
      </c>
      <c r="AN889" s="14">
        <f>IFERROR(__xludf.DUMMYFUNCTION("""COMPUTED_VALUE"""),5.81)</f>
        <v>5.81</v>
      </c>
      <c r="AO889" s="14">
        <f>IFERROR(__xludf.DUMMYFUNCTION("""COMPUTED_VALUE"""),5.792)</f>
        <v>5.792</v>
      </c>
      <c r="AP889" s="14">
        <f>IFERROR(__xludf.DUMMYFUNCTION("""COMPUTED_VALUE"""),16.0)</f>
        <v>16</v>
      </c>
      <c r="AQ889" s="14">
        <f>IFERROR(__xludf.DUMMYFUNCTION("""COMPUTED_VALUE"""),23.0)</f>
        <v>23</v>
      </c>
      <c r="AR889" s="14">
        <f>IFERROR(__xludf.DUMMYFUNCTION("""COMPUTED_VALUE"""),26.0)</f>
        <v>26</v>
      </c>
      <c r="AS889" s="14">
        <f>IFERROR(__xludf.DUMMYFUNCTION("""COMPUTED_VALUE"""),43.0)</f>
        <v>43</v>
      </c>
      <c r="AT889" s="14">
        <f>IFERROR(__xludf.DUMMYFUNCTION("""COMPUTED_VALUE"""),0.16)</f>
        <v>0.16</v>
      </c>
      <c r="AU889" s="14">
        <f>IFERROR(__xludf.DUMMYFUNCTION("""COMPUTED_VALUE"""),1503000.0)</f>
        <v>1503000</v>
      </c>
      <c r="AV889" s="14">
        <f>IFERROR(__xludf.DUMMYFUNCTION("""COMPUTED_VALUE"""),0.89)</f>
        <v>0.89</v>
      </c>
      <c r="AW889" s="14">
        <f>IFERROR(__xludf.DUMMYFUNCTION("""COMPUTED_VALUE"""),10.1)</f>
        <v>10.1</v>
      </c>
      <c r="AX889" s="14">
        <f>IFERROR(__xludf.DUMMYFUNCTION("""COMPUTED_VALUE"""),1182000.0)</f>
        <v>1182000</v>
      </c>
      <c r="AY889" s="14">
        <f>IFERROR(__xludf.DUMMYFUNCTION("""COMPUTED_VALUE"""),1.1)</f>
        <v>1.1</v>
      </c>
      <c r="AZ889" s="14">
        <f>IFERROR(__xludf.DUMMYFUNCTION("""COMPUTED_VALUE"""),0.255)</f>
        <v>0.255</v>
      </c>
      <c r="BA889" s="14">
        <f t="shared" si="1"/>
        <v>11.455</v>
      </c>
    </row>
    <row r="890" ht="14.25" customHeight="1">
      <c r="A890" s="10" t="str">
        <f>IFERROR(__xludf.DUMMYFUNCTION("""COMPUTED_VALUE"""),"270723MP01")</f>
        <v>270723MP01</v>
      </c>
      <c r="B890" s="12" t="str">
        <f>IFERROR(__xludf.DUMMYFUNCTION("""COMPUTED_VALUE"""),"CMO-Alhambra")</f>
        <v>CMO-Alhambra</v>
      </c>
      <c r="C890" s="12"/>
      <c r="D890" s="12"/>
      <c r="E890" s="44">
        <f>IFERROR(__xludf.DUMMYFUNCTION("""COMPUTED_VALUE"""),45134.0)</f>
        <v>45134</v>
      </c>
      <c r="F890" s="12" t="str">
        <f>IFERROR(__xludf.DUMMYFUNCTION("""COMPUTED_VALUE"""),"TIPO I")</f>
        <v>TIPO I</v>
      </c>
      <c r="G890" s="12" t="str">
        <f>IFERROR(__xludf.DUMMYFUNCTION("""COMPUTED_VALUE"""),"Se observa color y se percibe olor, en la quinta alícuota se observa una mayor cantidad de material flotante.")</f>
        <v>Se observa color y se percibe olor, en la quinta alícuota se observa una mayor cantidad de material flotante.</v>
      </c>
      <c r="H890" s="45">
        <f>IFERROR(__xludf.DUMMYFUNCTION("""COMPUTED_VALUE"""),0.25)</f>
        <v>0.25</v>
      </c>
      <c r="I890" s="45">
        <f>IFERROR(__xludf.DUMMYFUNCTION("""COMPUTED_VALUE"""),0.3333333333321207)</f>
        <v>0.3333333333</v>
      </c>
      <c r="J890" s="12">
        <f>IFERROR(__xludf.DUMMYFUNCTION("""COMPUTED_VALUE"""),7.2)</f>
        <v>7.2</v>
      </c>
      <c r="K890" s="12">
        <f>IFERROR(__xludf.DUMMYFUNCTION("""COMPUTED_VALUE"""),0.32)</f>
        <v>0.32</v>
      </c>
      <c r="L890" s="14">
        <f>IFERROR(__xludf.DUMMYFUNCTION("""COMPUTED_VALUE"""),211.044)</f>
        <v>211.044</v>
      </c>
      <c r="M890" s="14">
        <f>IFERROR(__xludf.DUMMYFUNCTION("""COMPUTED_VALUE"""),217.703)</f>
        <v>217.703</v>
      </c>
      <c r="N890" s="14">
        <f>IFERROR(__xludf.DUMMYFUNCTION("""COMPUTED_VALUE"""),225.525)</f>
        <v>225.525</v>
      </c>
      <c r="O890" s="14">
        <f>IFERROR(__xludf.DUMMYFUNCTION("""COMPUTED_VALUE"""),277.692)</f>
        <v>277.692</v>
      </c>
      <c r="P890" s="14">
        <f>IFERROR(__xludf.DUMMYFUNCTION("""COMPUTED_VALUE"""),278.487)</f>
        <v>278.487</v>
      </c>
      <c r="Q890" s="14">
        <f>IFERROR(__xludf.DUMMYFUNCTION("""COMPUTED_VALUE"""),242.09)</f>
        <v>242.09</v>
      </c>
      <c r="R890" s="48">
        <f>IFERROR(__xludf.DUMMYFUNCTION("""COMPUTED_VALUE"""),7.33)</f>
        <v>7.33</v>
      </c>
      <c r="S890" s="48">
        <f>IFERROR(__xludf.DUMMYFUNCTION("""COMPUTED_VALUE"""),7.2)</f>
        <v>7.2</v>
      </c>
      <c r="T890" s="48">
        <f>IFERROR(__xludf.DUMMYFUNCTION("""COMPUTED_VALUE"""),7.33)</f>
        <v>7.33</v>
      </c>
      <c r="U890" s="48">
        <f>IFERROR(__xludf.DUMMYFUNCTION("""COMPUTED_VALUE"""),7.26)</f>
        <v>7.26</v>
      </c>
      <c r="V890" s="48">
        <f>IFERROR(__xludf.DUMMYFUNCTION("""COMPUTED_VALUE"""),7.49)</f>
        <v>7.49</v>
      </c>
      <c r="W890" s="14">
        <f>IFERROR(__xludf.DUMMYFUNCTION("""COMPUTED_VALUE"""),7.322)</f>
        <v>7.322</v>
      </c>
      <c r="X890" s="14">
        <f>IFERROR(__xludf.DUMMYFUNCTION("""COMPUTED_VALUE"""),16.3)</f>
        <v>16.3</v>
      </c>
      <c r="Y890" s="14">
        <f>IFERROR(__xludf.DUMMYFUNCTION("""COMPUTED_VALUE"""),16.2)</f>
        <v>16.2</v>
      </c>
      <c r="Z890" s="14">
        <f>IFERROR(__xludf.DUMMYFUNCTION("""COMPUTED_VALUE"""),16.2)</f>
        <v>16.2</v>
      </c>
      <c r="AA890" s="14">
        <f>IFERROR(__xludf.DUMMYFUNCTION("""COMPUTED_VALUE"""),16.4)</f>
        <v>16.4</v>
      </c>
      <c r="AB890" s="14">
        <f>IFERROR(__xludf.DUMMYFUNCTION("""COMPUTED_VALUE"""),16.9)</f>
        <v>16.9</v>
      </c>
      <c r="AC890" s="14">
        <f>IFERROR(__xludf.DUMMYFUNCTION("""COMPUTED_VALUE"""),16.4)</f>
        <v>16.4</v>
      </c>
      <c r="AD890" s="48">
        <f>IFERROR(__xludf.DUMMYFUNCTION("""COMPUTED_VALUE"""),262.0)</f>
        <v>262</v>
      </c>
      <c r="AE890" s="48">
        <f>IFERROR(__xludf.DUMMYFUNCTION("""COMPUTED_VALUE"""),251.0)</f>
        <v>251</v>
      </c>
      <c r="AF890" s="48">
        <f>IFERROR(__xludf.DUMMYFUNCTION("""COMPUTED_VALUE"""),249.0)</f>
        <v>249</v>
      </c>
      <c r="AG890" s="48">
        <f>IFERROR(__xludf.DUMMYFUNCTION("""COMPUTED_VALUE"""),234.0)</f>
        <v>234</v>
      </c>
      <c r="AH890" s="48">
        <f>IFERROR(__xludf.DUMMYFUNCTION("""COMPUTED_VALUE"""),282.0)</f>
        <v>282</v>
      </c>
      <c r="AI890" s="14">
        <f>IFERROR(__xludf.DUMMYFUNCTION("""COMPUTED_VALUE"""),255.6)</f>
        <v>255.6</v>
      </c>
      <c r="AJ890" s="14">
        <f>IFERROR(__xludf.DUMMYFUNCTION("""COMPUTED_VALUE"""),1.98)</f>
        <v>1.98</v>
      </c>
      <c r="AK890" s="14">
        <f>IFERROR(__xludf.DUMMYFUNCTION("""COMPUTED_VALUE"""),2.07)</f>
        <v>2.07</v>
      </c>
      <c r="AL890" s="14">
        <f>IFERROR(__xludf.DUMMYFUNCTION("""COMPUTED_VALUE"""),2.35)</f>
        <v>2.35</v>
      </c>
      <c r="AM890" s="14">
        <f>IFERROR(__xludf.DUMMYFUNCTION("""COMPUTED_VALUE"""),1.97)</f>
        <v>1.97</v>
      </c>
      <c r="AN890" s="14">
        <f>IFERROR(__xludf.DUMMYFUNCTION("""COMPUTED_VALUE"""),2.02)</f>
        <v>2.02</v>
      </c>
      <c r="AO890" s="14">
        <f>IFERROR(__xludf.DUMMYFUNCTION("""COMPUTED_VALUE"""),2.0780000000000003)</f>
        <v>2.078</v>
      </c>
      <c r="AP890" s="14">
        <f>IFERROR(__xludf.DUMMYFUNCTION("""COMPUTED_VALUE"""),65.0)</f>
        <v>65</v>
      </c>
      <c r="AQ890" s="14">
        <f>IFERROR(__xludf.DUMMYFUNCTION("""COMPUTED_VALUE"""),90.0)</f>
        <v>90</v>
      </c>
      <c r="AR890" s="14">
        <f>IFERROR(__xludf.DUMMYFUNCTION("""COMPUTED_VALUE"""),41.0)</f>
        <v>41</v>
      </c>
      <c r="AS890" s="14">
        <f>IFERROR(__xludf.DUMMYFUNCTION("""COMPUTED_VALUE"""),1.0)</f>
        <v>1</v>
      </c>
      <c r="AT890" s="14">
        <f>IFERROR(__xludf.DUMMYFUNCTION("""COMPUTED_VALUE"""),0.18)</f>
        <v>0.18</v>
      </c>
      <c r="AU890" s="14">
        <f>IFERROR(__xludf.DUMMYFUNCTION("""COMPUTED_VALUE"""),1.73E7)</f>
        <v>17300000</v>
      </c>
      <c r="AV890" s="14">
        <f>IFERROR(__xludf.DUMMYFUNCTION("""COMPUTED_VALUE"""),0.81)</f>
        <v>0.81</v>
      </c>
      <c r="AW890" s="14">
        <f>IFERROR(__xludf.DUMMYFUNCTION("""COMPUTED_VALUE"""),11.5)</f>
        <v>11.5</v>
      </c>
      <c r="AX890" s="14">
        <f>IFERROR(__xludf.DUMMYFUNCTION("""COMPUTED_VALUE"""),1324000.0)</f>
        <v>1324000</v>
      </c>
      <c r="AY890" s="14">
        <f>IFERROR(__xludf.DUMMYFUNCTION("""COMPUTED_VALUE"""),0.5)</f>
        <v>0.5</v>
      </c>
      <c r="AZ890" s="14">
        <f>IFERROR(__xludf.DUMMYFUNCTION("""COMPUTED_VALUE"""),0.007)</f>
        <v>0.007</v>
      </c>
      <c r="BA890" s="14">
        <f t="shared" si="1"/>
        <v>12.007</v>
      </c>
    </row>
    <row r="891" ht="14.25" customHeight="1">
      <c r="A891" s="10" t="str">
        <f>IFERROR(__xludf.DUMMYFUNCTION("""COMPUTED_VALUE"""),"170723MO04")</f>
        <v>170723MO04</v>
      </c>
      <c r="B891" s="12" t="str">
        <f>IFERROR(__xludf.DUMMYFUNCTION("""COMPUTED_VALUE"""),"COR-Victoria Norte")</f>
        <v>COR-Victoria Norte</v>
      </c>
      <c r="C891" s="12"/>
      <c r="D891" s="12"/>
      <c r="E891" s="44">
        <f>IFERROR(__xludf.DUMMYFUNCTION("""COMPUTED_VALUE"""),45124.0)</f>
        <v>45124</v>
      </c>
      <c r="F891" s="12" t="str">
        <f>IFERROR(__xludf.DUMMYFUNCTION("""COMPUTED_VALUE"""),"TIPO I")</f>
        <v>TIPO I</v>
      </c>
      <c r="G891" s="12" t="str">
        <f>IFERROR(__xludf.DUMMYFUNCTION("""COMPUTED_VALUE"""),"Lecho en concreto , se observa color y no se percibe olor en la muestra de agua. Altitud 2558 msnm. ")</f>
        <v>Lecho en concreto , se observa color y no se percibe olor en la muestra de agua. Altitud 2558 msnm. </v>
      </c>
      <c r="H891" s="45">
        <f>IFERROR(__xludf.DUMMYFUNCTION("""COMPUTED_VALUE"""),0.6666666666678793)</f>
        <v>0.6666666667</v>
      </c>
      <c r="I891" s="45">
        <f>IFERROR(__xludf.DUMMYFUNCTION("""COMPUTED_VALUE"""),0.75)</f>
        <v>0.75</v>
      </c>
      <c r="J891" s="12">
        <f>IFERROR(__xludf.DUMMYFUNCTION("""COMPUTED_VALUE"""),3.8)</f>
        <v>3.8</v>
      </c>
      <c r="K891" s="12">
        <f>IFERROR(__xludf.DUMMYFUNCTION("""COMPUTED_VALUE"""),0.1)</f>
        <v>0.1</v>
      </c>
      <c r="L891" s="14">
        <f>IFERROR(__xludf.DUMMYFUNCTION("""COMPUTED_VALUE"""),61.267)</f>
        <v>61.267</v>
      </c>
      <c r="M891" s="14">
        <f>IFERROR(__xludf.DUMMYFUNCTION("""COMPUTED_VALUE"""),61.066)</f>
        <v>61.066</v>
      </c>
      <c r="N891" s="14">
        <f>IFERROR(__xludf.DUMMYFUNCTION("""COMPUTED_VALUE"""),61.257)</f>
        <v>61.257</v>
      </c>
      <c r="O891" s="14">
        <f>IFERROR(__xludf.DUMMYFUNCTION("""COMPUTED_VALUE"""),61.097)</f>
        <v>61.097</v>
      </c>
      <c r="P891" s="14">
        <f>IFERROR(__xludf.DUMMYFUNCTION("""COMPUTED_VALUE"""),60.958)</f>
        <v>60.958</v>
      </c>
      <c r="Q891" s="14">
        <f>IFERROR(__xludf.DUMMYFUNCTION("""COMPUTED_VALUE"""),61.129)</f>
        <v>61.129</v>
      </c>
      <c r="R891" s="48">
        <f>IFERROR(__xludf.DUMMYFUNCTION("""COMPUTED_VALUE"""),7.86)</f>
        <v>7.86</v>
      </c>
      <c r="S891" s="48">
        <f>IFERROR(__xludf.DUMMYFUNCTION("""COMPUTED_VALUE"""),7.84)</f>
        <v>7.84</v>
      </c>
      <c r="T891" s="48">
        <f>IFERROR(__xludf.DUMMYFUNCTION("""COMPUTED_VALUE"""),7.77)</f>
        <v>7.77</v>
      </c>
      <c r="U891" s="48">
        <f>IFERROR(__xludf.DUMMYFUNCTION("""COMPUTED_VALUE"""),7.75)</f>
        <v>7.75</v>
      </c>
      <c r="V891" s="48">
        <f>IFERROR(__xludf.DUMMYFUNCTION("""COMPUTED_VALUE"""),7.77)</f>
        <v>7.77</v>
      </c>
      <c r="W891" s="14">
        <f>IFERROR(__xludf.DUMMYFUNCTION("""COMPUTED_VALUE"""),7.797999999999999)</f>
        <v>7.798</v>
      </c>
      <c r="X891" s="14">
        <f>IFERROR(__xludf.DUMMYFUNCTION("""COMPUTED_VALUE"""),24.2)</f>
        <v>24.2</v>
      </c>
      <c r="Y891" s="14">
        <f>IFERROR(__xludf.DUMMYFUNCTION("""COMPUTED_VALUE"""),23.6)</f>
        <v>23.6</v>
      </c>
      <c r="Z891" s="14">
        <f>IFERROR(__xludf.DUMMYFUNCTION("""COMPUTED_VALUE"""),23.1)</f>
        <v>23.1</v>
      </c>
      <c r="AA891" s="14">
        <f>IFERROR(__xludf.DUMMYFUNCTION("""COMPUTED_VALUE"""),22.9)</f>
        <v>22.9</v>
      </c>
      <c r="AB891" s="14">
        <f>IFERROR(__xludf.DUMMYFUNCTION("""COMPUTED_VALUE"""),22.8)</f>
        <v>22.8</v>
      </c>
      <c r="AC891" s="14">
        <f>IFERROR(__xludf.DUMMYFUNCTION("""COMPUTED_VALUE"""),23.32)</f>
        <v>23.32</v>
      </c>
      <c r="AD891" s="48">
        <f>IFERROR(__xludf.DUMMYFUNCTION("""COMPUTED_VALUE"""),422.0)</f>
        <v>422</v>
      </c>
      <c r="AE891" s="48">
        <f>IFERROR(__xludf.DUMMYFUNCTION("""COMPUTED_VALUE"""),410.0)</f>
        <v>410</v>
      </c>
      <c r="AF891" s="48">
        <f>IFERROR(__xludf.DUMMYFUNCTION("""COMPUTED_VALUE"""),411.0)</f>
        <v>411</v>
      </c>
      <c r="AG891" s="48">
        <f>IFERROR(__xludf.DUMMYFUNCTION("""COMPUTED_VALUE"""),410.0)</f>
        <v>410</v>
      </c>
      <c r="AH891" s="48">
        <f>IFERROR(__xludf.DUMMYFUNCTION("""COMPUTED_VALUE"""),409.0)</f>
        <v>409</v>
      </c>
      <c r="AI891" s="14">
        <f>IFERROR(__xludf.DUMMYFUNCTION("""COMPUTED_VALUE"""),412.4)</f>
        <v>412.4</v>
      </c>
      <c r="AJ891" s="14">
        <f>IFERROR(__xludf.DUMMYFUNCTION("""COMPUTED_VALUE"""),2.2)</f>
        <v>2.2</v>
      </c>
      <c r="AK891" s="14">
        <f>IFERROR(__xludf.DUMMYFUNCTION("""COMPUTED_VALUE"""),1.9)</f>
        <v>1.9</v>
      </c>
      <c r="AL891" s="14">
        <f>IFERROR(__xludf.DUMMYFUNCTION("""COMPUTED_VALUE"""),1.7)</f>
        <v>1.7</v>
      </c>
      <c r="AM891" s="14">
        <f>IFERROR(__xludf.DUMMYFUNCTION("""COMPUTED_VALUE"""),1.9)</f>
        <v>1.9</v>
      </c>
      <c r="AN891" s="14">
        <f>IFERROR(__xludf.DUMMYFUNCTION("""COMPUTED_VALUE"""),1.8)</f>
        <v>1.8</v>
      </c>
      <c r="AO891" s="14">
        <f>IFERROR(__xludf.DUMMYFUNCTION("""COMPUTED_VALUE"""),1.9)</f>
        <v>1.9</v>
      </c>
      <c r="AP891" s="14">
        <f>IFERROR(__xludf.DUMMYFUNCTION("""COMPUTED_VALUE"""),29.0)</f>
        <v>29</v>
      </c>
      <c r="AQ891" s="14">
        <f>IFERROR(__xludf.DUMMYFUNCTION("""COMPUTED_VALUE"""),43.0)</f>
        <v>43</v>
      </c>
      <c r="AR891" s="14">
        <f>IFERROR(__xludf.DUMMYFUNCTION("""COMPUTED_VALUE"""),21.0)</f>
        <v>21</v>
      </c>
      <c r="AS891" s="14">
        <f>IFERROR(__xludf.DUMMYFUNCTION("""COMPUTED_VALUE"""),14.0)</f>
        <v>14</v>
      </c>
      <c r="AT891" s="14">
        <f>IFERROR(__xludf.DUMMYFUNCTION("""COMPUTED_VALUE"""),1.51)</f>
        <v>1.51</v>
      </c>
      <c r="AU891" s="14">
        <f>IFERROR(__xludf.DUMMYFUNCTION("""COMPUTED_VALUE"""),1.815E8)</f>
        <v>181500000</v>
      </c>
      <c r="AV891" s="14">
        <f>IFERROR(__xludf.DUMMYFUNCTION("""COMPUTED_VALUE"""),0.82)</f>
        <v>0.82</v>
      </c>
      <c r="AW891" s="14">
        <f>IFERROR(__xludf.DUMMYFUNCTION("""COMPUTED_VALUE"""),9.5)</f>
        <v>9.5</v>
      </c>
      <c r="AX891" s="14">
        <f>IFERROR(__xludf.DUMMYFUNCTION("""COMPUTED_VALUE"""),1.772E8)</f>
        <v>177200000</v>
      </c>
      <c r="AY891" s="14">
        <f>IFERROR(__xludf.DUMMYFUNCTION("""COMPUTED_VALUE"""),0.6)</f>
        <v>0.6</v>
      </c>
      <c r="AZ891" s="14">
        <f>IFERROR(__xludf.DUMMYFUNCTION("""COMPUTED_VALUE"""),0.007)</f>
        <v>0.007</v>
      </c>
      <c r="BA891" s="14">
        <f t="shared" si="1"/>
        <v>10.107</v>
      </c>
    </row>
    <row r="892" ht="14.25" customHeight="1">
      <c r="A892" s="10" t="str">
        <f>IFERROR(__xludf.DUMMYFUNCTION("""COMPUTED_VALUE"""),"170723MO03")</f>
        <v>170723MO03</v>
      </c>
      <c r="B892" s="12" t="str">
        <f>IFERROR(__xludf.DUMMYFUNCTION("""COMPUTED_VALUE"""),"COR-Britalia")</f>
        <v>COR-Britalia</v>
      </c>
      <c r="C892" s="12"/>
      <c r="D892" s="12"/>
      <c r="E892" s="44">
        <f>IFERROR(__xludf.DUMMYFUNCTION("""COMPUTED_VALUE"""),45124.0)</f>
        <v>45124</v>
      </c>
      <c r="F892" s="12" t="str">
        <f>IFERROR(__xludf.DUMMYFUNCTION("""COMPUTED_VALUE"""),"TIPO I")</f>
        <v>TIPO I</v>
      </c>
      <c r="G892" s="12" t="str">
        <f>IFERROR(__xludf.DUMMYFUNCTION("""COMPUTED_VALUE"""),"Se observa color, no se percibe olor. Altitud: 2565 msnm. ")</f>
        <v>Se observa color, no se percibe olor. Altitud: 2565 msnm. </v>
      </c>
      <c r="H892" s="45">
        <f>IFERROR(__xludf.DUMMYFUNCTION("""COMPUTED_VALUE"""),0.5)</f>
        <v>0.5</v>
      </c>
      <c r="I892" s="45">
        <f>IFERROR(__xludf.DUMMYFUNCTION("""COMPUTED_VALUE"""),0.5833333333321207)</f>
        <v>0.5833333333</v>
      </c>
      <c r="J892" s="12">
        <f>IFERROR(__xludf.DUMMYFUNCTION("""COMPUTED_VALUE"""),2.5)</f>
        <v>2.5</v>
      </c>
      <c r="K892" s="12">
        <f>IFERROR(__xludf.DUMMYFUNCTION("""COMPUTED_VALUE"""),0.08)</f>
        <v>0.08</v>
      </c>
      <c r="L892" s="14">
        <f>IFERROR(__xludf.DUMMYFUNCTION("""COMPUTED_VALUE"""),16.615)</f>
        <v>16.615</v>
      </c>
      <c r="M892" s="14">
        <f>IFERROR(__xludf.DUMMYFUNCTION("""COMPUTED_VALUE"""),16.625)</f>
        <v>16.625</v>
      </c>
      <c r="N892" s="14">
        <f>IFERROR(__xludf.DUMMYFUNCTION("""COMPUTED_VALUE"""),16.501)</f>
        <v>16.501</v>
      </c>
      <c r="O892" s="14">
        <f>IFERROR(__xludf.DUMMYFUNCTION("""COMPUTED_VALUE"""),16.581)</f>
        <v>16.581</v>
      </c>
      <c r="P892" s="14">
        <f>IFERROR(__xludf.DUMMYFUNCTION("""COMPUTED_VALUE"""),16.591)</f>
        <v>16.591</v>
      </c>
      <c r="Q892" s="14">
        <f>IFERROR(__xludf.DUMMYFUNCTION("""COMPUTED_VALUE"""),16.583)</f>
        <v>16.583</v>
      </c>
      <c r="R892" s="48">
        <f>IFERROR(__xludf.DUMMYFUNCTION("""COMPUTED_VALUE"""),7.12)</f>
        <v>7.12</v>
      </c>
      <c r="S892" s="48">
        <f>IFERROR(__xludf.DUMMYFUNCTION("""COMPUTED_VALUE"""),6.99)</f>
        <v>6.99</v>
      </c>
      <c r="T892" s="48">
        <f>IFERROR(__xludf.DUMMYFUNCTION("""COMPUTED_VALUE"""),7.0)</f>
        <v>7</v>
      </c>
      <c r="U892" s="48">
        <f>IFERROR(__xludf.DUMMYFUNCTION("""COMPUTED_VALUE"""),6.99)</f>
        <v>6.99</v>
      </c>
      <c r="V892" s="48">
        <f>IFERROR(__xludf.DUMMYFUNCTION("""COMPUTED_VALUE"""),6.98)</f>
        <v>6.98</v>
      </c>
      <c r="W892" s="14">
        <f>IFERROR(__xludf.DUMMYFUNCTION("""COMPUTED_VALUE"""),7.016)</f>
        <v>7.016</v>
      </c>
      <c r="X892" s="14">
        <f>IFERROR(__xludf.DUMMYFUNCTION("""COMPUTED_VALUE"""),21.3)</f>
        <v>21.3</v>
      </c>
      <c r="Y892" s="14">
        <f>IFERROR(__xludf.DUMMYFUNCTION("""COMPUTED_VALUE"""),23.5)</f>
        <v>23.5</v>
      </c>
      <c r="Z892" s="14">
        <f>IFERROR(__xludf.DUMMYFUNCTION("""COMPUTED_VALUE"""),21.3)</f>
        <v>21.3</v>
      </c>
      <c r="AA892" s="14">
        <f>IFERROR(__xludf.DUMMYFUNCTION("""COMPUTED_VALUE"""),22.3)</f>
        <v>22.3</v>
      </c>
      <c r="AB892" s="14">
        <f>IFERROR(__xludf.DUMMYFUNCTION("""COMPUTED_VALUE"""),22.3)</f>
        <v>22.3</v>
      </c>
      <c r="AC892" s="14">
        <f>IFERROR(__xludf.DUMMYFUNCTION("""COMPUTED_VALUE"""),22.139999999999997)</f>
        <v>22.14</v>
      </c>
      <c r="AD892" s="48">
        <f>IFERROR(__xludf.DUMMYFUNCTION("""COMPUTED_VALUE"""),357.0)</f>
        <v>357</v>
      </c>
      <c r="AE892" s="48">
        <f>IFERROR(__xludf.DUMMYFUNCTION("""COMPUTED_VALUE"""),340.0)</f>
        <v>340</v>
      </c>
      <c r="AF892" s="48">
        <f>IFERROR(__xludf.DUMMYFUNCTION("""COMPUTED_VALUE"""),356.0)</f>
        <v>356</v>
      </c>
      <c r="AG892" s="48">
        <f>IFERROR(__xludf.DUMMYFUNCTION("""COMPUTED_VALUE"""),344.0)</f>
        <v>344</v>
      </c>
      <c r="AH892" s="48">
        <f>IFERROR(__xludf.DUMMYFUNCTION("""COMPUTED_VALUE"""),341.0)</f>
        <v>341</v>
      </c>
      <c r="AI892" s="14">
        <f>IFERROR(__xludf.DUMMYFUNCTION("""COMPUTED_VALUE"""),347.6)</f>
        <v>347.6</v>
      </c>
      <c r="AJ892" s="14">
        <f>IFERROR(__xludf.DUMMYFUNCTION("""COMPUTED_VALUE"""),2.4)</f>
        <v>2.4</v>
      </c>
      <c r="AK892" s="14">
        <f>IFERROR(__xludf.DUMMYFUNCTION("""COMPUTED_VALUE"""),1.9)</f>
        <v>1.9</v>
      </c>
      <c r="AL892" s="14">
        <f>IFERROR(__xludf.DUMMYFUNCTION("""COMPUTED_VALUE"""),1.8)</f>
        <v>1.8</v>
      </c>
      <c r="AM892" s="14">
        <f>IFERROR(__xludf.DUMMYFUNCTION("""COMPUTED_VALUE"""),2.7)</f>
        <v>2.7</v>
      </c>
      <c r="AN892" s="14">
        <f>IFERROR(__xludf.DUMMYFUNCTION("""COMPUTED_VALUE"""),1.9)</f>
        <v>1.9</v>
      </c>
      <c r="AO892" s="14">
        <f>IFERROR(__xludf.DUMMYFUNCTION("""COMPUTED_VALUE"""),2.14)</f>
        <v>2.14</v>
      </c>
      <c r="AP892" s="14">
        <f>IFERROR(__xludf.DUMMYFUNCTION("""COMPUTED_VALUE"""),18.0)</f>
        <v>18</v>
      </c>
      <c r="AQ892" s="14">
        <f>IFERROR(__xludf.DUMMYFUNCTION("""COMPUTED_VALUE"""),28.0)</f>
        <v>28</v>
      </c>
      <c r="AR892" s="14">
        <f>IFERROR(__xludf.DUMMYFUNCTION("""COMPUTED_VALUE"""),22.0)</f>
        <v>22</v>
      </c>
      <c r="AS892" s="14">
        <f>IFERROR(__xludf.DUMMYFUNCTION("""COMPUTED_VALUE"""),1.0)</f>
        <v>1</v>
      </c>
      <c r="AT892" s="14">
        <f>IFERROR(__xludf.DUMMYFUNCTION("""COMPUTED_VALUE"""),0.91)</f>
        <v>0.91</v>
      </c>
      <c r="AU892" s="14">
        <f>IFERROR(__xludf.DUMMYFUNCTION("""COMPUTED_VALUE"""),2.198E8)</f>
        <v>219800000</v>
      </c>
      <c r="AV892" s="14">
        <f>IFERROR(__xludf.DUMMYFUNCTION("""COMPUTED_VALUE"""),0.52)</f>
        <v>0.52</v>
      </c>
      <c r="AW892" s="14">
        <f>IFERROR(__xludf.DUMMYFUNCTION("""COMPUTED_VALUE"""),10.6)</f>
        <v>10.6</v>
      </c>
      <c r="AX892" s="14">
        <f>IFERROR(__xludf.DUMMYFUNCTION("""COMPUTED_VALUE"""),1.961E8)</f>
        <v>196100000</v>
      </c>
      <c r="AY892" s="14">
        <f>IFERROR(__xludf.DUMMYFUNCTION("""COMPUTED_VALUE"""),0.6)</f>
        <v>0.6</v>
      </c>
      <c r="AZ892" s="14">
        <f>IFERROR(__xludf.DUMMYFUNCTION("""COMPUTED_VALUE"""),0.007)</f>
        <v>0.007</v>
      </c>
      <c r="BA892" s="14">
        <f t="shared" si="1"/>
        <v>11.207</v>
      </c>
    </row>
    <row r="893" ht="14.25" customHeight="1">
      <c r="A893" s="10" t="str">
        <f>IFERROR(__xludf.DUMMYFUNCTION("""COMPUTED_VALUE"""),"180723FE02")</f>
        <v>180723FE02</v>
      </c>
      <c r="B893" s="12" t="str">
        <f>IFERROR(__xludf.DUMMYFUNCTION("""COMPUTED_VALUE"""),"COR-Humedal Córdoba")</f>
        <v>COR-Humedal Córdoba</v>
      </c>
      <c r="C893" s="12"/>
      <c r="D893" s="12"/>
      <c r="E893" s="44">
        <f>IFERROR(__xludf.DUMMYFUNCTION("""COMPUTED_VALUE"""),45125.0)</f>
        <v>45125</v>
      </c>
      <c r="F893" s="12" t="str">
        <f>IFERROR(__xludf.DUMMYFUNCTION("""COMPUTED_VALUE"""),"TIPO I")</f>
        <v>TIPO I</v>
      </c>
      <c r="G893" s="12" t="str">
        <f>IFERROR(__xludf.DUMMYFUNCTION("""COMPUTED_VALUE"""),"Estructura del canal natural; se percibe olor, se observa color, material flotante y residuos sólidos. Altitud 2565 msnm")</f>
        <v>Estructura del canal natural; se percibe olor, se observa color, material flotante y residuos sólidos. Altitud 2565 msnm</v>
      </c>
      <c r="H893" s="45">
        <f>IFERROR(__xludf.DUMMYFUNCTION("""COMPUTED_VALUE"""),0.5)</f>
        <v>0.5</v>
      </c>
      <c r="I893" s="45">
        <f>IFERROR(__xludf.DUMMYFUNCTION("""COMPUTED_VALUE"""),0.5833333333321207)</f>
        <v>0.5833333333</v>
      </c>
      <c r="J893" s="12">
        <f>IFERROR(__xludf.DUMMYFUNCTION("""COMPUTED_VALUE"""),7.6)</f>
        <v>7.6</v>
      </c>
      <c r="K893" s="12">
        <f>IFERROR(__xludf.DUMMYFUNCTION("""COMPUTED_VALUE"""),0.6)</f>
        <v>0.6</v>
      </c>
      <c r="L893" s="14">
        <f>IFERROR(__xludf.DUMMYFUNCTION("""COMPUTED_VALUE"""),632.442)</f>
        <v>632.442</v>
      </c>
      <c r="M893" s="14">
        <f>IFERROR(__xludf.DUMMYFUNCTION("""COMPUTED_VALUE"""),639.115)</f>
        <v>639.115</v>
      </c>
      <c r="N893" s="14">
        <f>IFERROR(__xludf.DUMMYFUNCTION("""COMPUTED_VALUE"""),631.941)</f>
        <v>631.941</v>
      </c>
      <c r="O893" s="14">
        <f>IFERROR(__xludf.DUMMYFUNCTION("""COMPUTED_VALUE"""),630.007)</f>
        <v>630.007</v>
      </c>
      <c r="P893" s="14">
        <f>IFERROR(__xludf.DUMMYFUNCTION("""COMPUTED_VALUE"""),630.217)</f>
        <v>630.217</v>
      </c>
      <c r="Q893" s="14">
        <f>IFERROR(__xludf.DUMMYFUNCTION("""COMPUTED_VALUE"""),632.744)</f>
        <v>632.744</v>
      </c>
      <c r="R893" s="48">
        <f>IFERROR(__xludf.DUMMYFUNCTION("""COMPUTED_VALUE"""),7.28)</f>
        <v>7.28</v>
      </c>
      <c r="S893" s="48">
        <f>IFERROR(__xludf.DUMMYFUNCTION("""COMPUTED_VALUE"""),7.22)</f>
        <v>7.22</v>
      </c>
      <c r="T893" s="48">
        <f>IFERROR(__xludf.DUMMYFUNCTION("""COMPUTED_VALUE"""),7.35)</f>
        <v>7.35</v>
      </c>
      <c r="U893" s="48">
        <f>IFERROR(__xludf.DUMMYFUNCTION("""COMPUTED_VALUE"""),7.04)</f>
        <v>7.04</v>
      </c>
      <c r="V893" s="48">
        <f>IFERROR(__xludf.DUMMYFUNCTION("""COMPUTED_VALUE"""),7.0)</f>
        <v>7</v>
      </c>
      <c r="W893" s="14">
        <f>IFERROR(__xludf.DUMMYFUNCTION("""COMPUTED_VALUE"""),7.178)</f>
        <v>7.178</v>
      </c>
      <c r="X893" s="14">
        <f>IFERROR(__xludf.DUMMYFUNCTION("""COMPUTED_VALUE"""),18.6)</f>
        <v>18.6</v>
      </c>
      <c r="Y893" s="14">
        <f>IFERROR(__xludf.DUMMYFUNCTION("""COMPUTED_VALUE"""),19.2)</f>
        <v>19.2</v>
      </c>
      <c r="Z893" s="14">
        <f>IFERROR(__xludf.DUMMYFUNCTION("""COMPUTED_VALUE"""),19.8)</f>
        <v>19.8</v>
      </c>
      <c r="AA893" s="14">
        <f>IFERROR(__xludf.DUMMYFUNCTION("""COMPUTED_VALUE"""),20.1)</f>
        <v>20.1</v>
      </c>
      <c r="AB893" s="14">
        <f>IFERROR(__xludf.DUMMYFUNCTION("""COMPUTED_VALUE"""),20.6)</f>
        <v>20.6</v>
      </c>
      <c r="AC893" s="14">
        <f>IFERROR(__xludf.DUMMYFUNCTION("""COMPUTED_VALUE"""),19.659999999999997)</f>
        <v>19.66</v>
      </c>
      <c r="AD893" s="48">
        <f>IFERROR(__xludf.DUMMYFUNCTION("""COMPUTED_VALUE"""),374.0)</f>
        <v>374</v>
      </c>
      <c r="AE893" s="48">
        <f>IFERROR(__xludf.DUMMYFUNCTION("""COMPUTED_VALUE"""),409.0)</f>
        <v>409</v>
      </c>
      <c r="AF893" s="48">
        <f>IFERROR(__xludf.DUMMYFUNCTION("""COMPUTED_VALUE"""),376.0)</f>
        <v>376</v>
      </c>
      <c r="AG893" s="48">
        <f>IFERROR(__xludf.DUMMYFUNCTION("""COMPUTED_VALUE"""),417.0)</f>
        <v>417</v>
      </c>
      <c r="AH893" s="48">
        <f>IFERROR(__xludf.DUMMYFUNCTION("""COMPUTED_VALUE"""),407.0)</f>
        <v>407</v>
      </c>
      <c r="AI893" s="14">
        <f>IFERROR(__xludf.DUMMYFUNCTION("""COMPUTED_VALUE"""),396.6)</f>
        <v>396.6</v>
      </c>
      <c r="AJ893" s="14">
        <f>IFERROR(__xludf.DUMMYFUNCTION("""COMPUTED_VALUE"""),2.49)</f>
        <v>2.49</v>
      </c>
      <c r="AK893" s="14">
        <f>IFERROR(__xludf.DUMMYFUNCTION("""COMPUTED_VALUE"""),2.96)</f>
        <v>2.96</v>
      </c>
      <c r="AL893" s="14">
        <f>IFERROR(__xludf.DUMMYFUNCTION("""COMPUTED_VALUE"""),3.15)</f>
        <v>3.15</v>
      </c>
      <c r="AM893" s="14">
        <f>IFERROR(__xludf.DUMMYFUNCTION("""COMPUTED_VALUE"""),2.47)</f>
        <v>2.47</v>
      </c>
      <c r="AN893" s="14">
        <f>IFERROR(__xludf.DUMMYFUNCTION("""COMPUTED_VALUE"""),2.38)</f>
        <v>2.38</v>
      </c>
      <c r="AO893" s="14">
        <f>IFERROR(__xludf.DUMMYFUNCTION("""COMPUTED_VALUE"""),2.69)</f>
        <v>2.69</v>
      </c>
      <c r="AP893" s="14">
        <f>IFERROR(__xludf.DUMMYFUNCTION("""COMPUTED_VALUE"""),34.0)</f>
        <v>34</v>
      </c>
      <c r="AQ893" s="14">
        <f>IFERROR(__xludf.DUMMYFUNCTION("""COMPUTED_VALUE"""),52.0)</f>
        <v>52</v>
      </c>
      <c r="AR893" s="14">
        <f>IFERROR(__xludf.DUMMYFUNCTION("""COMPUTED_VALUE"""),38.0)</f>
        <v>38</v>
      </c>
      <c r="AS893" s="14">
        <f>IFERROR(__xludf.DUMMYFUNCTION("""COMPUTED_VALUE"""),1.3)</f>
        <v>1.3</v>
      </c>
      <c r="AT893" s="14">
        <f>IFERROR(__xludf.DUMMYFUNCTION("""COMPUTED_VALUE"""),1.44)</f>
        <v>1.44</v>
      </c>
      <c r="AU893" s="14">
        <f>IFERROR(__xludf.DUMMYFUNCTION("""COMPUTED_VALUE"""),1.615E7)</f>
        <v>16150000</v>
      </c>
      <c r="AV893" s="14">
        <f>IFERROR(__xludf.DUMMYFUNCTION("""COMPUTED_VALUE"""),2.19)</f>
        <v>2.19</v>
      </c>
      <c r="AW893" s="14">
        <f>IFERROR(__xludf.DUMMYFUNCTION("""COMPUTED_VALUE"""),20.4)</f>
        <v>20.4</v>
      </c>
      <c r="AX893" s="14">
        <f>IFERROR(__xludf.DUMMYFUNCTION("""COMPUTED_VALUE"""),1353000.0)</f>
        <v>1353000</v>
      </c>
      <c r="AY893" s="14">
        <f>IFERROR(__xludf.DUMMYFUNCTION("""COMPUTED_VALUE"""),0.5)</f>
        <v>0.5</v>
      </c>
      <c r="AZ893" s="14">
        <f>IFERROR(__xludf.DUMMYFUNCTION("""COMPUTED_VALUE"""),0.007)</f>
        <v>0.007</v>
      </c>
      <c r="BA893" s="14">
        <f t="shared" si="1"/>
        <v>20.907</v>
      </c>
    </row>
    <row r="894" ht="14.25" customHeight="1">
      <c r="A894" s="10" t="str">
        <f>IFERROR(__xludf.DUMMYFUNCTION("""COMPUTED_VALUE"""),"180723FE01")</f>
        <v>180723FE01</v>
      </c>
      <c r="B894" s="12" t="str">
        <f>IFERROR(__xludf.DUMMYFUNCTION("""COMPUTED_VALUE"""),"COR-Prado Veraniego")</f>
        <v>COR-Prado Veraniego</v>
      </c>
      <c r="C894" s="12"/>
      <c r="D894" s="12"/>
      <c r="E894" s="44">
        <f>IFERROR(__xludf.DUMMYFUNCTION("""COMPUTED_VALUE"""),45125.0)</f>
        <v>45125</v>
      </c>
      <c r="F894" s="12" t="str">
        <f>IFERROR(__xludf.DUMMYFUNCTION("""COMPUTED_VALUE"""),"TIPO I")</f>
        <v>TIPO I</v>
      </c>
      <c r="G894" s="12" t="str">
        <f>IFERROR(__xludf.DUMMYFUNCTION("""COMPUTED_VALUE"""),"No se observa color, no se percibe olor, se observa lama en el lecho del canal, la lamina de agua y el ancho del cauce disminuyen a partir de la tercera alícuota")</f>
        <v>No se observa color, no se percibe olor, se observa lama en el lecho del canal, la lamina de agua y el ancho del cauce disminuyen a partir de la tercera alícuota</v>
      </c>
      <c r="H894" s="45">
        <f>IFERROR(__xludf.DUMMYFUNCTION("""COMPUTED_VALUE"""),0.3333333333321207)</f>
        <v>0.3333333333</v>
      </c>
      <c r="I894" s="45">
        <f>IFERROR(__xludf.DUMMYFUNCTION("""COMPUTED_VALUE"""),0.4166666666678793)</f>
        <v>0.4166666667</v>
      </c>
      <c r="J894" s="12">
        <f>IFERROR(__xludf.DUMMYFUNCTION("""COMPUTED_VALUE"""),3.2)</f>
        <v>3.2</v>
      </c>
      <c r="K894" s="12">
        <f>IFERROR(__xludf.DUMMYFUNCTION("""COMPUTED_VALUE"""),0.15)</f>
        <v>0.15</v>
      </c>
      <c r="L894" s="14">
        <f>IFERROR(__xludf.DUMMYFUNCTION("""COMPUTED_VALUE"""),108.731)</f>
        <v>108.731</v>
      </c>
      <c r="M894" s="14">
        <f>IFERROR(__xludf.DUMMYFUNCTION("""COMPUTED_VALUE"""),108.813)</f>
        <v>108.813</v>
      </c>
      <c r="N894" s="14">
        <f>IFERROR(__xludf.DUMMYFUNCTION("""COMPUTED_VALUE"""),96.001)</f>
        <v>96.001</v>
      </c>
      <c r="O894" s="14">
        <f>IFERROR(__xludf.DUMMYFUNCTION("""COMPUTED_VALUE"""),91.2)</f>
        <v>91.2</v>
      </c>
      <c r="P894" s="14">
        <f>IFERROR(__xludf.DUMMYFUNCTION("""COMPUTED_VALUE"""),92.416)</f>
        <v>92.416</v>
      </c>
      <c r="Q894" s="14">
        <f>IFERROR(__xludf.DUMMYFUNCTION("""COMPUTED_VALUE"""),99.432)</f>
        <v>99.432</v>
      </c>
      <c r="R894" s="48">
        <f>IFERROR(__xludf.DUMMYFUNCTION("""COMPUTED_VALUE"""),7.4)</f>
        <v>7.4</v>
      </c>
      <c r="S894" s="48">
        <f>IFERROR(__xludf.DUMMYFUNCTION("""COMPUTED_VALUE"""),7.73)</f>
        <v>7.73</v>
      </c>
      <c r="T894" s="48">
        <f>IFERROR(__xludf.DUMMYFUNCTION("""COMPUTED_VALUE"""),7.96)</f>
        <v>7.96</v>
      </c>
      <c r="U894" s="48">
        <f>IFERROR(__xludf.DUMMYFUNCTION("""COMPUTED_VALUE"""),8.19)</f>
        <v>8.19</v>
      </c>
      <c r="V894" s="48">
        <f>IFERROR(__xludf.DUMMYFUNCTION("""COMPUTED_VALUE"""),8.2)</f>
        <v>8.2</v>
      </c>
      <c r="W894" s="14">
        <f>IFERROR(__xludf.DUMMYFUNCTION("""COMPUTED_VALUE"""),7.896000000000001)</f>
        <v>7.896</v>
      </c>
      <c r="X894" s="14">
        <f>IFERROR(__xludf.DUMMYFUNCTION("""COMPUTED_VALUE"""),17.6)</f>
        <v>17.6</v>
      </c>
      <c r="Y894" s="14">
        <f>IFERROR(__xludf.DUMMYFUNCTION("""COMPUTED_VALUE"""),17.8)</f>
        <v>17.8</v>
      </c>
      <c r="Z894" s="14">
        <f>IFERROR(__xludf.DUMMYFUNCTION("""COMPUTED_VALUE"""),18.4)</f>
        <v>18.4</v>
      </c>
      <c r="AA894" s="14">
        <f>IFERROR(__xludf.DUMMYFUNCTION("""COMPUTED_VALUE"""),18.9)</f>
        <v>18.9</v>
      </c>
      <c r="AB894" s="14">
        <f>IFERROR(__xludf.DUMMYFUNCTION("""COMPUTED_VALUE"""),19.1)</f>
        <v>19.1</v>
      </c>
      <c r="AC894" s="14">
        <f>IFERROR(__xludf.DUMMYFUNCTION("""COMPUTED_VALUE"""),18.360000000000003)</f>
        <v>18.36</v>
      </c>
      <c r="AD894" s="48">
        <f>IFERROR(__xludf.DUMMYFUNCTION("""COMPUTED_VALUE"""),342.0)</f>
        <v>342</v>
      </c>
      <c r="AE894" s="48">
        <f>IFERROR(__xludf.DUMMYFUNCTION("""COMPUTED_VALUE"""),335.0)</f>
        <v>335</v>
      </c>
      <c r="AF894" s="48">
        <f>IFERROR(__xludf.DUMMYFUNCTION("""COMPUTED_VALUE"""),328.0)</f>
        <v>328</v>
      </c>
      <c r="AG894" s="48">
        <f>IFERROR(__xludf.DUMMYFUNCTION("""COMPUTED_VALUE"""),295.0)</f>
        <v>295</v>
      </c>
      <c r="AH894" s="48">
        <f>IFERROR(__xludf.DUMMYFUNCTION("""COMPUTED_VALUE"""),325.0)</f>
        <v>325</v>
      </c>
      <c r="AI894" s="14">
        <f>IFERROR(__xludf.DUMMYFUNCTION("""COMPUTED_VALUE"""),325.0)</f>
        <v>325</v>
      </c>
      <c r="AJ894" s="14">
        <f>IFERROR(__xludf.DUMMYFUNCTION("""COMPUTED_VALUE"""),5.2)</f>
        <v>5.2</v>
      </c>
      <c r="AK894" s="14">
        <f>IFERROR(__xludf.DUMMYFUNCTION("""COMPUTED_VALUE"""),5.8)</f>
        <v>5.8</v>
      </c>
      <c r="AL894" s="14">
        <f>IFERROR(__xludf.DUMMYFUNCTION("""COMPUTED_VALUE"""),5.69)</f>
        <v>5.69</v>
      </c>
      <c r="AM894" s="14">
        <f>IFERROR(__xludf.DUMMYFUNCTION("""COMPUTED_VALUE"""),5.45)</f>
        <v>5.45</v>
      </c>
      <c r="AN894" s="14">
        <f>IFERROR(__xludf.DUMMYFUNCTION("""COMPUTED_VALUE"""),5.22)</f>
        <v>5.22</v>
      </c>
      <c r="AO894" s="14">
        <f>IFERROR(__xludf.DUMMYFUNCTION("""COMPUTED_VALUE"""),5.4719999999999995)</f>
        <v>5.472</v>
      </c>
      <c r="AP894" s="14">
        <f>IFERROR(__xludf.DUMMYFUNCTION("""COMPUTED_VALUE"""),15.0)</f>
        <v>15</v>
      </c>
      <c r="AQ894" s="14">
        <f>IFERROR(__xludf.DUMMYFUNCTION("""COMPUTED_VALUE"""),23.0)</f>
        <v>23</v>
      </c>
      <c r="AR894" s="14">
        <f>IFERROR(__xludf.DUMMYFUNCTION("""COMPUTED_VALUE"""),11.0)</f>
        <v>11</v>
      </c>
      <c r="AS894" s="14">
        <f>IFERROR(__xludf.DUMMYFUNCTION("""COMPUTED_VALUE"""),1.0)</f>
        <v>1</v>
      </c>
      <c r="AT894" s="14">
        <f>IFERROR(__xludf.DUMMYFUNCTION("""COMPUTED_VALUE"""),0.31)</f>
        <v>0.31</v>
      </c>
      <c r="AU894" s="14">
        <f>IFERROR(__xludf.DUMMYFUNCTION("""COMPUTED_VALUE"""),1.935E7)</f>
        <v>19350000</v>
      </c>
      <c r="AV894" s="14">
        <f>IFERROR(__xludf.DUMMYFUNCTION("""COMPUTED_VALUE"""),0.61)</f>
        <v>0.61</v>
      </c>
      <c r="AW894" s="14">
        <f>IFERROR(__xludf.DUMMYFUNCTION("""COMPUTED_VALUE"""),10.1)</f>
        <v>10.1</v>
      </c>
      <c r="AX894" s="14">
        <f>IFERROR(__xludf.DUMMYFUNCTION("""COMPUTED_VALUE"""),1664000.0)</f>
        <v>1664000</v>
      </c>
      <c r="AY894" s="14">
        <f>IFERROR(__xludf.DUMMYFUNCTION("""COMPUTED_VALUE"""),1.1)</f>
        <v>1.1</v>
      </c>
      <c r="AZ894" s="14">
        <f>IFERROR(__xludf.DUMMYFUNCTION("""COMPUTED_VALUE"""),0.115)</f>
        <v>0.115</v>
      </c>
      <c r="BA894" s="14">
        <f t="shared" si="1"/>
        <v>11.315</v>
      </c>
    </row>
    <row r="895" ht="14.25" customHeight="1">
      <c r="A895" s="10" t="str">
        <f>IFERROR(__xludf.DUMMYFUNCTION("""COMPUTED_VALUE"""),"210723DU01")</f>
        <v>210723DU01</v>
      </c>
      <c r="B895" s="12" t="str">
        <f>IFERROR(__xludf.DUMMYFUNCTION("""COMPUTED_VALUE"""),"QCH-La Orquídea")</f>
        <v>QCH-La Orquídea</v>
      </c>
      <c r="C895" s="12"/>
      <c r="D895" s="12"/>
      <c r="E895" s="44">
        <f>IFERROR(__xludf.DUMMYFUNCTION("""COMPUTED_VALUE"""),45128.0)</f>
        <v>45128</v>
      </c>
      <c r="F895" s="12" t="str">
        <f>IFERROR(__xludf.DUMMYFUNCTION("""COMPUTED_VALUE"""),"TIPO I")</f>
        <v>TIPO I</v>
      </c>
      <c r="G895" s="12" t="str">
        <f>IFERROR(__xludf.DUMMYFUNCTION("""COMPUTED_VALUE"""),"Se observa color y residuos solidos, no se percibe olor y se presentan lluvias lleves durante el monitoreo.")</f>
        <v>Se observa color y residuos solidos, no se percibe olor y se presentan lluvias lleves durante el monitoreo.</v>
      </c>
      <c r="H895" s="45">
        <f>IFERROR(__xludf.DUMMYFUNCTION("""COMPUTED_VALUE"""),0.25)</f>
        <v>0.25</v>
      </c>
      <c r="I895" s="45">
        <f>IFERROR(__xludf.DUMMYFUNCTION("""COMPUTED_VALUE"""),0.3333333333321207)</f>
        <v>0.3333333333</v>
      </c>
      <c r="J895" s="12"/>
      <c r="K895" s="12"/>
      <c r="L895" s="14">
        <f>IFERROR(__xludf.DUMMYFUNCTION("""COMPUTED_VALUE"""),3.386)</f>
        <v>3.386</v>
      </c>
      <c r="M895" s="14">
        <f>IFERROR(__xludf.DUMMYFUNCTION("""COMPUTED_VALUE"""),2.542)</f>
        <v>2.542</v>
      </c>
      <c r="N895" s="14">
        <f>IFERROR(__xludf.DUMMYFUNCTION("""COMPUTED_VALUE"""),3.032)</f>
        <v>3.032</v>
      </c>
      <c r="O895" s="14">
        <f>IFERROR(__xludf.DUMMYFUNCTION("""COMPUTED_VALUE"""),3.51)</f>
        <v>3.51</v>
      </c>
      <c r="P895" s="14">
        <f>IFERROR(__xludf.DUMMYFUNCTION("""COMPUTED_VALUE"""),3.075)</f>
        <v>3.075</v>
      </c>
      <c r="Q895" s="14">
        <f>IFERROR(__xludf.DUMMYFUNCTION("""COMPUTED_VALUE"""),3.109)</f>
        <v>3.109</v>
      </c>
      <c r="R895" s="48">
        <f>IFERROR(__xludf.DUMMYFUNCTION("""COMPUTED_VALUE"""),8.15)</f>
        <v>8.15</v>
      </c>
      <c r="S895" s="48">
        <f>IFERROR(__xludf.DUMMYFUNCTION("""COMPUTED_VALUE"""),8.16)</f>
        <v>8.16</v>
      </c>
      <c r="T895" s="48">
        <f>IFERROR(__xludf.DUMMYFUNCTION("""COMPUTED_VALUE"""),8.17)</f>
        <v>8.17</v>
      </c>
      <c r="U895" s="48">
        <f>IFERROR(__xludf.DUMMYFUNCTION("""COMPUTED_VALUE"""),8.17)</f>
        <v>8.17</v>
      </c>
      <c r="V895" s="48">
        <f>IFERROR(__xludf.DUMMYFUNCTION("""COMPUTED_VALUE"""),8.12)</f>
        <v>8.12</v>
      </c>
      <c r="W895" s="14">
        <f>IFERROR(__xludf.DUMMYFUNCTION("""COMPUTED_VALUE"""),8.154)</f>
        <v>8.154</v>
      </c>
      <c r="X895" s="14">
        <f>IFERROR(__xludf.DUMMYFUNCTION("""COMPUTED_VALUE"""),15.6)</f>
        <v>15.6</v>
      </c>
      <c r="Y895" s="14">
        <f>IFERROR(__xludf.DUMMYFUNCTION("""COMPUTED_VALUE"""),15.2)</f>
        <v>15.2</v>
      </c>
      <c r="Z895" s="14">
        <f>IFERROR(__xludf.DUMMYFUNCTION("""COMPUTED_VALUE"""),15.5)</f>
        <v>15.5</v>
      </c>
      <c r="AA895" s="14">
        <f>IFERROR(__xludf.DUMMYFUNCTION("""COMPUTED_VALUE"""),15.7)</f>
        <v>15.7</v>
      </c>
      <c r="AB895" s="14">
        <f>IFERROR(__xludf.DUMMYFUNCTION("""COMPUTED_VALUE"""),14.2)</f>
        <v>14.2</v>
      </c>
      <c r="AC895" s="14">
        <f>IFERROR(__xludf.DUMMYFUNCTION("""COMPUTED_VALUE"""),15.24)</f>
        <v>15.24</v>
      </c>
      <c r="AD895" s="48">
        <f>IFERROR(__xludf.DUMMYFUNCTION("""COMPUTED_VALUE"""),496.0)</f>
        <v>496</v>
      </c>
      <c r="AE895" s="48">
        <f>IFERROR(__xludf.DUMMYFUNCTION("""COMPUTED_VALUE"""),471.0)</f>
        <v>471</v>
      </c>
      <c r="AF895" s="48">
        <f>IFERROR(__xludf.DUMMYFUNCTION("""COMPUTED_VALUE"""),487.0)</f>
        <v>487</v>
      </c>
      <c r="AG895" s="48">
        <f>IFERROR(__xludf.DUMMYFUNCTION("""COMPUTED_VALUE"""),494.0)</f>
        <v>494</v>
      </c>
      <c r="AH895" s="48">
        <f>IFERROR(__xludf.DUMMYFUNCTION("""COMPUTED_VALUE"""),490.0)</f>
        <v>490</v>
      </c>
      <c r="AI895" s="14">
        <f>IFERROR(__xludf.DUMMYFUNCTION("""COMPUTED_VALUE"""),487.6)</f>
        <v>487.6</v>
      </c>
      <c r="AJ895" s="14">
        <f>IFERROR(__xludf.DUMMYFUNCTION("""COMPUTED_VALUE"""),4.55)</f>
        <v>4.55</v>
      </c>
      <c r="AK895" s="14">
        <f>IFERROR(__xludf.DUMMYFUNCTION("""COMPUTED_VALUE"""),4.4)</f>
        <v>4.4</v>
      </c>
      <c r="AL895" s="14">
        <f>IFERROR(__xludf.DUMMYFUNCTION("""COMPUTED_VALUE"""),4.47)</f>
        <v>4.47</v>
      </c>
      <c r="AM895" s="14">
        <f>IFERROR(__xludf.DUMMYFUNCTION("""COMPUTED_VALUE"""),4.53)</f>
        <v>4.53</v>
      </c>
      <c r="AN895" s="14">
        <f>IFERROR(__xludf.DUMMYFUNCTION("""COMPUTED_VALUE"""),4.84)</f>
        <v>4.84</v>
      </c>
      <c r="AO895" s="14">
        <f>IFERROR(__xludf.DUMMYFUNCTION("""COMPUTED_VALUE"""),4.558)</f>
        <v>4.558</v>
      </c>
      <c r="AP895" s="14">
        <f>IFERROR(__xludf.DUMMYFUNCTION("""COMPUTED_VALUE"""),21.0)</f>
        <v>21</v>
      </c>
      <c r="AQ895" s="14">
        <f>IFERROR(__xludf.DUMMYFUNCTION("""COMPUTED_VALUE"""),33.0)</f>
        <v>33</v>
      </c>
      <c r="AR895" s="14">
        <f>IFERROR(__xludf.DUMMYFUNCTION("""COMPUTED_VALUE"""),27.0)</f>
        <v>27</v>
      </c>
      <c r="AS895" s="14">
        <f>IFERROR(__xludf.DUMMYFUNCTION("""COMPUTED_VALUE"""),1.0)</f>
        <v>1</v>
      </c>
      <c r="AT895" s="14">
        <f>IFERROR(__xludf.DUMMYFUNCTION("""COMPUTED_VALUE"""),0.07)</f>
        <v>0.07</v>
      </c>
      <c r="AU895" s="14">
        <f>IFERROR(__xludf.DUMMYFUNCTION("""COMPUTED_VALUE"""),98800.0)</f>
        <v>98800</v>
      </c>
      <c r="AV895" s="14">
        <f>IFERROR(__xludf.DUMMYFUNCTION("""COMPUTED_VALUE"""),0.26)</f>
        <v>0.26</v>
      </c>
      <c r="AW895" s="14">
        <f>IFERROR(__xludf.DUMMYFUNCTION("""COMPUTED_VALUE"""),3.1)</f>
        <v>3.1</v>
      </c>
      <c r="AX895" s="14">
        <f>IFERROR(__xludf.DUMMYFUNCTION("""COMPUTED_VALUE"""),43900.0)</f>
        <v>43900</v>
      </c>
      <c r="AY895" s="14">
        <f>IFERROR(__xludf.DUMMYFUNCTION("""COMPUTED_VALUE"""),2.1)</f>
        <v>2.1</v>
      </c>
      <c r="AZ895" s="14">
        <f>IFERROR(__xludf.DUMMYFUNCTION("""COMPUTED_VALUE"""),0.098)</f>
        <v>0.098</v>
      </c>
      <c r="BA895" s="14">
        <f t="shared" si="1"/>
        <v>5.298</v>
      </c>
    </row>
    <row r="896" ht="14.25" customHeight="1">
      <c r="A896" s="10" t="str">
        <f>IFERROR(__xludf.DUMMYFUNCTION("""COMPUTED_VALUE"""),"010823HA02")</f>
        <v>010823HA02</v>
      </c>
      <c r="B896" s="12" t="str">
        <f>IFERROR(__xludf.DUMMYFUNCTION("""COMPUTED_VALUE"""),"QLI-Bella Flor")</f>
        <v>QLI-Bella Flor</v>
      </c>
      <c r="C896" s="12"/>
      <c r="D896" s="12"/>
      <c r="E896" s="44">
        <f>IFERROR(__xludf.DUMMYFUNCTION("""COMPUTED_VALUE"""),45139.0)</f>
        <v>45139</v>
      </c>
      <c r="F896" s="12" t="str">
        <f>IFERROR(__xludf.DUMMYFUNCTION("""COMPUTED_VALUE"""),"TIPO I")</f>
        <v>TIPO I</v>
      </c>
      <c r="G896" s="12" t="str">
        <f>IFERROR(__xludf.DUMMYFUNCTION("""COMPUTED_VALUE"""),"Lecho natural; se observa color y se percibe olor en la muestra de agua, durante el monitoreo se presentan lloviznas y se observa que en la parte alta del cauce se presentan fuertes lluvias. Altitud 2607 msnm.")</f>
        <v>Lecho natural; se observa color y se percibe olor en la muestra de agua, durante el monitoreo se presentan lloviznas y se observa que en la parte alta del cauce se presentan fuertes lluvias. Altitud 2607 msnm.</v>
      </c>
      <c r="H896" s="45">
        <f>IFERROR(__xludf.DUMMYFUNCTION("""COMPUTED_VALUE"""),0.5)</f>
        <v>0.5</v>
      </c>
      <c r="I896" s="45">
        <f>IFERROR(__xludf.DUMMYFUNCTION("""COMPUTED_VALUE"""),0.5833333333321207)</f>
        <v>0.5833333333</v>
      </c>
      <c r="J896" s="12">
        <f>IFERROR(__xludf.DUMMYFUNCTION("""COMPUTED_VALUE"""),1.0)</f>
        <v>1</v>
      </c>
      <c r="K896" s="12">
        <f>IFERROR(__xludf.DUMMYFUNCTION("""COMPUTED_VALUE"""),0.32)</f>
        <v>0.32</v>
      </c>
      <c r="L896" s="14">
        <f>IFERROR(__xludf.DUMMYFUNCTION("""COMPUTED_VALUE"""),70.153)</f>
        <v>70.153</v>
      </c>
      <c r="M896" s="14">
        <f>IFERROR(__xludf.DUMMYFUNCTION("""COMPUTED_VALUE"""),71.057)</f>
        <v>71.057</v>
      </c>
      <c r="N896" s="14">
        <f>IFERROR(__xludf.DUMMYFUNCTION("""COMPUTED_VALUE"""),126.813)</f>
        <v>126.813</v>
      </c>
      <c r="O896" s="14">
        <f>IFERROR(__xludf.DUMMYFUNCTION("""COMPUTED_VALUE"""),124.285)</f>
        <v>124.285</v>
      </c>
      <c r="P896" s="14">
        <f>IFERROR(__xludf.DUMMYFUNCTION("""COMPUTED_VALUE"""),125.479)</f>
        <v>125.479</v>
      </c>
      <c r="Q896" s="14">
        <f>IFERROR(__xludf.DUMMYFUNCTION("""COMPUTED_VALUE"""),103.557)</f>
        <v>103.557</v>
      </c>
      <c r="R896" s="48">
        <f>IFERROR(__xludf.DUMMYFUNCTION("""COMPUTED_VALUE"""),7.62)</f>
        <v>7.62</v>
      </c>
      <c r="S896" s="48">
        <f>IFERROR(__xludf.DUMMYFUNCTION("""COMPUTED_VALUE"""),7.53)</f>
        <v>7.53</v>
      </c>
      <c r="T896" s="48">
        <f>IFERROR(__xludf.DUMMYFUNCTION("""COMPUTED_VALUE"""),7.62)</f>
        <v>7.62</v>
      </c>
      <c r="U896" s="48">
        <f>IFERROR(__xludf.DUMMYFUNCTION("""COMPUTED_VALUE"""),7.54)</f>
        <v>7.54</v>
      </c>
      <c r="V896" s="48">
        <f>IFERROR(__xludf.DUMMYFUNCTION("""COMPUTED_VALUE"""),7.53)</f>
        <v>7.53</v>
      </c>
      <c r="W896" s="14">
        <f>IFERROR(__xludf.DUMMYFUNCTION("""COMPUTED_VALUE"""),7.568)</f>
        <v>7.568</v>
      </c>
      <c r="X896" s="14">
        <f>IFERROR(__xludf.DUMMYFUNCTION("""COMPUTED_VALUE"""),16.2)</f>
        <v>16.2</v>
      </c>
      <c r="Y896" s="14">
        <f>IFERROR(__xludf.DUMMYFUNCTION("""COMPUTED_VALUE"""),16.0)</f>
        <v>16</v>
      </c>
      <c r="Z896" s="14">
        <f>IFERROR(__xludf.DUMMYFUNCTION("""COMPUTED_VALUE"""),15.9)</f>
        <v>15.9</v>
      </c>
      <c r="AA896" s="14">
        <f>IFERROR(__xludf.DUMMYFUNCTION("""COMPUTED_VALUE"""),15.9)</f>
        <v>15.9</v>
      </c>
      <c r="AB896" s="14">
        <f>IFERROR(__xludf.DUMMYFUNCTION("""COMPUTED_VALUE"""),15.7)</f>
        <v>15.7</v>
      </c>
      <c r="AC896" s="14">
        <f>IFERROR(__xludf.DUMMYFUNCTION("""COMPUTED_VALUE"""),15.940000000000001)</f>
        <v>15.94</v>
      </c>
      <c r="AD896" s="48">
        <f>IFERROR(__xludf.DUMMYFUNCTION("""COMPUTED_VALUE"""),346.0)</f>
        <v>346</v>
      </c>
      <c r="AE896" s="48">
        <f>IFERROR(__xludf.DUMMYFUNCTION("""COMPUTED_VALUE"""),334.0)</f>
        <v>334</v>
      </c>
      <c r="AF896" s="48">
        <f>IFERROR(__xludf.DUMMYFUNCTION("""COMPUTED_VALUE"""),321.0)</f>
        <v>321</v>
      </c>
      <c r="AG896" s="48">
        <f>IFERROR(__xludf.DUMMYFUNCTION("""COMPUTED_VALUE"""),315.0)</f>
        <v>315</v>
      </c>
      <c r="AH896" s="48">
        <f>IFERROR(__xludf.DUMMYFUNCTION("""COMPUTED_VALUE"""),341.0)</f>
        <v>341</v>
      </c>
      <c r="AI896" s="14">
        <f>IFERROR(__xludf.DUMMYFUNCTION("""COMPUTED_VALUE"""),331.4)</f>
        <v>331.4</v>
      </c>
      <c r="AJ896" s="14">
        <f>IFERROR(__xludf.DUMMYFUNCTION("""COMPUTED_VALUE"""),5.22)</f>
        <v>5.22</v>
      </c>
      <c r="AK896" s="14">
        <f>IFERROR(__xludf.DUMMYFUNCTION("""COMPUTED_VALUE"""),5.21)</f>
        <v>5.21</v>
      </c>
      <c r="AL896" s="14">
        <f>IFERROR(__xludf.DUMMYFUNCTION("""COMPUTED_VALUE"""),5.38)</f>
        <v>5.38</v>
      </c>
      <c r="AM896" s="14">
        <f>IFERROR(__xludf.DUMMYFUNCTION("""COMPUTED_VALUE"""),5.09)</f>
        <v>5.09</v>
      </c>
      <c r="AN896" s="14">
        <f>IFERROR(__xludf.DUMMYFUNCTION("""COMPUTED_VALUE"""),5.2)</f>
        <v>5.2</v>
      </c>
      <c r="AO896" s="14">
        <f>IFERROR(__xludf.DUMMYFUNCTION("""COMPUTED_VALUE"""),5.22)</f>
        <v>5.22</v>
      </c>
      <c r="AP896" s="14">
        <f>IFERROR(__xludf.DUMMYFUNCTION("""COMPUTED_VALUE"""),69.0)</f>
        <v>69</v>
      </c>
      <c r="AQ896" s="14">
        <f>IFERROR(__xludf.DUMMYFUNCTION("""COMPUTED_VALUE"""),105.0)</f>
        <v>105</v>
      </c>
      <c r="AR896" s="14">
        <f>IFERROR(__xludf.DUMMYFUNCTION("""COMPUTED_VALUE"""),622.0)</f>
        <v>622</v>
      </c>
      <c r="AS896" s="14">
        <f>IFERROR(__xludf.DUMMYFUNCTION("""COMPUTED_VALUE"""),1.0)</f>
        <v>1</v>
      </c>
      <c r="AT896" s="14">
        <f>IFERROR(__xludf.DUMMYFUNCTION("""COMPUTED_VALUE"""),0.29)</f>
        <v>0.29</v>
      </c>
      <c r="AU896" s="14">
        <f>IFERROR(__xludf.DUMMYFUNCTION("""COMPUTED_VALUE"""),839000.0)</f>
        <v>839000</v>
      </c>
      <c r="AV896" s="14">
        <f>IFERROR(__xludf.DUMMYFUNCTION("""COMPUTED_VALUE"""),0.5)</f>
        <v>0.5</v>
      </c>
      <c r="AW896" s="14">
        <f>IFERROR(__xludf.DUMMYFUNCTION("""COMPUTED_VALUE"""),9.5)</f>
        <v>9.5</v>
      </c>
      <c r="AX896" s="14">
        <f>IFERROR(__xludf.DUMMYFUNCTION("""COMPUTED_VALUE"""),563000.0)</f>
        <v>563000</v>
      </c>
      <c r="AY896" s="14">
        <f>IFERROR(__xludf.DUMMYFUNCTION("""COMPUTED_VALUE"""),0.5)</f>
        <v>0.5</v>
      </c>
      <c r="AZ896" s="14">
        <f>IFERROR(__xludf.DUMMYFUNCTION("""COMPUTED_VALUE"""),0.007)</f>
        <v>0.007</v>
      </c>
      <c r="BA896" s="14">
        <f t="shared" si="1"/>
        <v>10.007</v>
      </c>
    </row>
    <row r="897" ht="14.25" customHeight="1">
      <c r="A897" s="10" t="str">
        <f>IFERROR(__xludf.DUMMYFUNCTION("""COMPUTED_VALUE"""),"040823SA03")</f>
        <v>040823SA03</v>
      </c>
      <c r="B897" s="12" t="str">
        <f>IFERROR(__xludf.DUMMYFUNCTION("""COMPUTED_VALUE"""),"QLI-San Francisco")</f>
        <v>QLI-San Francisco</v>
      </c>
      <c r="C897" s="12"/>
      <c r="D897" s="12"/>
      <c r="E897" s="44">
        <f>IFERROR(__xludf.DUMMYFUNCTION("""COMPUTED_VALUE"""),45142.0)</f>
        <v>45142</v>
      </c>
      <c r="F897" s="12" t="str">
        <f>IFERROR(__xludf.DUMMYFUNCTION("""COMPUTED_VALUE"""),"TIPO I")</f>
        <v>TIPO I</v>
      </c>
      <c r="G897" s="12" t="str">
        <f>IFERROR(__xludf.DUMMYFUNCTION("""COMPUTED_VALUE"""),"Lecho natural, se observa color y se percibe olor en el cuerpo de agua. Altitud 2609 msnm.")</f>
        <v>Lecho natural, se observa color y se percibe olor en el cuerpo de agua. Altitud 2609 msnm.</v>
      </c>
      <c r="H897" s="45">
        <f>IFERROR(__xludf.DUMMYFUNCTION("""COMPUTED_VALUE"""),0.5833333333321207)</f>
        <v>0.5833333333</v>
      </c>
      <c r="I897" s="45">
        <f>IFERROR(__xludf.DUMMYFUNCTION("""COMPUTED_VALUE"""),0.6666666666678793)</f>
        <v>0.6666666667</v>
      </c>
      <c r="J897" s="12">
        <f>IFERROR(__xludf.DUMMYFUNCTION("""COMPUTED_VALUE"""),2.0)</f>
        <v>2</v>
      </c>
      <c r="K897" s="12">
        <f>IFERROR(__xludf.DUMMYFUNCTION("""COMPUTED_VALUE"""),0.19)</f>
        <v>0.19</v>
      </c>
      <c r="L897" s="14">
        <f>IFERROR(__xludf.DUMMYFUNCTION("""COMPUTED_VALUE"""),81.633)</f>
        <v>81.633</v>
      </c>
      <c r="M897" s="14">
        <f>IFERROR(__xludf.DUMMYFUNCTION("""COMPUTED_VALUE"""),83.722)</f>
        <v>83.722</v>
      </c>
      <c r="N897" s="14">
        <f>IFERROR(__xludf.DUMMYFUNCTION("""COMPUTED_VALUE"""),82.936)</f>
        <v>82.936</v>
      </c>
      <c r="O897" s="14">
        <f>IFERROR(__xludf.DUMMYFUNCTION("""COMPUTED_VALUE"""),84.357)</f>
        <v>84.357</v>
      </c>
      <c r="P897" s="14">
        <f>IFERROR(__xludf.DUMMYFUNCTION("""COMPUTED_VALUE"""),85.141)</f>
        <v>85.141</v>
      </c>
      <c r="Q897" s="14">
        <f>IFERROR(__xludf.DUMMYFUNCTION("""COMPUTED_VALUE"""),83.558)</f>
        <v>83.558</v>
      </c>
      <c r="R897" s="48">
        <f>IFERROR(__xludf.DUMMYFUNCTION("""COMPUTED_VALUE"""),7.64)</f>
        <v>7.64</v>
      </c>
      <c r="S897" s="48">
        <f>IFERROR(__xludf.DUMMYFUNCTION("""COMPUTED_VALUE"""),7.52)</f>
        <v>7.52</v>
      </c>
      <c r="T897" s="48">
        <f>IFERROR(__xludf.DUMMYFUNCTION("""COMPUTED_VALUE"""),7.6)</f>
        <v>7.6</v>
      </c>
      <c r="U897" s="48">
        <f>IFERROR(__xludf.DUMMYFUNCTION("""COMPUTED_VALUE"""),7.43)</f>
        <v>7.43</v>
      </c>
      <c r="V897" s="48">
        <f>IFERROR(__xludf.DUMMYFUNCTION("""COMPUTED_VALUE"""),7.59)</f>
        <v>7.59</v>
      </c>
      <c r="W897" s="14">
        <f>IFERROR(__xludf.DUMMYFUNCTION("""COMPUTED_VALUE"""),7.556)</f>
        <v>7.556</v>
      </c>
      <c r="X897" s="14">
        <f>IFERROR(__xludf.DUMMYFUNCTION("""COMPUTED_VALUE"""),19.0)</f>
        <v>19</v>
      </c>
      <c r="Y897" s="14">
        <f>IFERROR(__xludf.DUMMYFUNCTION("""COMPUTED_VALUE"""),18.8)</f>
        <v>18.8</v>
      </c>
      <c r="Z897" s="14">
        <f>IFERROR(__xludf.DUMMYFUNCTION("""COMPUTED_VALUE"""),18.5)</f>
        <v>18.5</v>
      </c>
      <c r="AA897" s="14">
        <f>IFERROR(__xludf.DUMMYFUNCTION("""COMPUTED_VALUE"""),18.6)</f>
        <v>18.6</v>
      </c>
      <c r="AB897" s="14">
        <f>IFERROR(__xludf.DUMMYFUNCTION("""COMPUTED_VALUE"""),18.4)</f>
        <v>18.4</v>
      </c>
      <c r="AC897" s="14">
        <f>IFERROR(__xludf.DUMMYFUNCTION("""COMPUTED_VALUE"""),18.660000000000004)</f>
        <v>18.66</v>
      </c>
      <c r="AD897" s="48">
        <f>IFERROR(__xludf.DUMMYFUNCTION("""COMPUTED_VALUE"""),426.0)</f>
        <v>426</v>
      </c>
      <c r="AE897" s="48">
        <f>IFERROR(__xludf.DUMMYFUNCTION("""COMPUTED_VALUE"""),424.0)</f>
        <v>424</v>
      </c>
      <c r="AF897" s="48">
        <f>IFERROR(__xludf.DUMMYFUNCTION("""COMPUTED_VALUE"""),437.0)</f>
        <v>437</v>
      </c>
      <c r="AG897" s="48">
        <f>IFERROR(__xludf.DUMMYFUNCTION("""COMPUTED_VALUE"""),441.0)</f>
        <v>441</v>
      </c>
      <c r="AH897" s="48">
        <f>IFERROR(__xludf.DUMMYFUNCTION("""COMPUTED_VALUE"""),444.0)</f>
        <v>444</v>
      </c>
      <c r="AI897" s="14">
        <f>IFERROR(__xludf.DUMMYFUNCTION("""COMPUTED_VALUE"""),434.4)</f>
        <v>434.4</v>
      </c>
      <c r="AJ897" s="14">
        <f>IFERROR(__xludf.DUMMYFUNCTION("""COMPUTED_VALUE"""),4.35)</f>
        <v>4.35</v>
      </c>
      <c r="AK897" s="14">
        <f>IFERROR(__xludf.DUMMYFUNCTION("""COMPUTED_VALUE"""),4.27)</f>
        <v>4.27</v>
      </c>
      <c r="AL897" s="14">
        <f>IFERROR(__xludf.DUMMYFUNCTION("""COMPUTED_VALUE"""),4.28)</f>
        <v>4.28</v>
      </c>
      <c r="AM897" s="14">
        <f>IFERROR(__xludf.DUMMYFUNCTION("""COMPUTED_VALUE"""),4.56)</f>
        <v>4.56</v>
      </c>
      <c r="AN897" s="14">
        <f>IFERROR(__xludf.DUMMYFUNCTION("""COMPUTED_VALUE"""),4.0)</f>
        <v>4</v>
      </c>
      <c r="AO897" s="14">
        <f>IFERROR(__xludf.DUMMYFUNCTION("""COMPUTED_VALUE"""),4.292)</f>
        <v>4.292</v>
      </c>
      <c r="AP897" s="14">
        <f>IFERROR(__xludf.DUMMYFUNCTION("""COMPUTED_VALUE"""),59.0)</f>
        <v>59</v>
      </c>
      <c r="AQ897" s="14">
        <f>IFERROR(__xludf.DUMMYFUNCTION("""COMPUTED_VALUE"""),90.0)</f>
        <v>90</v>
      </c>
      <c r="AR897" s="14">
        <f>IFERROR(__xludf.DUMMYFUNCTION("""COMPUTED_VALUE"""),32.0)</f>
        <v>32</v>
      </c>
      <c r="AS897" s="14">
        <f>IFERROR(__xludf.DUMMYFUNCTION("""COMPUTED_VALUE"""),1.0)</f>
        <v>1</v>
      </c>
      <c r="AT897" s="14">
        <f>IFERROR(__xludf.DUMMYFUNCTION("""COMPUTED_VALUE"""),0.14)</f>
        <v>0.14</v>
      </c>
      <c r="AU897" s="14">
        <f>IFERROR(__xludf.DUMMYFUNCTION("""COMPUTED_VALUE"""),2029000.0)</f>
        <v>2029000</v>
      </c>
      <c r="AV897" s="14">
        <f>IFERROR(__xludf.DUMMYFUNCTION("""COMPUTED_VALUE"""),1.41)</f>
        <v>1.41</v>
      </c>
      <c r="AW897" s="14">
        <f>IFERROR(__xludf.DUMMYFUNCTION("""COMPUTED_VALUE"""),14.3)</f>
        <v>14.3</v>
      </c>
      <c r="AX897" s="14">
        <f>IFERROR(__xludf.DUMMYFUNCTION("""COMPUTED_VALUE"""),1408000.0)</f>
        <v>1408000</v>
      </c>
      <c r="AY897" s="14">
        <f>IFERROR(__xludf.DUMMYFUNCTION("""COMPUTED_VALUE"""),0.8)</f>
        <v>0.8</v>
      </c>
      <c r="AZ897" s="14">
        <f>IFERROR(__xludf.DUMMYFUNCTION("""COMPUTED_VALUE"""),0.482)</f>
        <v>0.482</v>
      </c>
      <c r="BA897" s="14">
        <f t="shared" si="1"/>
        <v>15.582</v>
      </c>
    </row>
    <row r="898" ht="14.25" customHeight="1">
      <c r="A898" s="10" t="str">
        <f>IFERROR(__xludf.DUMMYFUNCTION("""COMPUTED_VALUE"""),"010823HA01")</f>
        <v>010823HA01</v>
      </c>
      <c r="B898" s="12" t="str">
        <f>IFERROR(__xludf.DUMMYFUNCTION("""COMPUTED_VALUE"""),"QLI-Villa del Diamante")</f>
        <v>QLI-Villa del Diamante</v>
      </c>
      <c r="C898" s="12"/>
      <c r="D898" s="12"/>
      <c r="E898" s="44">
        <f>IFERROR(__xludf.DUMMYFUNCTION("""COMPUTED_VALUE"""),45139.0)</f>
        <v>45139</v>
      </c>
      <c r="F898" s="12" t="str">
        <f>IFERROR(__xludf.DUMMYFUNCTION("""COMPUTED_VALUE"""),"TIPO I")</f>
        <v>TIPO I</v>
      </c>
      <c r="G898" s="12" t="str">
        <f>IFERROR(__xludf.DUMMYFUNCTION("""COMPUTED_VALUE"""),"Lecho natural, se observa color y se percibe olor, durante el monitoreo se presentan lloviznas, la toma de muestra y el quinto aforo de caudal no se realiza por fuertes lluvias. Altitud: 2632 msnm ")</f>
        <v>Lecho natural, se observa color y se percibe olor, durante el monitoreo se presentan lloviznas, la toma de muestra y el quinto aforo de caudal no se realiza por fuertes lluvias. Altitud: 2632 msnm </v>
      </c>
      <c r="H898" s="45">
        <f>IFERROR(__xludf.DUMMYFUNCTION("""COMPUTED_VALUE"""),0.3333333333321207)</f>
        <v>0.3333333333</v>
      </c>
      <c r="I898" s="45">
        <f>IFERROR(__xludf.DUMMYFUNCTION("""COMPUTED_VALUE"""),0.4166666666678793)</f>
        <v>0.4166666667</v>
      </c>
      <c r="J898" s="12">
        <f>IFERROR(__xludf.DUMMYFUNCTION("""COMPUTED_VALUE"""),1.8)</f>
        <v>1.8</v>
      </c>
      <c r="K898" s="12">
        <f>IFERROR(__xludf.DUMMYFUNCTION("""COMPUTED_VALUE"""),0.11)</f>
        <v>0.11</v>
      </c>
      <c r="L898" s="14">
        <f>IFERROR(__xludf.DUMMYFUNCTION("""COMPUTED_VALUE"""),63.331)</f>
        <v>63.331</v>
      </c>
      <c r="M898" s="14">
        <f>IFERROR(__xludf.DUMMYFUNCTION("""COMPUTED_VALUE"""),65.975)</f>
        <v>65.975</v>
      </c>
      <c r="N898" s="14">
        <f>IFERROR(__xludf.DUMMYFUNCTION("""COMPUTED_VALUE"""),63.137)</f>
        <v>63.137</v>
      </c>
      <c r="O898" s="14">
        <f>IFERROR(__xludf.DUMMYFUNCTION("""COMPUTED_VALUE"""),67.641)</f>
        <v>67.641</v>
      </c>
      <c r="P898" s="14"/>
      <c r="Q898" s="14">
        <f>IFERROR(__xludf.DUMMYFUNCTION("""COMPUTED_VALUE"""),65.021)</f>
        <v>65.021</v>
      </c>
      <c r="R898" s="48">
        <f>IFERROR(__xludf.DUMMYFUNCTION("""COMPUTED_VALUE"""),7.72)</f>
        <v>7.72</v>
      </c>
      <c r="S898" s="48">
        <f>IFERROR(__xludf.DUMMYFUNCTION("""COMPUTED_VALUE"""),7.77)</f>
        <v>7.77</v>
      </c>
      <c r="T898" s="48">
        <f>IFERROR(__xludf.DUMMYFUNCTION("""COMPUTED_VALUE"""),7.81)</f>
        <v>7.81</v>
      </c>
      <c r="U898" s="48">
        <f>IFERROR(__xludf.DUMMYFUNCTION("""COMPUTED_VALUE"""),7.75)</f>
        <v>7.75</v>
      </c>
      <c r="V898" s="48"/>
      <c r="W898" s="14">
        <f>IFERROR(__xludf.DUMMYFUNCTION("""COMPUTED_VALUE"""),7.762499999999999)</f>
        <v>7.7625</v>
      </c>
      <c r="X898" s="14">
        <f>IFERROR(__xludf.DUMMYFUNCTION("""COMPUTED_VALUE"""),16.0)</f>
        <v>16</v>
      </c>
      <c r="Y898" s="14">
        <f>IFERROR(__xludf.DUMMYFUNCTION("""COMPUTED_VALUE"""),15.9)</f>
        <v>15.9</v>
      </c>
      <c r="Z898" s="14">
        <f>IFERROR(__xludf.DUMMYFUNCTION("""COMPUTED_VALUE"""),16.1)</f>
        <v>16.1</v>
      </c>
      <c r="AA898" s="14">
        <f>IFERROR(__xludf.DUMMYFUNCTION("""COMPUTED_VALUE"""),16.0)</f>
        <v>16</v>
      </c>
      <c r="AB898" s="14"/>
      <c r="AC898" s="14">
        <f>IFERROR(__xludf.DUMMYFUNCTION("""COMPUTED_VALUE"""),16.0)</f>
        <v>16</v>
      </c>
      <c r="AD898" s="48">
        <f>IFERROR(__xludf.DUMMYFUNCTION("""COMPUTED_VALUE"""),299.0)</f>
        <v>299</v>
      </c>
      <c r="AE898" s="48">
        <f>IFERROR(__xludf.DUMMYFUNCTION("""COMPUTED_VALUE"""),292.0)</f>
        <v>292</v>
      </c>
      <c r="AF898" s="48">
        <f>IFERROR(__xludf.DUMMYFUNCTION("""COMPUTED_VALUE"""),309.0)</f>
        <v>309</v>
      </c>
      <c r="AG898" s="48">
        <f>IFERROR(__xludf.DUMMYFUNCTION("""COMPUTED_VALUE"""),318.0)</f>
        <v>318</v>
      </c>
      <c r="AH898" s="48"/>
      <c r="AI898" s="14">
        <f>IFERROR(__xludf.DUMMYFUNCTION("""COMPUTED_VALUE"""),304.5)</f>
        <v>304.5</v>
      </c>
      <c r="AJ898" s="14">
        <f>IFERROR(__xludf.DUMMYFUNCTION("""COMPUTED_VALUE"""),6.63)</f>
        <v>6.63</v>
      </c>
      <c r="AK898" s="14">
        <f>IFERROR(__xludf.DUMMYFUNCTION("""COMPUTED_VALUE"""),6.57)</f>
        <v>6.57</v>
      </c>
      <c r="AL898" s="14">
        <f>IFERROR(__xludf.DUMMYFUNCTION("""COMPUTED_VALUE"""),6.34)</f>
        <v>6.34</v>
      </c>
      <c r="AM898" s="14">
        <f>IFERROR(__xludf.DUMMYFUNCTION("""COMPUTED_VALUE"""),6.45)</f>
        <v>6.45</v>
      </c>
      <c r="AN898" s="14"/>
      <c r="AO898" s="14">
        <f>IFERROR(__xludf.DUMMYFUNCTION("""COMPUTED_VALUE"""),6.4975)</f>
        <v>6.4975</v>
      </c>
      <c r="AP898" s="14">
        <f>IFERROR(__xludf.DUMMYFUNCTION("""COMPUTED_VALUE"""),30.0)</f>
        <v>30</v>
      </c>
      <c r="AQ898" s="14">
        <f>IFERROR(__xludf.DUMMYFUNCTION("""COMPUTED_VALUE"""),47.0)</f>
        <v>47</v>
      </c>
      <c r="AR898" s="14">
        <f>IFERROR(__xludf.DUMMYFUNCTION("""COMPUTED_VALUE"""),153.0)</f>
        <v>153</v>
      </c>
      <c r="AS898" s="14">
        <f>IFERROR(__xludf.DUMMYFUNCTION("""COMPUTED_VALUE"""),1.0)</f>
        <v>1</v>
      </c>
      <c r="AT898" s="14">
        <f>IFERROR(__xludf.DUMMYFUNCTION("""COMPUTED_VALUE"""),0.07)</f>
        <v>0.07</v>
      </c>
      <c r="AU898" s="14">
        <f>IFERROR(__xludf.DUMMYFUNCTION("""COMPUTED_VALUE"""),683000.0)</f>
        <v>683000</v>
      </c>
      <c r="AV898" s="14">
        <f>IFERROR(__xludf.DUMMYFUNCTION("""COMPUTED_VALUE"""),0.8)</f>
        <v>0.8</v>
      </c>
      <c r="AW898" s="14">
        <f>IFERROR(__xludf.DUMMYFUNCTION("""COMPUTED_VALUE"""),8.7)</f>
        <v>8.7</v>
      </c>
      <c r="AX898" s="14">
        <f>IFERROR(__xludf.DUMMYFUNCTION("""COMPUTED_VALUE"""),43500.0)</f>
        <v>43500</v>
      </c>
      <c r="AY898" s="14">
        <f>IFERROR(__xludf.DUMMYFUNCTION("""COMPUTED_VALUE"""),3.0)</f>
        <v>3</v>
      </c>
      <c r="AZ898" s="14">
        <f>IFERROR(__xludf.DUMMYFUNCTION("""COMPUTED_VALUE"""),0.089)</f>
        <v>0.089</v>
      </c>
      <c r="BA898" s="14">
        <f t="shared" si="1"/>
        <v>11.789</v>
      </c>
    </row>
    <row r="899" ht="14.25" customHeight="1">
      <c r="A899" s="10" t="str">
        <f>IFERROR(__xludf.DUMMYFUNCTION("""COMPUTED_VALUE"""),"040823SA01")</f>
        <v>040823SA01</v>
      </c>
      <c r="B899" s="12" t="str">
        <f>IFERROR(__xludf.DUMMYFUNCTION("""COMPUTED_VALUE"""),"QLI-El Satélite")</f>
        <v>QLI-El Satélite</v>
      </c>
      <c r="C899" s="12"/>
      <c r="D899" s="12"/>
      <c r="E899" s="44">
        <f>IFERROR(__xludf.DUMMYFUNCTION("""COMPUTED_VALUE"""),45142.0)</f>
        <v>45142</v>
      </c>
      <c r="F899" s="12" t="str">
        <f>IFERROR(__xludf.DUMMYFUNCTION("""COMPUTED_VALUE"""),"TIPO I")</f>
        <v>TIPO I</v>
      </c>
      <c r="G899" s="12" t="str">
        <f>IFERROR(__xludf.DUMMYFUNCTION("""COMPUTED_VALUE"""),"Lecho natural, se observa color y se percibe olor, durante la toma de la cuarta y quinta alícuota se observa cambio de color.")</f>
        <v>Lecho natural, se observa color y se percibe olor, durante la toma de la cuarta y quinta alícuota se observa cambio de color.</v>
      </c>
      <c r="H899" s="45">
        <f>IFERROR(__xludf.DUMMYFUNCTION("""COMPUTED_VALUE"""),0.25)</f>
        <v>0.25</v>
      </c>
      <c r="I899" s="45">
        <f>IFERROR(__xludf.DUMMYFUNCTION("""COMPUTED_VALUE"""),0.3333333333321207)</f>
        <v>0.3333333333</v>
      </c>
      <c r="J899" s="12">
        <f>IFERROR(__xludf.DUMMYFUNCTION("""COMPUTED_VALUE"""),2.6)</f>
        <v>2.6</v>
      </c>
      <c r="K899" s="12">
        <f>IFERROR(__xludf.DUMMYFUNCTION("""COMPUTED_VALUE"""),0.16)</f>
        <v>0.16</v>
      </c>
      <c r="L899" s="14">
        <f>IFERROR(__xludf.DUMMYFUNCTION("""COMPUTED_VALUE"""),69.02)</f>
        <v>69.02</v>
      </c>
      <c r="M899" s="14">
        <f>IFERROR(__xludf.DUMMYFUNCTION("""COMPUTED_VALUE"""),70.561)</f>
        <v>70.561</v>
      </c>
      <c r="N899" s="14">
        <f>IFERROR(__xludf.DUMMYFUNCTION("""COMPUTED_VALUE"""),72.448)</f>
        <v>72.448</v>
      </c>
      <c r="O899" s="14">
        <f>IFERROR(__xludf.DUMMYFUNCTION("""COMPUTED_VALUE"""),72.919)</f>
        <v>72.919</v>
      </c>
      <c r="P899" s="14">
        <f>IFERROR(__xludf.DUMMYFUNCTION("""COMPUTED_VALUE"""),78.405)</f>
        <v>78.405</v>
      </c>
      <c r="Q899" s="14">
        <f>IFERROR(__xludf.DUMMYFUNCTION("""COMPUTED_VALUE"""),72.671)</f>
        <v>72.671</v>
      </c>
      <c r="R899" s="48">
        <f>IFERROR(__xludf.DUMMYFUNCTION("""COMPUTED_VALUE"""),7.6)</f>
        <v>7.6</v>
      </c>
      <c r="S899" s="48">
        <f>IFERROR(__xludf.DUMMYFUNCTION("""COMPUTED_VALUE"""),7.53)</f>
        <v>7.53</v>
      </c>
      <c r="T899" s="48">
        <f>IFERROR(__xludf.DUMMYFUNCTION("""COMPUTED_VALUE"""),7.59)</f>
        <v>7.59</v>
      </c>
      <c r="U899" s="48">
        <f>IFERROR(__xludf.DUMMYFUNCTION("""COMPUTED_VALUE"""),7.62)</f>
        <v>7.62</v>
      </c>
      <c r="V899" s="48">
        <f>IFERROR(__xludf.DUMMYFUNCTION("""COMPUTED_VALUE"""),7.43)</f>
        <v>7.43</v>
      </c>
      <c r="W899" s="14">
        <f>IFERROR(__xludf.DUMMYFUNCTION("""COMPUTED_VALUE"""),7.553999999999999)</f>
        <v>7.554</v>
      </c>
      <c r="X899" s="14">
        <f>IFERROR(__xludf.DUMMYFUNCTION("""COMPUTED_VALUE"""),15.2)</f>
        <v>15.2</v>
      </c>
      <c r="Y899" s="14">
        <f>IFERROR(__xludf.DUMMYFUNCTION("""COMPUTED_VALUE"""),15.2)</f>
        <v>15.2</v>
      </c>
      <c r="Z899" s="14">
        <f>IFERROR(__xludf.DUMMYFUNCTION("""COMPUTED_VALUE"""),15.3)</f>
        <v>15.3</v>
      </c>
      <c r="AA899" s="14">
        <f>IFERROR(__xludf.DUMMYFUNCTION("""COMPUTED_VALUE"""),15.5)</f>
        <v>15.5</v>
      </c>
      <c r="AB899" s="14">
        <f>IFERROR(__xludf.DUMMYFUNCTION("""COMPUTED_VALUE"""),15.9)</f>
        <v>15.9</v>
      </c>
      <c r="AC899" s="14">
        <f>IFERROR(__xludf.DUMMYFUNCTION("""COMPUTED_VALUE"""),15.420000000000002)</f>
        <v>15.42</v>
      </c>
      <c r="AD899" s="48">
        <f>IFERROR(__xludf.DUMMYFUNCTION("""COMPUTED_VALUE"""),420.0)</f>
        <v>420</v>
      </c>
      <c r="AE899" s="48">
        <f>IFERROR(__xludf.DUMMYFUNCTION("""COMPUTED_VALUE"""),417.0)</f>
        <v>417</v>
      </c>
      <c r="AF899" s="48">
        <f>IFERROR(__xludf.DUMMYFUNCTION("""COMPUTED_VALUE"""),400.0)</f>
        <v>400</v>
      </c>
      <c r="AG899" s="48">
        <f>IFERROR(__xludf.DUMMYFUNCTION("""COMPUTED_VALUE"""),397.0)</f>
        <v>397</v>
      </c>
      <c r="AH899" s="48">
        <f>IFERROR(__xludf.DUMMYFUNCTION("""COMPUTED_VALUE"""),438.0)</f>
        <v>438</v>
      </c>
      <c r="AI899" s="14">
        <f>IFERROR(__xludf.DUMMYFUNCTION("""COMPUTED_VALUE"""),414.4)</f>
        <v>414.4</v>
      </c>
      <c r="AJ899" s="14">
        <f>IFERROR(__xludf.DUMMYFUNCTION("""COMPUTED_VALUE"""),4.23)</f>
        <v>4.23</v>
      </c>
      <c r="AK899" s="14">
        <f>IFERROR(__xludf.DUMMYFUNCTION("""COMPUTED_VALUE"""),4.84)</f>
        <v>4.84</v>
      </c>
      <c r="AL899" s="14">
        <f>IFERROR(__xludf.DUMMYFUNCTION("""COMPUTED_VALUE"""),4.74)</f>
        <v>4.74</v>
      </c>
      <c r="AM899" s="14">
        <f>IFERROR(__xludf.DUMMYFUNCTION("""COMPUTED_VALUE"""),5.16)</f>
        <v>5.16</v>
      </c>
      <c r="AN899" s="14">
        <f>IFERROR(__xludf.DUMMYFUNCTION("""COMPUTED_VALUE"""),3.26)</f>
        <v>3.26</v>
      </c>
      <c r="AO899" s="14">
        <f>IFERROR(__xludf.DUMMYFUNCTION("""COMPUTED_VALUE"""),4.446)</f>
        <v>4.446</v>
      </c>
      <c r="AP899" s="14">
        <f>IFERROR(__xludf.DUMMYFUNCTION("""COMPUTED_VALUE"""),54.0)</f>
        <v>54</v>
      </c>
      <c r="AQ899" s="14">
        <f>IFERROR(__xludf.DUMMYFUNCTION("""COMPUTED_VALUE"""),82.0)</f>
        <v>82</v>
      </c>
      <c r="AR899" s="14">
        <f>IFERROR(__xludf.DUMMYFUNCTION("""COMPUTED_VALUE"""),25.0)</f>
        <v>25</v>
      </c>
      <c r="AS899" s="14">
        <f>IFERROR(__xludf.DUMMYFUNCTION("""COMPUTED_VALUE"""),1.0)</f>
        <v>1</v>
      </c>
      <c r="AT899" s="14">
        <f>IFERROR(__xludf.DUMMYFUNCTION("""COMPUTED_VALUE"""),0.13)</f>
        <v>0.13</v>
      </c>
      <c r="AU899" s="14">
        <f>IFERROR(__xludf.DUMMYFUNCTION("""COMPUTED_VALUE"""),977000.0)</f>
        <v>977000</v>
      </c>
      <c r="AV899" s="14">
        <f>IFERROR(__xludf.DUMMYFUNCTION("""COMPUTED_VALUE"""),1.43)</f>
        <v>1.43</v>
      </c>
      <c r="AW899" s="14">
        <f>IFERROR(__xludf.DUMMYFUNCTION("""COMPUTED_VALUE"""),9.2)</f>
        <v>9.2</v>
      </c>
      <c r="AX899" s="14">
        <f>IFERROR(__xludf.DUMMYFUNCTION("""COMPUTED_VALUE"""),721000.0)</f>
        <v>721000</v>
      </c>
      <c r="AY899" s="14">
        <f>IFERROR(__xludf.DUMMYFUNCTION("""COMPUTED_VALUE"""),1.6)</f>
        <v>1.6</v>
      </c>
      <c r="AZ899" s="14">
        <f>IFERROR(__xludf.DUMMYFUNCTION("""COMPUTED_VALUE"""),0.195)</f>
        <v>0.195</v>
      </c>
      <c r="BA899" s="14">
        <f t="shared" si="1"/>
        <v>10.995</v>
      </c>
    </row>
    <row r="900" ht="14.25" customHeight="1">
      <c r="A900" s="10" t="str">
        <f>IFERROR(__xludf.DUMMYFUNCTION("""COMPUTED_VALUE"""),"100823DA02")</f>
        <v>100823DA02</v>
      </c>
      <c r="B900" s="12" t="str">
        <f>IFERROR(__xludf.DUMMYFUNCTION("""COMPUTED_VALUE"""),"QSL-Alfonso López")</f>
        <v>QSL-Alfonso López</v>
      </c>
      <c r="C900" s="12"/>
      <c r="D900" s="12"/>
      <c r="E900" s="44">
        <f>IFERROR(__xludf.DUMMYFUNCTION("""COMPUTED_VALUE"""),45148.0)</f>
        <v>45148</v>
      </c>
      <c r="F900" s="12" t="str">
        <f>IFERROR(__xludf.DUMMYFUNCTION("""COMPUTED_VALUE"""),"TIPO I")</f>
        <v>TIPO I</v>
      </c>
      <c r="G900" s="12" t="str">
        <f>IFERROR(__xludf.DUMMYFUNCTION("""COMPUTED_VALUE"""),"Canal natural irregular; se observa color y no se percibe olor. Altitud 2767 msnm.")</f>
        <v>Canal natural irregular; se observa color y no se percibe olor. Altitud 2767 msnm.</v>
      </c>
      <c r="H900" s="45">
        <f>IFERROR(__xludf.DUMMYFUNCTION("""COMPUTED_VALUE"""),0.4166666666678793)</f>
        <v>0.4166666667</v>
      </c>
      <c r="I900" s="45">
        <f>IFERROR(__xludf.DUMMYFUNCTION("""COMPUTED_VALUE"""),0.5)</f>
        <v>0.5</v>
      </c>
      <c r="J900" s="12">
        <f>IFERROR(__xludf.DUMMYFUNCTION("""COMPUTED_VALUE"""),1.2)</f>
        <v>1.2</v>
      </c>
      <c r="K900" s="12">
        <f>IFERROR(__xludf.DUMMYFUNCTION("""COMPUTED_VALUE"""),0.21)</f>
        <v>0.21</v>
      </c>
      <c r="L900" s="14">
        <f>IFERROR(__xludf.DUMMYFUNCTION("""COMPUTED_VALUE"""),62.385)</f>
        <v>62.385</v>
      </c>
      <c r="M900" s="14">
        <f>IFERROR(__xludf.DUMMYFUNCTION("""COMPUTED_VALUE"""),62.98)</f>
        <v>62.98</v>
      </c>
      <c r="N900" s="14">
        <f>IFERROR(__xludf.DUMMYFUNCTION("""COMPUTED_VALUE"""),64.402)</f>
        <v>64.402</v>
      </c>
      <c r="O900" s="14">
        <f>IFERROR(__xludf.DUMMYFUNCTION("""COMPUTED_VALUE"""),64.522)</f>
        <v>64.522</v>
      </c>
      <c r="P900" s="14">
        <f>IFERROR(__xludf.DUMMYFUNCTION("""COMPUTED_VALUE"""),64.788)</f>
        <v>64.788</v>
      </c>
      <c r="Q900" s="14">
        <f>IFERROR(__xludf.DUMMYFUNCTION("""COMPUTED_VALUE"""),63.816)</f>
        <v>63.816</v>
      </c>
      <c r="R900" s="48">
        <f>IFERROR(__xludf.DUMMYFUNCTION("""COMPUTED_VALUE"""),7.42)</f>
        <v>7.42</v>
      </c>
      <c r="S900" s="48">
        <f>IFERROR(__xludf.DUMMYFUNCTION("""COMPUTED_VALUE"""),7.37)</f>
        <v>7.37</v>
      </c>
      <c r="T900" s="48">
        <f>IFERROR(__xludf.DUMMYFUNCTION("""COMPUTED_VALUE"""),7.38)</f>
        <v>7.38</v>
      </c>
      <c r="U900" s="48">
        <f>IFERROR(__xludf.DUMMYFUNCTION("""COMPUTED_VALUE"""),7.36)</f>
        <v>7.36</v>
      </c>
      <c r="V900" s="48">
        <f>IFERROR(__xludf.DUMMYFUNCTION("""COMPUTED_VALUE"""),7.39)</f>
        <v>7.39</v>
      </c>
      <c r="W900" s="14">
        <f>IFERROR(__xludf.DUMMYFUNCTION("""COMPUTED_VALUE"""),7.383999999999999)</f>
        <v>7.384</v>
      </c>
      <c r="X900" s="14">
        <f>IFERROR(__xludf.DUMMYFUNCTION("""COMPUTED_VALUE"""),14.7)</f>
        <v>14.7</v>
      </c>
      <c r="Y900" s="14">
        <f>IFERROR(__xludf.DUMMYFUNCTION("""COMPUTED_VALUE"""),14.0)</f>
        <v>14</v>
      </c>
      <c r="Z900" s="14">
        <f>IFERROR(__xludf.DUMMYFUNCTION("""COMPUTED_VALUE"""),14.3)</f>
        <v>14.3</v>
      </c>
      <c r="AA900" s="14">
        <f>IFERROR(__xludf.DUMMYFUNCTION("""COMPUTED_VALUE"""),14.9)</f>
        <v>14.9</v>
      </c>
      <c r="AB900" s="14">
        <f>IFERROR(__xludf.DUMMYFUNCTION("""COMPUTED_VALUE"""),14.7)</f>
        <v>14.7</v>
      </c>
      <c r="AC900" s="14">
        <f>IFERROR(__xludf.DUMMYFUNCTION("""COMPUTED_VALUE"""),14.52)</f>
        <v>14.52</v>
      </c>
      <c r="AD900" s="48">
        <f>IFERROR(__xludf.DUMMYFUNCTION("""COMPUTED_VALUE"""),163.7)</f>
        <v>163.7</v>
      </c>
      <c r="AE900" s="48">
        <f>IFERROR(__xludf.DUMMYFUNCTION("""COMPUTED_VALUE"""),160.4)</f>
        <v>160.4</v>
      </c>
      <c r="AF900" s="48">
        <f>IFERROR(__xludf.DUMMYFUNCTION("""COMPUTED_VALUE"""),162.6)</f>
        <v>162.6</v>
      </c>
      <c r="AG900" s="48">
        <f>IFERROR(__xludf.DUMMYFUNCTION("""COMPUTED_VALUE"""),161.0)</f>
        <v>161</v>
      </c>
      <c r="AH900" s="48">
        <f>IFERROR(__xludf.DUMMYFUNCTION("""COMPUTED_VALUE"""),159.0)</f>
        <v>159</v>
      </c>
      <c r="AI900" s="14">
        <f>IFERROR(__xludf.DUMMYFUNCTION("""COMPUTED_VALUE"""),161.34)</f>
        <v>161.34</v>
      </c>
      <c r="AJ900" s="14">
        <f>IFERROR(__xludf.DUMMYFUNCTION("""COMPUTED_VALUE"""),7.08)</f>
        <v>7.08</v>
      </c>
      <c r="AK900" s="14">
        <f>IFERROR(__xludf.DUMMYFUNCTION("""COMPUTED_VALUE"""),7.51)</f>
        <v>7.51</v>
      </c>
      <c r="AL900" s="14">
        <f>IFERROR(__xludf.DUMMYFUNCTION("""COMPUTED_VALUE"""),7.78)</f>
        <v>7.78</v>
      </c>
      <c r="AM900" s="14">
        <f>IFERROR(__xludf.DUMMYFUNCTION("""COMPUTED_VALUE"""),7.73)</f>
        <v>7.73</v>
      </c>
      <c r="AN900" s="14">
        <f>IFERROR(__xludf.DUMMYFUNCTION("""COMPUTED_VALUE"""),7.48)</f>
        <v>7.48</v>
      </c>
      <c r="AO900" s="14">
        <f>IFERROR(__xludf.DUMMYFUNCTION("""COMPUTED_VALUE"""),7.516)</f>
        <v>7.516</v>
      </c>
      <c r="AP900" s="14">
        <f>IFERROR(__xludf.DUMMYFUNCTION("""COMPUTED_VALUE"""),15.0)</f>
        <v>15</v>
      </c>
      <c r="AQ900" s="14">
        <f>IFERROR(__xludf.DUMMYFUNCTION("""COMPUTED_VALUE"""),21.0)</f>
        <v>21</v>
      </c>
      <c r="AR900" s="14">
        <f>IFERROR(__xludf.DUMMYFUNCTION("""COMPUTED_VALUE"""),194.0)</f>
        <v>194</v>
      </c>
      <c r="AS900" s="14">
        <f>IFERROR(__xludf.DUMMYFUNCTION("""COMPUTED_VALUE"""),1.0)</f>
        <v>1</v>
      </c>
      <c r="AT900" s="14">
        <f>IFERROR(__xludf.DUMMYFUNCTION("""COMPUTED_VALUE"""),1.12)</f>
        <v>1.12</v>
      </c>
      <c r="AU900" s="14">
        <f>IFERROR(__xludf.DUMMYFUNCTION("""COMPUTED_VALUE"""),5910.0)</f>
        <v>5910</v>
      </c>
      <c r="AV900" s="14">
        <f>IFERROR(__xludf.DUMMYFUNCTION("""COMPUTED_VALUE"""),0.05)</f>
        <v>0.05</v>
      </c>
      <c r="AW900" s="14">
        <f>IFERROR(__xludf.DUMMYFUNCTION("""COMPUTED_VALUE"""),2.0)</f>
        <v>2</v>
      </c>
      <c r="AX900" s="14">
        <f>IFERROR(__xludf.DUMMYFUNCTION("""COMPUTED_VALUE"""),4350.0)</f>
        <v>4350</v>
      </c>
      <c r="AY900" s="14">
        <f>IFERROR(__xludf.DUMMYFUNCTION("""COMPUTED_VALUE"""),3.1)</f>
        <v>3.1</v>
      </c>
      <c r="AZ900" s="14">
        <f>IFERROR(__xludf.DUMMYFUNCTION("""COMPUTED_VALUE"""),0.097)</f>
        <v>0.097</v>
      </c>
      <c r="BA900" s="14">
        <f t="shared" si="1"/>
        <v>5.197</v>
      </c>
    </row>
    <row r="901" ht="14.25" customHeight="1">
      <c r="A901" s="10" t="str">
        <f>IFERROR(__xludf.DUMMYFUNCTION("""COMPUTED_VALUE"""),"110823WI02")</f>
        <v>110823WI02</v>
      </c>
      <c r="B901" s="12" t="str">
        <f>IFERROR(__xludf.DUMMYFUNCTION("""COMPUTED_VALUE"""),"QYO-Arrayanal")</f>
        <v>QYO-Arrayanal</v>
      </c>
      <c r="C901" s="12"/>
      <c r="D901" s="12"/>
      <c r="E901" s="44">
        <f>IFERROR(__xludf.DUMMYFUNCTION("""COMPUTED_VALUE"""),45149.0)</f>
        <v>45149</v>
      </c>
      <c r="F901" s="12" t="str">
        <f>IFERROR(__xludf.DUMMYFUNCTION("""COMPUTED_VALUE"""),"TIPO I")</f>
        <v>TIPO I</v>
      </c>
      <c r="G901" s="12" t="str">
        <f>IFERROR(__xludf.DUMMYFUNCTION("""COMPUTED_VALUE"""),"Canal con lecho rocoso, se observa color y no se percibe olor en el cuerpo de agua. Altitud 2816 msnm.")</f>
        <v>Canal con lecho rocoso, se observa color y no se percibe olor en el cuerpo de agua. Altitud 2816 msnm.</v>
      </c>
      <c r="H901" s="45">
        <f>IFERROR(__xludf.DUMMYFUNCTION("""COMPUTED_VALUE"""),0.4166666666678793)</f>
        <v>0.4166666667</v>
      </c>
      <c r="I901" s="45">
        <f>IFERROR(__xludf.DUMMYFUNCTION("""COMPUTED_VALUE"""),0.5)</f>
        <v>0.5</v>
      </c>
      <c r="J901" s="12">
        <f>IFERROR(__xludf.DUMMYFUNCTION("""COMPUTED_VALUE"""),4.4)</f>
        <v>4.4</v>
      </c>
      <c r="K901" s="12">
        <f>IFERROR(__xludf.DUMMYFUNCTION("""COMPUTED_VALUE"""),0.65)</f>
        <v>0.65</v>
      </c>
      <c r="L901" s="14">
        <f>IFERROR(__xludf.DUMMYFUNCTION("""COMPUTED_VALUE"""),1004.595)</f>
        <v>1004.595</v>
      </c>
      <c r="M901" s="14">
        <f>IFERROR(__xludf.DUMMYFUNCTION("""COMPUTED_VALUE"""),1039.359)</f>
        <v>1039.359</v>
      </c>
      <c r="N901" s="14">
        <f>IFERROR(__xludf.DUMMYFUNCTION("""COMPUTED_VALUE"""),990.951)</f>
        <v>990.951</v>
      </c>
      <c r="O901" s="14">
        <f>IFERROR(__xludf.DUMMYFUNCTION("""COMPUTED_VALUE"""),1018.888)</f>
        <v>1018.888</v>
      </c>
      <c r="P901" s="14">
        <f>IFERROR(__xludf.DUMMYFUNCTION("""COMPUTED_VALUE"""),1011.253)</f>
        <v>1011.253</v>
      </c>
      <c r="Q901" s="14">
        <f>IFERROR(__xludf.DUMMYFUNCTION("""COMPUTED_VALUE"""),1013.009)</f>
        <v>1013.009</v>
      </c>
      <c r="R901" s="48">
        <f>IFERROR(__xludf.DUMMYFUNCTION("""COMPUTED_VALUE"""),6.93)</f>
        <v>6.93</v>
      </c>
      <c r="S901" s="48">
        <f>IFERROR(__xludf.DUMMYFUNCTION("""COMPUTED_VALUE"""),7.31)</f>
        <v>7.31</v>
      </c>
      <c r="T901" s="48">
        <f>IFERROR(__xludf.DUMMYFUNCTION("""COMPUTED_VALUE"""),7.34)</f>
        <v>7.34</v>
      </c>
      <c r="U901" s="48">
        <f>IFERROR(__xludf.DUMMYFUNCTION("""COMPUTED_VALUE"""),7.37)</f>
        <v>7.37</v>
      </c>
      <c r="V901" s="48">
        <f>IFERROR(__xludf.DUMMYFUNCTION("""COMPUTED_VALUE"""),7.49)</f>
        <v>7.49</v>
      </c>
      <c r="W901" s="14">
        <f>IFERROR(__xludf.DUMMYFUNCTION("""COMPUTED_VALUE"""),7.287999999999999)</f>
        <v>7.288</v>
      </c>
      <c r="X901" s="14">
        <f>IFERROR(__xludf.DUMMYFUNCTION("""COMPUTED_VALUE"""),11.6)</f>
        <v>11.6</v>
      </c>
      <c r="Y901" s="14">
        <f>IFERROR(__xludf.DUMMYFUNCTION("""COMPUTED_VALUE"""),11.6)</f>
        <v>11.6</v>
      </c>
      <c r="Z901" s="14">
        <f>IFERROR(__xludf.DUMMYFUNCTION("""COMPUTED_VALUE"""),11.6)</f>
        <v>11.6</v>
      </c>
      <c r="AA901" s="14">
        <f>IFERROR(__xludf.DUMMYFUNCTION("""COMPUTED_VALUE"""),11.7)</f>
        <v>11.7</v>
      </c>
      <c r="AB901" s="14">
        <f>IFERROR(__xludf.DUMMYFUNCTION("""COMPUTED_VALUE"""),11.7)</f>
        <v>11.7</v>
      </c>
      <c r="AC901" s="14">
        <f>IFERROR(__xludf.DUMMYFUNCTION("""COMPUTED_VALUE"""),11.64)</f>
        <v>11.64</v>
      </c>
      <c r="AD901" s="48">
        <f>IFERROR(__xludf.DUMMYFUNCTION("""COMPUTED_VALUE"""),30.4)</f>
        <v>30.4</v>
      </c>
      <c r="AE901" s="48">
        <f>IFERROR(__xludf.DUMMYFUNCTION("""COMPUTED_VALUE"""),27.9)</f>
        <v>27.9</v>
      </c>
      <c r="AF901" s="48">
        <f>IFERROR(__xludf.DUMMYFUNCTION("""COMPUTED_VALUE"""),27.8)</f>
        <v>27.8</v>
      </c>
      <c r="AG901" s="48">
        <f>IFERROR(__xludf.DUMMYFUNCTION("""COMPUTED_VALUE"""),27.3)</f>
        <v>27.3</v>
      </c>
      <c r="AH901" s="48">
        <f>IFERROR(__xludf.DUMMYFUNCTION("""COMPUTED_VALUE"""),27.5)</f>
        <v>27.5</v>
      </c>
      <c r="AI901" s="14">
        <f>IFERROR(__xludf.DUMMYFUNCTION("""COMPUTED_VALUE"""),28.179999999999996)</f>
        <v>28.18</v>
      </c>
      <c r="AJ901" s="14">
        <f>IFERROR(__xludf.DUMMYFUNCTION("""COMPUTED_VALUE"""),6.29)</f>
        <v>6.29</v>
      </c>
      <c r="AK901" s="14">
        <f>IFERROR(__xludf.DUMMYFUNCTION("""COMPUTED_VALUE"""),6.55)</f>
        <v>6.55</v>
      </c>
      <c r="AL901" s="14">
        <f>IFERROR(__xludf.DUMMYFUNCTION("""COMPUTED_VALUE"""),5.97)</f>
        <v>5.97</v>
      </c>
      <c r="AM901" s="14">
        <f>IFERROR(__xludf.DUMMYFUNCTION("""COMPUTED_VALUE"""),6.33)</f>
        <v>6.33</v>
      </c>
      <c r="AN901" s="14">
        <f>IFERROR(__xludf.DUMMYFUNCTION("""COMPUTED_VALUE"""),6.29)</f>
        <v>6.29</v>
      </c>
      <c r="AO901" s="14">
        <f>IFERROR(__xludf.DUMMYFUNCTION("""COMPUTED_VALUE"""),6.286)</f>
        <v>6.286</v>
      </c>
      <c r="AP901" s="14">
        <f>IFERROR(__xludf.DUMMYFUNCTION("""COMPUTED_VALUE"""),15.0)</f>
        <v>15</v>
      </c>
      <c r="AQ901" s="14">
        <f>IFERROR(__xludf.DUMMYFUNCTION("""COMPUTED_VALUE"""),24.0)</f>
        <v>24</v>
      </c>
      <c r="AR901" s="14">
        <f>IFERROR(__xludf.DUMMYFUNCTION("""COMPUTED_VALUE"""),16.0)</f>
        <v>16</v>
      </c>
      <c r="AS901" s="14">
        <f>IFERROR(__xludf.DUMMYFUNCTION("""COMPUTED_VALUE"""),1.0)</f>
        <v>1</v>
      </c>
      <c r="AT901" s="14">
        <f>IFERROR(__xludf.DUMMYFUNCTION("""COMPUTED_VALUE"""),0.07)</f>
        <v>0.07</v>
      </c>
      <c r="AU901" s="14">
        <f>IFERROR(__xludf.DUMMYFUNCTION("""COMPUTED_VALUE"""),1076000.0)</f>
        <v>1076000</v>
      </c>
      <c r="AV901" s="14">
        <f>IFERROR(__xludf.DUMMYFUNCTION("""COMPUTED_VALUE"""),0.05)</f>
        <v>0.05</v>
      </c>
      <c r="AW901" s="14">
        <f>IFERROR(__xludf.DUMMYFUNCTION("""COMPUTED_VALUE"""),1.0)</f>
        <v>1</v>
      </c>
      <c r="AX901" s="14">
        <f>IFERROR(__xludf.DUMMYFUNCTION("""COMPUTED_VALUE"""),884000.0)</f>
        <v>884000</v>
      </c>
      <c r="AY901" s="14">
        <f>IFERROR(__xludf.DUMMYFUNCTION("""COMPUTED_VALUE"""),0.5)</f>
        <v>0.5</v>
      </c>
      <c r="AZ901" s="14">
        <f>IFERROR(__xludf.DUMMYFUNCTION("""COMPUTED_VALUE"""),0.013)</f>
        <v>0.013</v>
      </c>
      <c r="BA901" s="14">
        <f t="shared" si="1"/>
        <v>1.513</v>
      </c>
    </row>
    <row r="902" ht="14.25" customHeight="1">
      <c r="A902" s="10" t="str">
        <f>IFERROR(__xludf.DUMMYFUNCTION("""COMPUTED_VALUE"""),"100823DA01")</f>
        <v>100823DA01</v>
      </c>
      <c r="B902" s="12" t="str">
        <f>IFERROR(__xludf.DUMMYFUNCTION("""COMPUTED_VALUE"""),"QSL-Portal Usme")</f>
        <v>QSL-Portal Usme</v>
      </c>
      <c r="C902" s="12"/>
      <c r="D902" s="12"/>
      <c r="E902" s="44">
        <f>IFERROR(__xludf.DUMMYFUNCTION("""COMPUTED_VALUE"""),45148.0)</f>
        <v>45148</v>
      </c>
      <c r="F902" s="12" t="str">
        <f>IFERROR(__xludf.DUMMYFUNCTION("""COMPUTED_VALUE"""),"TIPO I")</f>
        <v>TIPO I</v>
      </c>
      <c r="G902" s="12" t="str">
        <f>IFERROR(__xludf.DUMMYFUNCTION("""COMPUTED_VALUE"""),"Canal trapezoidal en concreto, se observa color no se percibe olor.")</f>
        <v>Canal trapezoidal en concreto, se observa color no se percibe olor.</v>
      </c>
      <c r="H902" s="45">
        <f>IFERROR(__xludf.DUMMYFUNCTION("""COMPUTED_VALUE"""),0.25)</f>
        <v>0.25</v>
      </c>
      <c r="I902" s="45">
        <f>IFERROR(__xludf.DUMMYFUNCTION("""COMPUTED_VALUE"""),0.3333333333321207)</f>
        <v>0.3333333333</v>
      </c>
      <c r="J902" s="12">
        <f>IFERROR(__xludf.DUMMYFUNCTION("""COMPUTED_VALUE"""),1.8)</f>
        <v>1.8</v>
      </c>
      <c r="K902" s="12">
        <f>IFERROR(__xludf.DUMMYFUNCTION("""COMPUTED_VALUE"""),0.3)</f>
        <v>0.3</v>
      </c>
      <c r="L902" s="14">
        <f>IFERROR(__xludf.DUMMYFUNCTION("""COMPUTED_VALUE"""),224.75)</f>
        <v>224.75</v>
      </c>
      <c r="M902" s="14">
        <f>IFERROR(__xludf.DUMMYFUNCTION("""COMPUTED_VALUE"""),219.551)</f>
        <v>219.551</v>
      </c>
      <c r="N902" s="14">
        <f>IFERROR(__xludf.DUMMYFUNCTION("""COMPUTED_VALUE"""),189.624)</f>
        <v>189.624</v>
      </c>
      <c r="O902" s="14">
        <f>IFERROR(__xludf.DUMMYFUNCTION("""COMPUTED_VALUE"""),189.356)</f>
        <v>189.356</v>
      </c>
      <c r="P902" s="14">
        <f>IFERROR(__xludf.DUMMYFUNCTION("""COMPUTED_VALUE"""),191.536)</f>
        <v>191.536</v>
      </c>
      <c r="Q902" s="14">
        <f>IFERROR(__xludf.DUMMYFUNCTION("""COMPUTED_VALUE"""),202.963)</f>
        <v>202.963</v>
      </c>
      <c r="R902" s="48">
        <f>IFERROR(__xludf.DUMMYFUNCTION("""COMPUTED_VALUE"""),7.64)</f>
        <v>7.64</v>
      </c>
      <c r="S902" s="48">
        <f>IFERROR(__xludf.DUMMYFUNCTION("""COMPUTED_VALUE"""),7.87)</f>
        <v>7.87</v>
      </c>
      <c r="T902" s="48">
        <f>IFERROR(__xludf.DUMMYFUNCTION("""COMPUTED_VALUE"""),7.89)</f>
        <v>7.89</v>
      </c>
      <c r="U902" s="48">
        <f>IFERROR(__xludf.DUMMYFUNCTION("""COMPUTED_VALUE"""),7.92)</f>
        <v>7.92</v>
      </c>
      <c r="V902" s="48">
        <f>IFERROR(__xludf.DUMMYFUNCTION("""COMPUTED_VALUE"""),7.82)</f>
        <v>7.82</v>
      </c>
      <c r="W902" s="14">
        <f>IFERROR(__xludf.DUMMYFUNCTION("""COMPUTED_VALUE"""),7.828)</f>
        <v>7.828</v>
      </c>
      <c r="X902" s="14">
        <f>IFERROR(__xludf.DUMMYFUNCTION("""COMPUTED_VALUE"""),15.2)</f>
        <v>15.2</v>
      </c>
      <c r="Y902" s="14">
        <f>IFERROR(__xludf.DUMMYFUNCTION("""COMPUTED_VALUE"""),15.0)</f>
        <v>15</v>
      </c>
      <c r="Z902" s="14">
        <f>IFERROR(__xludf.DUMMYFUNCTION("""COMPUTED_VALUE"""),15.5)</f>
        <v>15.5</v>
      </c>
      <c r="AA902" s="14">
        <f>IFERROR(__xludf.DUMMYFUNCTION("""COMPUTED_VALUE"""),15.8)</f>
        <v>15.8</v>
      </c>
      <c r="AB902" s="14">
        <f>IFERROR(__xludf.DUMMYFUNCTION("""COMPUTED_VALUE"""),15.9)</f>
        <v>15.9</v>
      </c>
      <c r="AC902" s="14">
        <f>IFERROR(__xludf.DUMMYFUNCTION("""COMPUTED_VALUE"""),15.48)</f>
        <v>15.48</v>
      </c>
      <c r="AD902" s="48">
        <f>IFERROR(__xludf.DUMMYFUNCTION("""COMPUTED_VALUE"""),390.0)</f>
        <v>390</v>
      </c>
      <c r="AE902" s="48">
        <f>IFERROR(__xludf.DUMMYFUNCTION("""COMPUTED_VALUE"""),393.0)</f>
        <v>393</v>
      </c>
      <c r="AF902" s="48">
        <f>IFERROR(__xludf.DUMMYFUNCTION("""COMPUTED_VALUE"""),373.0)</f>
        <v>373</v>
      </c>
      <c r="AG902" s="48">
        <f>IFERROR(__xludf.DUMMYFUNCTION("""COMPUTED_VALUE"""),376.0)</f>
        <v>376</v>
      </c>
      <c r="AH902" s="48">
        <f>IFERROR(__xludf.DUMMYFUNCTION("""COMPUTED_VALUE"""),367.0)</f>
        <v>367</v>
      </c>
      <c r="AI902" s="14">
        <f>IFERROR(__xludf.DUMMYFUNCTION("""COMPUTED_VALUE"""),379.8)</f>
        <v>379.8</v>
      </c>
      <c r="AJ902" s="14">
        <f>IFERROR(__xludf.DUMMYFUNCTION("""COMPUTED_VALUE"""),2.83)</f>
        <v>2.83</v>
      </c>
      <c r="AK902" s="14">
        <f>IFERROR(__xludf.DUMMYFUNCTION("""COMPUTED_VALUE"""),2.36)</f>
        <v>2.36</v>
      </c>
      <c r="AL902" s="14">
        <f>IFERROR(__xludf.DUMMYFUNCTION("""COMPUTED_VALUE"""),3.29)</f>
        <v>3.29</v>
      </c>
      <c r="AM902" s="14">
        <f>IFERROR(__xludf.DUMMYFUNCTION("""COMPUTED_VALUE"""),2.76)</f>
        <v>2.76</v>
      </c>
      <c r="AN902" s="14">
        <f>IFERROR(__xludf.DUMMYFUNCTION("""COMPUTED_VALUE"""),2.84)</f>
        <v>2.84</v>
      </c>
      <c r="AO902" s="14">
        <f>IFERROR(__xludf.DUMMYFUNCTION("""COMPUTED_VALUE"""),2.816)</f>
        <v>2.816</v>
      </c>
      <c r="AP902" s="14">
        <f>IFERROR(__xludf.DUMMYFUNCTION("""COMPUTED_VALUE"""),88.0)</f>
        <v>88</v>
      </c>
      <c r="AQ902" s="14">
        <f>IFERROR(__xludf.DUMMYFUNCTION("""COMPUTED_VALUE"""),133.0)</f>
        <v>133</v>
      </c>
      <c r="AR902" s="14">
        <f>IFERROR(__xludf.DUMMYFUNCTION("""COMPUTED_VALUE"""),142.0)</f>
        <v>142</v>
      </c>
      <c r="AS902" s="14">
        <f>IFERROR(__xludf.DUMMYFUNCTION("""COMPUTED_VALUE"""),1.0)</f>
        <v>1</v>
      </c>
      <c r="AT902" s="14">
        <f>IFERROR(__xludf.DUMMYFUNCTION("""COMPUTED_VALUE"""),0.07)</f>
        <v>0.07</v>
      </c>
      <c r="AU902" s="14">
        <f>IFERROR(__xludf.DUMMYFUNCTION("""COMPUTED_VALUE"""),1653000.0)</f>
        <v>1653000</v>
      </c>
      <c r="AV902" s="14">
        <f>IFERROR(__xludf.DUMMYFUNCTION("""COMPUTED_VALUE"""),1.99)</f>
        <v>1.99</v>
      </c>
      <c r="AW902" s="14">
        <f>IFERROR(__xludf.DUMMYFUNCTION("""COMPUTED_VALUE"""),26.9)</f>
        <v>26.9</v>
      </c>
      <c r="AX902" s="14">
        <f>IFERROR(__xludf.DUMMYFUNCTION("""COMPUTED_VALUE"""),1353000.0)</f>
        <v>1353000</v>
      </c>
      <c r="AY902" s="14">
        <f>IFERROR(__xludf.DUMMYFUNCTION("""COMPUTED_VALUE"""),0.8)</f>
        <v>0.8</v>
      </c>
      <c r="AZ902" s="14">
        <f>IFERROR(__xludf.DUMMYFUNCTION("""COMPUTED_VALUE"""),0.007)</f>
        <v>0.007</v>
      </c>
      <c r="BA902" s="14">
        <f t="shared" si="1"/>
        <v>27.707</v>
      </c>
    </row>
    <row r="903" ht="14.25" customHeight="1">
      <c r="A903" s="10" t="str">
        <f>IFERROR(__xludf.DUMMYFUNCTION("""COMPUTED_VALUE"""),"100823DA03")</f>
        <v>100823DA03</v>
      </c>
      <c r="B903" s="12" t="str">
        <f>IFERROR(__xludf.DUMMYFUNCTION("""COMPUTED_VALUE"""),"QSL-Barranquillita")</f>
        <v>QSL-Barranquillita</v>
      </c>
      <c r="C903" s="12"/>
      <c r="D903" s="12"/>
      <c r="E903" s="44">
        <f>IFERROR(__xludf.DUMMYFUNCTION("""COMPUTED_VALUE"""),45148.0)</f>
        <v>45148</v>
      </c>
      <c r="F903" s="12" t="str">
        <f>IFERROR(__xludf.DUMMYFUNCTION("""COMPUTED_VALUE"""),"TIPO I")</f>
        <v>TIPO I</v>
      </c>
      <c r="G903" s="12" t="str">
        <f>IFERROR(__xludf.DUMMYFUNCTION("""COMPUTED_VALUE"""),"Lecho rocoso, canal irregular, no se percibe olor, se observa color y espumas en el cauce del agua.")</f>
        <v>Lecho rocoso, canal irregular, no se percibe olor, se observa color y espumas en el cauce del agua.</v>
      </c>
      <c r="H903" s="45">
        <f>IFERROR(__xludf.DUMMYFUNCTION("""COMPUTED_VALUE"""),0.5833333333321207)</f>
        <v>0.5833333333</v>
      </c>
      <c r="I903" s="45">
        <f>IFERROR(__xludf.DUMMYFUNCTION("""COMPUTED_VALUE"""),0.6666666666678793)</f>
        <v>0.6666666667</v>
      </c>
      <c r="J903" s="12">
        <f>IFERROR(__xludf.DUMMYFUNCTION("""COMPUTED_VALUE"""),2.2)</f>
        <v>2.2</v>
      </c>
      <c r="K903" s="12">
        <f>IFERROR(__xludf.DUMMYFUNCTION("""COMPUTED_VALUE"""),0.11)</f>
        <v>0.11</v>
      </c>
      <c r="L903" s="14">
        <f>IFERROR(__xludf.DUMMYFUNCTION("""COMPUTED_VALUE"""),74.488)</f>
        <v>74.488</v>
      </c>
      <c r="M903" s="14">
        <f>IFERROR(__xludf.DUMMYFUNCTION("""COMPUTED_VALUE"""),75.333)</f>
        <v>75.333</v>
      </c>
      <c r="N903" s="14">
        <f>IFERROR(__xludf.DUMMYFUNCTION("""COMPUTED_VALUE"""),75.523)</f>
        <v>75.523</v>
      </c>
      <c r="O903" s="14">
        <f>IFERROR(__xludf.DUMMYFUNCTION("""COMPUTED_VALUE"""),75.37)</f>
        <v>75.37</v>
      </c>
      <c r="P903" s="14">
        <f>IFERROR(__xludf.DUMMYFUNCTION("""COMPUTED_VALUE"""),75.413)</f>
        <v>75.413</v>
      </c>
      <c r="Q903" s="14">
        <f>IFERROR(__xludf.DUMMYFUNCTION("""COMPUTED_VALUE"""),75.225)</f>
        <v>75.225</v>
      </c>
      <c r="R903" s="48">
        <f>IFERROR(__xludf.DUMMYFUNCTION("""COMPUTED_VALUE"""),7.41)</f>
        <v>7.41</v>
      </c>
      <c r="S903" s="48">
        <f>IFERROR(__xludf.DUMMYFUNCTION("""COMPUTED_VALUE"""),7.35)</f>
        <v>7.35</v>
      </c>
      <c r="T903" s="48">
        <f>IFERROR(__xludf.DUMMYFUNCTION("""COMPUTED_VALUE"""),7.37)</f>
        <v>7.37</v>
      </c>
      <c r="U903" s="48">
        <f>IFERROR(__xludf.DUMMYFUNCTION("""COMPUTED_VALUE"""),7.36)</f>
        <v>7.36</v>
      </c>
      <c r="V903" s="48">
        <f>IFERROR(__xludf.DUMMYFUNCTION("""COMPUTED_VALUE"""),7.35)</f>
        <v>7.35</v>
      </c>
      <c r="W903" s="14">
        <f>IFERROR(__xludf.DUMMYFUNCTION("""COMPUTED_VALUE"""),7.367999999999999)</f>
        <v>7.368</v>
      </c>
      <c r="X903" s="14">
        <f>IFERROR(__xludf.DUMMYFUNCTION("""COMPUTED_VALUE"""),17.0)</f>
        <v>17</v>
      </c>
      <c r="Y903" s="14">
        <f>IFERROR(__xludf.DUMMYFUNCTION("""COMPUTED_VALUE"""),16.8)</f>
        <v>16.8</v>
      </c>
      <c r="Z903" s="14">
        <f>IFERROR(__xludf.DUMMYFUNCTION("""COMPUTED_VALUE"""),16.6)</f>
        <v>16.6</v>
      </c>
      <c r="AA903" s="14">
        <f>IFERROR(__xludf.DUMMYFUNCTION("""COMPUTED_VALUE"""),16.5)</f>
        <v>16.5</v>
      </c>
      <c r="AB903" s="14">
        <f>IFERROR(__xludf.DUMMYFUNCTION("""COMPUTED_VALUE"""),16.4)</f>
        <v>16.4</v>
      </c>
      <c r="AC903" s="14">
        <f>IFERROR(__xludf.DUMMYFUNCTION("""COMPUTED_VALUE"""),16.660000000000004)</f>
        <v>16.66</v>
      </c>
      <c r="AD903" s="48">
        <f>IFERROR(__xludf.DUMMYFUNCTION("""COMPUTED_VALUE"""),221.0)</f>
        <v>221</v>
      </c>
      <c r="AE903" s="48">
        <f>IFERROR(__xludf.DUMMYFUNCTION("""COMPUTED_VALUE"""),233.0)</f>
        <v>233</v>
      </c>
      <c r="AF903" s="48">
        <f>IFERROR(__xludf.DUMMYFUNCTION("""COMPUTED_VALUE"""),228.0)</f>
        <v>228</v>
      </c>
      <c r="AG903" s="48">
        <f>IFERROR(__xludf.DUMMYFUNCTION("""COMPUTED_VALUE"""),232.0)</f>
        <v>232</v>
      </c>
      <c r="AH903" s="48">
        <f>IFERROR(__xludf.DUMMYFUNCTION("""COMPUTED_VALUE"""),230.0)</f>
        <v>230</v>
      </c>
      <c r="AI903" s="14">
        <f>IFERROR(__xludf.DUMMYFUNCTION("""COMPUTED_VALUE"""),228.8)</f>
        <v>228.8</v>
      </c>
      <c r="AJ903" s="14">
        <f>IFERROR(__xludf.DUMMYFUNCTION("""COMPUTED_VALUE"""),8.46)</f>
        <v>8.46</v>
      </c>
      <c r="AK903" s="14">
        <f>IFERROR(__xludf.DUMMYFUNCTION("""COMPUTED_VALUE"""),7.99)</f>
        <v>7.99</v>
      </c>
      <c r="AL903" s="14">
        <f>IFERROR(__xludf.DUMMYFUNCTION("""COMPUTED_VALUE"""),7.25)</f>
        <v>7.25</v>
      </c>
      <c r="AM903" s="14">
        <f>IFERROR(__xludf.DUMMYFUNCTION("""COMPUTED_VALUE"""),6.44)</f>
        <v>6.44</v>
      </c>
      <c r="AN903" s="14">
        <f>IFERROR(__xludf.DUMMYFUNCTION("""COMPUTED_VALUE"""),6.26)</f>
        <v>6.26</v>
      </c>
      <c r="AO903" s="14">
        <f>IFERROR(__xludf.DUMMYFUNCTION("""COMPUTED_VALUE"""),7.280000000000001)</f>
        <v>7.28</v>
      </c>
      <c r="AP903" s="14">
        <f>IFERROR(__xludf.DUMMYFUNCTION("""COMPUTED_VALUE"""),32.0)</f>
        <v>32</v>
      </c>
      <c r="AQ903" s="14">
        <f>IFERROR(__xludf.DUMMYFUNCTION("""COMPUTED_VALUE"""),48.0)</f>
        <v>48</v>
      </c>
      <c r="AR903" s="14">
        <f>IFERROR(__xludf.DUMMYFUNCTION("""COMPUTED_VALUE"""),117.0)</f>
        <v>117</v>
      </c>
      <c r="AS903" s="14">
        <f>IFERROR(__xludf.DUMMYFUNCTION("""COMPUTED_VALUE"""),1.0)</f>
        <v>1</v>
      </c>
      <c r="AT903" s="14">
        <f>IFERROR(__xludf.DUMMYFUNCTION("""COMPUTED_VALUE"""),0.57)</f>
        <v>0.57</v>
      </c>
      <c r="AU903" s="14">
        <f>IFERROR(__xludf.DUMMYFUNCTION("""COMPUTED_VALUE"""),104600.0)</f>
        <v>104600</v>
      </c>
      <c r="AV903" s="14">
        <f>IFERROR(__xludf.DUMMYFUNCTION("""COMPUTED_VALUE"""),0.18)</f>
        <v>0.18</v>
      </c>
      <c r="AW903" s="14">
        <f>IFERROR(__xludf.DUMMYFUNCTION("""COMPUTED_VALUE"""),4.8)</f>
        <v>4.8</v>
      </c>
      <c r="AX903" s="14">
        <f>IFERROR(__xludf.DUMMYFUNCTION("""COMPUTED_VALUE"""),70300.0)</f>
        <v>70300</v>
      </c>
      <c r="AY903" s="14">
        <f>IFERROR(__xludf.DUMMYFUNCTION("""COMPUTED_VALUE"""),1.6)</f>
        <v>1.6</v>
      </c>
      <c r="AZ903" s="14">
        <f>IFERROR(__xludf.DUMMYFUNCTION("""COMPUTED_VALUE"""),0.207)</f>
        <v>0.207</v>
      </c>
      <c r="BA903" s="14">
        <f t="shared" si="1"/>
        <v>6.607</v>
      </c>
    </row>
    <row r="904" ht="14.25" customHeight="1">
      <c r="A904" s="10" t="str">
        <f>IFERROR(__xludf.DUMMYFUNCTION("""COMPUTED_VALUE"""),"110823WI01")</f>
        <v>110823WI01</v>
      </c>
      <c r="B904" s="12" t="str">
        <f>IFERROR(__xludf.DUMMYFUNCTION("""COMPUTED_VALUE"""),"QYO-Monte Blanco")</f>
        <v>QYO-Monte Blanco</v>
      </c>
      <c r="C904" s="12"/>
      <c r="D904" s="12"/>
      <c r="E904" s="44">
        <f>IFERROR(__xludf.DUMMYFUNCTION("""COMPUTED_VALUE"""),45149.0)</f>
        <v>45149</v>
      </c>
      <c r="F904" s="12" t="str">
        <f>IFERROR(__xludf.DUMMYFUNCTION("""COMPUTED_VALUE"""),"TIPO I")</f>
        <v>TIPO I</v>
      </c>
      <c r="G904" s="12" t="str">
        <f>IFERROR(__xludf.DUMMYFUNCTION("""COMPUTED_VALUE"""),"Lecho natural rocoso-arenoso, se observa color pero no se percibe olor, altitud 2652 msnm")</f>
        <v>Lecho natural rocoso-arenoso, se observa color pero no se percibe olor, altitud 2652 msnm</v>
      </c>
      <c r="H904" s="45">
        <f>IFERROR(__xludf.DUMMYFUNCTION("""COMPUTED_VALUE"""),0.25)</f>
        <v>0.25</v>
      </c>
      <c r="I904" s="45">
        <f>IFERROR(__xludf.DUMMYFUNCTION("""COMPUTED_VALUE"""),0.3333333333321207)</f>
        <v>0.3333333333</v>
      </c>
      <c r="J904" s="12">
        <f>IFERROR(__xludf.DUMMYFUNCTION("""COMPUTED_VALUE"""),3.8)</f>
        <v>3.8</v>
      </c>
      <c r="K904" s="12">
        <f>IFERROR(__xludf.DUMMYFUNCTION("""COMPUTED_VALUE"""),0.89)</f>
        <v>0.89</v>
      </c>
      <c r="L904" s="14">
        <f>IFERROR(__xludf.DUMMYFUNCTION("""COMPUTED_VALUE"""),1288.884)</f>
        <v>1288.884</v>
      </c>
      <c r="M904" s="14">
        <f>IFERROR(__xludf.DUMMYFUNCTION("""COMPUTED_VALUE"""),1295.228)</f>
        <v>1295.228</v>
      </c>
      <c r="N904" s="14">
        <f>IFERROR(__xludf.DUMMYFUNCTION("""COMPUTED_VALUE"""),1206.961)</f>
        <v>1206.961</v>
      </c>
      <c r="O904" s="14">
        <f>IFERROR(__xludf.DUMMYFUNCTION("""COMPUTED_VALUE"""),1249.035)</f>
        <v>1249.035</v>
      </c>
      <c r="P904" s="14">
        <f>IFERROR(__xludf.DUMMYFUNCTION("""COMPUTED_VALUE"""),1277.891)</f>
        <v>1277.891</v>
      </c>
      <c r="Q904" s="14">
        <f>IFERROR(__xludf.DUMMYFUNCTION("""COMPUTED_VALUE"""),1263.6)</f>
        <v>1263.6</v>
      </c>
      <c r="R904" s="48">
        <f>IFERROR(__xludf.DUMMYFUNCTION("""COMPUTED_VALUE"""),7.62)</f>
        <v>7.62</v>
      </c>
      <c r="S904" s="48">
        <f>IFERROR(__xludf.DUMMYFUNCTION("""COMPUTED_VALUE"""),7.25)</f>
        <v>7.25</v>
      </c>
      <c r="T904" s="48">
        <f>IFERROR(__xludf.DUMMYFUNCTION("""COMPUTED_VALUE"""),7.25)</f>
        <v>7.25</v>
      </c>
      <c r="U904" s="48">
        <f>IFERROR(__xludf.DUMMYFUNCTION("""COMPUTED_VALUE"""),7.31)</f>
        <v>7.31</v>
      </c>
      <c r="V904" s="48">
        <f>IFERROR(__xludf.DUMMYFUNCTION("""COMPUTED_VALUE"""),7.49)</f>
        <v>7.49</v>
      </c>
      <c r="W904" s="14">
        <f>IFERROR(__xludf.DUMMYFUNCTION("""COMPUTED_VALUE"""),7.384)</f>
        <v>7.384</v>
      </c>
      <c r="X904" s="14">
        <f>IFERROR(__xludf.DUMMYFUNCTION("""COMPUTED_VALUE"""),12.5)</f>
        <v>12.5</v>
      </c>
      <c r="Y904" s="14">
        <f>IFERROR(__xludf.DUMMYFUNCTION("""COMPUTED_VALUE"""),12.4)</f>
        <v>12.4</v>
      </c>
      <c r="Z904" s="14">
        <f>IFERROR(__xludf.DUMMYFUNCTION("""COMPUTED_VALUE"""),12.5)</f>
        <v>12.5</v>
      </c>
      <c r="AA904" s="14">
        <f>IFERROR(__xludf.DUMMYFUNCTION("""COMPUTED_VALUE"""),12.6)</f>
        <v>12.6</v>
      </c>
      <c r="AB904" s="14">
        <f>IFERROR(__xludf.DUMMYFUNCTION("""COMPUTED_VALUE"""),12.7)</f>
        <v>12.7</v>
      </c>
      <c r="AC904" s="14">
        <f>IFERROR(__xludf.DUMMYFUNCTION("""COMPUTED_VALUE"""),12.540000000000001)</f>
        <v>12.54</v>
      </c>
      <c r="AD904" s="48">
        <f>IFERROR(__xludf.DUMMYFUNCTION("""COMPUTED_VALUE"""),64.0)</f>
        <v>64</v>
      </c>
      <c r="AE904" s="48">
        <f>IFERROR(__xludf.DUMMYFUNCTION("""COMPUTED_VALUE"""),67.3)</f>
        <v>67.3</v>
      </c>
      <c r="AF904" s="48">
        <f>IFERROR(__xludf.DUMMYFUNCTION("""COMPUTED_VALUE"""),79.7)</f>
        <v>79.7</v>
      </c>
      <c r="AG904" s="48">
        <f>IFERROR(__xludf.DUMMYFUNCTION("""COMPUTED_VALUE"""),75.5)</f>
        <v>75.5</v>
      </c>
      <c r="AH904" s="48">
        <f>IFERROR(__xludf.DUMMYFUNCTION("""COMPUTED_VALUE"""),76.1)</f>
        <v>76.1</v>
      </c>
      <c r="AI904" s="14">
        <f>IFERROR(__xludf.DUMMYFUNCTION("""COMPUTED_VALUE"""),72.52000000000001)</f>
        <v>72.52</v>
      </c>
      <c r="AJ904" s="14">
        <f>IFERROR(__xludf.DUMMYFUNCTION("""COMPUTED_VALUE"""),6.58)</f>
        <v>6.58</v>
      </c>
      <c r="AK904" s="14">
        <f>IFERROR(__xludf.DUMMYFUNCTION("""COMPUTED_VALUE"""),6.1)</f>
        <v>6.1</v>
      </c>
      <c r="AL904" s="14">
        <f>IFERROR(__xludf.DUMMYFUNCTION("""COMPUTED_VALUE"""),6.2)</f>
        <v>6.2</v>
      </c>
      <c r="AM904" s="14">
        <f>IFERROR(__xludf.DUMMYFUNCTION("""COMPUTED_VALUE"""),6.38)</f>
        <v>6.38</v>
      </c>
      <c r="AN904" s="14">
        <f>IFERROR(__xludf.DUMMYFUNCTION("""COMPUTED_VALUE"""),6.35)</f>
        <v>6.35</v>
      </c>
      <c r="AO904" s="14">
        <f>IFERROR(__xludf.DUMMYFUNCTION("""COMPUTED_VALUE"""),6.322)</f>
        <v>6.322</v>
      </c>
      <c r="AP904" s="14">
        <f>IFERROR(__xludf.DUMMYFUNCTION("""COMPUTED_VALUE"""),24.0)</f>
        <v>24</v>
      </c>
      <c r="AQ904" s="14">
        <f>IFERROR(__xludf.DUMMYFUNCTION("""COMPUTED_VALUE"""),36.0)</f>
        <v>36</v>
      </c>
      <c r="AR904" s="14">
        <f>IFERROR(__xludf.DUMMYFUNCTION("""COMPUTED_VALUE"""),55.0)</f>
        <v>55</v>
      </c>
      <c r="AS904" s="14">
        <f>IFERROR(__xludf.DUMMYFUNCTION("""COMPUTED_VALUE"""),1.0)</f>
        <v>1</v>
      </c>
      <c r="AT904" s="14">
        <f>IFERROR(__xludf.DUMMYFUNCTION("""COMPUTED_VALUE"""),0.07)</f>
        <v>0.07</v>
      </c>
      <c r="AU904" s="14">
        <f>IFERROR(__xludf.DUMMYFUNCTION("""COMPUTED_VALUE"""),1.551E8)</f>
        <v>155100000</v>
      </c>
      <c r="AV904" s="14">
        <f>IFERROR(__xludf.DUMMYFUNCTION("""COMPUTED_VALUE"""),0.24)</f>
        <v>0.24</v>
      </c>
      <c r="AW904" s="14">
        <f>IFERROR(__xludf.DUMMYFUNCTION("""COMPUTED_VALUE"""),3.6)</f>
        <v>3.6</v>
      </c>
      <c r="AX904" s="14">
        <f>IFERROR(__xludf.DUMMYFUNCTION("""COMPUTED_VALUE"""),1.353E8)</f>
        <v>135300000</v>
      </c>
      <c r="AY904" s="14">
        <f>IFERROR(__xludf.DUMMYFUNCTION("""COMPUTED_VALUE"""),0.7)</f>
        <v>0.7</v>
      </c>
      <c r="AZ904" s="14">
        <f>IFERROR(__xludf.DUMMYFUNCTION("""COMPUTED_VALUE"""),0.044)</f>
        <v>0.044</v>
      </c>
      <c r="BA904" s="14">
        <f t="shared" si="1"/>
        <v>4.344</v>
      </c>
    </row>
    <row r="905" ht="14.25" customHeight="1">
      <c r="A905" s="10" t="str">
        <f>IFERROR(__xludf.DUMMYFUNCTION("""COMPUTED_VALUE"""),"110823WI03")</f>
        <v>110823WI03</v>
      </c>
      <c r="B905" s="12" t="str">
        <f>IFERROR(__xludf.DUMMYFUNCTION("""COMPUTED_VALUE"""),"QYO-Bolonia")</f>
        <v>QYO-Bolonia</v>
      </c>
      <c r="C905" s="12"/>
      <c r="D905" s="12"/>
      <c r="E905" s="44">
        <f>IFERROR(__xludf.DUMMYFUNCTION("""COMPUTED_VALUE"""),45149.0)</f>
        <v>45149</v>
      </c>
      <c r="F905" s="12" t="str">
        <f>IFERROR(__xludf.DUMMYFUNCTION("""COMPUTED_VALUE"""),"TIPO I")</f>
        <v>TIPO I</v>
      </c>
      <c r="G905" s="12" t="str">
        <f>IFERROR(__xludf.DUMMYFUNCTION("""COMPUTED_VALUE"""),"Lecho natural rocoso, no se percibe olor, se observa color, altitud 2753 msnm")</f>
        <v>Lecho natural rocoso, no se percibe olor, se observa color, altitud 2753 msnm</v>
      </c>
      <c r="H905" s="45">
        <f>IFERROR(__xludf.DUMMYFUNCTION("""COMPUTED_VALUE"""),0.5833333333321207)</f>
        <v>0.5833333333</v>
      </c>
      <c r="I905" s="45">
        <f>IFERROR(__xludf.DUMMYFUNCTION("""COMPUTED_VALUE"""),0.6666666666678793)</f>
        <v>0.6666666667</v>
      </c>
      <c r="J905" s="12">
        <f>IFERROR(__xludf.DUMMYFUNCTION("""COMPUTED_VALUE"""),4.3)</f>
        <v>4.3</v>
      </c>
      <c r="K905" s="12">
        <f>IFERROR(__xludf.DUMMYFUNCTION("""COMPUTED_VALUE"""),0.72)</f>
        <v>0.72</v>
      </c>
      <c r="L905" s="14">
        <f>IFERROR(__xludf.DUMMYFUNCTION("""COMPUTED_VALUE"""),1121.936)</f>
        <v>1121.936</v>
      </c>
      <c r="M905" s="14">
        <f>IFERROR(__xludf.DUMMYFUNCTION("""COMPUTED_VALUE"""),1137.289)</f>
        <v>1137.289</v>
      </c>
      <c r="N905" s="14">
        <f>IFERROR(__xludf.DUMMYFUNCTION("""COMPUTED_VALUE"""),1096.739)</f>
        <v>1096.739</v>
      </c>
      <c r="O905" s="14">
        <f>IFERROR(__xludf.DUMMYFUNCTION("""COMPUTED_VALUE"""),1114.553)</f>
        <v>1114.553</v>
      </c>
      <c r="P905" s="14">
        <f>IFERROR(__xludf.DUMMYFUNCTION("""COMPUTED_VALUE"""),1119.201)</f>
        <v>1119.201</v>
      </c>
      <c r="Q905" s="14">
        <f>IFERROR(__xludf.DUMMYFUNCTION("""COMPUTED_VALUE"""),1117.944)</f>
        <v>1117.944</v>
      </c>
      <c r="R905" s="48">
        <f>IFERROR(__xludf.DUMMYFUNCTION("""COMPUTED_VALUE"""),7.18)</f>
        <v>7.18</v>
      </c>
      <c r="S905" s="48">
        <f>IFERROR(__xludf.DUMMYFUNCTION("""COMPUTED_VALUE"""),7.36)</f>
        <v>7.36</v>
      </c>
      <c r="T905" s="48">
        <f>IFERROR(__xludf.DUMMYFUNCTION("""COMPUTED_VALUE"""),7.39)</f>
        <v>7.39</v>
      </c>
      <c r="U905" s="48">
        <f>IFERROR(__xludf.DUMMYFUNCTION("""COMPUTED_VALUE"""),7.49)</f>
        <v>7.49</v>
      </c>
      <c r="V905" s="48">
        <f>IFERROR(__xludf.DUMMYFUNCTION("""COMPUTED_VALUE"""),7.45)</f>
        <v>7.45</v>
      </c>
      <c r="W905" s="14">
        <f>IFERROR(__xludf.DUMMYFUNCTION("""COMPUTED_VALUE"""),7.3740000000000006)</f>
        <v>7.374</v>
      </c>
      <c r="X905" s="14">
        <f>IFERROR(__xludf.DUMMYFUNCTION("""COMPUTED_VALUE"""),13.0)</f>
        <v>13</v>
      </c>
      <c r="Y905" s="14">
        <f>IFERROR(__xludf.DUMMYFUNCTION("""COMPUTED_VALUE"""),12.9)</f>
        <v>12.9</v>
      </c>
      <c r="Z905" s="14">
        <f>IFERROR(__xludf.DUMMYFUNCTION("""COMPUTED_VALUE"""),12.9)</f>
        <v>12.9</v>
      </c>
      <c r="AA905" s="14">
        <f>IFERROR(__xludf.DUMMYFUNCTION("""COMPUTED_VALUE"""),13.0)</f>
        <v>13</v>
      </c>
      <c r="AB905" s="14">
        <f>IFERROR(__xludf.DUMMYFUNCTION("""COMPUTED_VALUE"""),13.0)</f>
        <v>13</v>
      </c>
      <c r="AC905" s="14">
        <f>IFERROR(__xludf.DUMMYFUNCTION("""COMPUTED_VALUE"""),12.959999999999999)</f>
        <v>12.96</v>
      </c>
      <c r="AD905" s="48">
        <f>IFERROR(__xludf.DUMMYFUNCTION("""COMPUTED_VALUE"""),52.1)</f>
        <v>52.1</v>
      </c>
      <c r="AE905" s="48">
        <f>IFERROR(__xludf.DUMMYFUNCTION("""COMPUTED_VALUE"""),52.2)</f>
        <v>52.2</v>
      </c>
      <c r="AF905" s="48">
        <f>IFERROR(__xludf.DUMMYFUNCTION("""COMPUTED_VALUE"""),52.1)</f>
        <v>52.1</v>
      </c>
      <c r="AG905" s="48">
        <f>IFERROR(__xludf.DUMMYFUNCTION("""COMPUTED_VALUE"""),51.3)</f>
        <v>51.3</v>
      </c>
      <c r="AH905" s="48">
        <f>IFERROR(__xludf.DUMMYFUNCTION("""COMPUTED_VALUE"""),51.4)</f>
        <v>51.4</v>
      </c>
      <c r="AI905" s="14">
        <f>IFERROR(__xludf.DUMMYFUNCTION("""COMPUTED_VALUE"""),51.81999999999999)</f>
        <v>51.82</v>
      </c>
      <c r="AJ905" s="14">
        <f>IFERROR(__xludf.DUMMYFUNCTION("""COMPUTED_VALUE"""),6.55)</f>
        <v>6.55</v>
      </c>
      <c r="AK905" s="14">
        <f>IFERROR(__xludf.DUMMYFUNCTION("""COMPUTED_VALUE"""),6.71)</f>
        <v>6.71</v>
      </c>
      <c r="AL905" s="14">
        <f>IFERROR(__xludf.DUMMYFUNCTION("""COMPUTED_VALUE"""),6.45)</f>
        <v>6.45</v>
      </c>
      <c r="AM905" s="14">
        <f>IFERROR(__xludf.DUMMYFUNCTION("""COMPUTED_VALUE"""),6.35)</f>
        <v>6.35</v>
      </c>
      <c r="AN905" s="14">
        <f>IFERROR(__xludf.DUMMYFUNCTION("""COMPUTED_VALUE"""),6.18)</f>
        <v>6.18</v>
      </c>
      <c r="AO905" s="14">
        <f>IFERROR(__xludf.DUMMYFUNCTION("""COMPUTED_VALUE"""),6.448)</f>
        <v>6.448</v>
      </c>
      <c r="AP905" s="14">
        <f>IFERROR(__xludf.DUMMYFUNCTION("""COMPUTED_VALUE"""),17.0)</f>
        <v>17</v>
      </c>
      <c r="AQ905" s="14">
        <f>IFERROR(__xludf.DUMMYFUNCTION("""COMPUTED_VALUE"""),27.0)</f>
        <v>27</v>
      </c>
      <c r="AR905" s="14">
        <f>IFERROR(__xludf.DUMMYFUNCTION("""COMPUTED_VALUE"""),26.0)</f>
        <v>26</v>
      </c>
      <c r="AS905" s="14">
        <f>IFERROR(__xludf.DUMMYFUNCTION("""COMPUTED_VALUE"""),1.0)</f>
        <v>1</v>
      </c>
      <c r="AT905" s="14">
        <f>IFERROR(__xludf.DUMMYFUNCTION("""COMPUTED_VALUE"""),0.07)</f>
        <v>0.07</v>
      </c>
      <c r="AU905" s="14">
        <f>IFERROR(__xludf.DUMMYFUNCTION("""COMPUTED_VALUE"""),2.258E7)</f>
        <v>22580000</v>
      </c>
      <c r="AV905" s="14">
        <f>IFERROR(__xludf.DUMMYFUNCTION("""COMPUTED_VALUE"""),0.05)</f>
        <v>0.05</v>
      </c>
      <c r="AW905" s="14">
        <f>IFERROR(__xludf.DUMMYFUNCTION("""COMPUTED_VALUE"""),1.1)</f>
        <v>1.1</v>
      </c>
      <c r="AX905" s="14">
        <f>IFERROR(__xludf.DUMMYFUNCTION("""COMPUTED_VALUE"""),2.011E7)</f>
        <v>20110000</v>
      </c>
      <c r="AY905" s="14">
        <f>IFERROR(__xludf.DUMMYFUNCTION("""COMPUTED_VALUE"""),0.7)</f>
        <v>0.7</v>
      </c>
      <c r="AZ905" s="14">
        <f>IFERROR(__xludf.DUMMYFUNCTION("""COMPUTED_VALUE"""),0.029)</f>
        <v>0.029</v>
      </c>
      <c r="BA905" s="14">
        <f t="shared" si="1"/>
        <v>1.829</v>
      </c>
    </row>
    <row r="906" ht="14.25" customHeight="1">
      <c r="A906" s="10" t="str">
        <f>IFERROR(__xludf.DUMMYFUNCTION("""COMPUTED_VALUE"""),"220823DU01")</f>
        <v>220823DU01</v>
      </c>
      <c r="B906" s="12" t="str">
        <f>IFERROR(__xludf.DUMMYFUNCTION("""COMPUTED_VALUE"""),"CMO-Santa Ana")</f>
        <v>CMO-Santa Ana</v>
      </c>
      <c r="C906" s="12"/>
      <c r="D906" s="12"/>
      <c r="E906" s="44">
        <f>IFERROR(__xludf.DUMMYFUNCTION("""COMPUTED_VALUE"""),45160.0)</f>
        <v>45160</v>
      </c>
      <c r="F906" s="12" t="str">
        <f>IFERROR(__xludf.DUMMYFUNCTION("""COMPUTED_VALUE"""),"TIPO I")</f>
        <v>TIPO I</v>
      </c>
      <c r="G906" s="12" t="str">
        <f>IFERROR(__xludf.DUMMYFUNCTION("""COMPUTED_VALUE"""),"Lecho artificial canal en concreto, durante el monitoreo no se percibe olor, se observa color. Altitud: 2569 mnsm. ")</f>
        <v>Lecho artificial canal en concreto, durante el monitoreo no se percibe olor, se observa color. Altitud: 2569 mnsm. </v>
      </c>
      <c r="H906" s="45">
        <f>IFERROR(__xludf.DUMMYFUNCTION("""COMPUTED_VALUE"""),0.3333333333321207)</f>
        <v>0.3333333333</v>
      </c>
      <c r="I906" s="45">
        <f>IFERROR(__xludf.DUMMYFUNCTION("""COMPUTED_VALUE"""),0.4166666666678793)</f>
        <v>0.4166666667</v>
      </c>
      <c r="J906" s="12">
        <f>IFERROR(__xludf.DUMMYFUNCTION("""COMPUTED_VALUE"""),3.5)</f>
        <v>3.5</v>
      </c>
      <c r="K906" s="12">
        <f>IFERROR(__xludf.DUMMYFUNCTION("""COMPUTED_VALUE"""),0.16)</f>
        <v>0.16</v>
      </c>
      <c r="L906" s="14">
        <f>IFERROR(__xludf.DUMMYFUNCTION("""COMPUTED_VALUE"""),265.655)</f>
        <v>265.655</v>
      </c>
      <c r="M906" s="14">
        <f>IFERROR(__xludf.DUMMYFUNCTION("""COMPUTED_VALUE"""),272.176)</f>
        <v>272.176</v>
      </c>
      <c r="N906" s="14">
        <f>IFERROR(__xludf.DUMMYFUNCTION("""COMPUTED_VALUE"""),269.803)</f>
        <v>269.803</v>
      </c>
      <c r="O906" s="14">
        <f>IFERROR(__xludf.DUMMYFUNCTION("""COMPUTED_VALUE"""),272.275)</f>
        <v>272.275</v>
      </c>
      <c r="P906" s="14">
        <f>IFERROR(__xludf.DUMMYFUNCTION("""COMPUTED_VALUE"""),269.984)</f>
        <v>269.984</v>
      </c>
      <c r="Q906" s="14">
        <f>IFERROR(__xludf.DUMMYFUNCTION("""COMPUTED_VALUE"""),269.978)</f>
        <v>269.978</v>
      </c>
      <c r="R906" s="48">
        <f>IFERROR(__xludf.DUMMYFUNCTION("""COMPUTED_VALUE"""),7.61)</f>
        <v>7.61</v>
      </c>
      <c r="S906" s="48">
        <f>IFERROR(__xludf.DUMMYFUNCTION("""COMPUTED_VALUE"""),7.87)</f>
        <v>7.87</v>
      </c>
      <c r="T906" s="48">
        <f>IFERROR(__xludf.DUMMYFUNCTION("""COMPUTED_VALUE"""),8.07)</f>
        <v>8.07</v>
      </c>
      <c r="U906" s="48">
        <f>IFERROR(__xludf.DUMMYFUNCTION("""COMPUTED_VALUE"""),8.12)</f>
        <v>8.12</v>
      </c>
      <c r="V906" s="48">
        <f>IFERROR(__xludf.DUMMYFUNCTION("""COMPUTED_VALUE"""),7.97)</f>
        <v>7.97</v>
      </c>
      <c r="W906" s="14">
        <f>IFERROR(__xludf.DUMMYFUNCTION("""COMPUTED_VALUE"""),7.928)</f>
        <v>7.928</v>
      </c>
      <c r="X906" s="14">
        <f>IFERROR(__xludf.DUMMYFUNCTION("""COMPUTED_VALUE"""),16.5)</f>
        <v>16.5</v>
      </c>
      <c r="Y906" s="14">
        <f>IFERROR(__xludf.DUMMYFUNCTION("""COMPUTED_VALUE"""),16.4)</f>
        <v>16.4</v>
      </c>
      <c r="Z906" s="14">
        <f>IFERROR(__xludf.DUMMYFUNCTION("""COMPUTED_VALUE"""),16.8)</f>
        <v>16.8</v>
      </c>
      <c r="AA906" s="14">
        <f>IFERROR(__xludf.DUMMYFUNCTION("""COMPUTED_VALUE"""),16.9)</f>
        <v>16.9</v>
      </c>
      <c r="AB906" s="14">
        <f>IFERROR(__xludf.DUMMYFUNCTION("""COMPUTED_VALUE"""),16.9)</f>
        <v>16.9</v>
      </c>
      <c r="AC906" s="14">
        <f>IFERROR(__xludf.DUMMYFUNCTION("""COMPUTED_VALUE"""),16.7)</f>
        <v>16.7</v>
      </c>
      <c r="AD906" s="48">
        <f>IFERROR(__xludf.DUMMYFUNCTION("""COMPUTED_VALUE"""),207.0)</f>
        <v>207</v>
      </c>
      <c r="AE906" s="48">
        <f>IFERROR(__xludf.DUMMYFUNCTION("""COMPUTED_VALUE"""),206.0)</f>
        <v>206</v>
      </c>
      <c r="AF906" s="48">
        <f>IFERROR(__xludf.DUMMYFUNCTION("""COMPUTED_VALUE"""),225.0)</f>
        <v>225</v>
      </c>
      <c r="AG906" s="48">
        <f>IFERROR(__xludf.DUMMYFUNCTION("""COMPUTED_VALUE"""),236.0)</f>
        <v>236</v>
      </c>
      <c r="AH906" s="48">
        <f>IFERROR(__xludf.DUMMYFUNCTION("""COMPUTED_VALUE"""),238.0)</f>
        <v>238</v>
      </c>
      <c r="AI906" s="14">
        <f>IFERROR(__xludf.DUMMYFUNCTION("""COMPUTED_VALUE"""),222.4)</f>
        <v>222.4</v>
      </c>
      <c r="AJ906" s="14">
        <f>IFERROR(__xludf.DUMMYFUNCTION("""COMPUTED_VALUE"""),4.15)</f>
        <v>4.15</v>
      </c>
      <c r="AK906" s="14">
        <f>IFERROR(__xludf.DUMMYFUNCTION("""COMPUTED_VALUE"""),4.34)</f>
        <v>4.34</v>
      </c>
      <c r="AL906" s="14">
        <f>IFERROR(__xludf.DUMMYFUNCTION("""COMPUTED_VALUE"""),4.28)</f>
        <v>4.28</v>
      </c>
      <c r="AM906" s="14">
        <f>IFERROR(__xludf.DUMMYFUNCTION("""COMPUTED_VALUE"""),4.39)</f>
        <v>4.39</v>
      </c>
      <c r="AN906" s="14">
        <f>IFERROR(__xludf.DUMMYFUNCTION("""COMPUTED_VALUE"""),4.31)</f>
        <v>4.31</v>
      </c>
      <c r="AO906" s="14">
        <f>IFERROR(__xludf.DUMMYFUNCTION("""COMPUTED_VALUE"""),4.294)</f>
        <v>4.294</v>
      </c>
      <c r="AP906" s="14">
        <f>IFERROR(__xludf.DUMMYFUNCTION("""COMPUTED_VALUE"""),23.0)</f>
        <v>23</v>
      </c>
      <c r="AQ906" s="14">
        <f>IFERROR(__xludf.DUMMYFUNCTION("""COMPUTED_VALUE"""),29.0)</f>
        <v>29</v>
      </c>
      <c r="AR906" s="14">
        <f>IFERROR(__xludf.DUMMYFUNCTION("""COMPUTED_VALUE"""),18.0)</f>
        <v>18</v>
      </c>
      <c r="AS906" s="14">
        <f>IFERROR(__xludf.DUMMYFUNCTION("""COMPUTED_VALUE"""),1.2)</f>
        <v>1.2</v>
      </c>
      <c r="AT906" s="14">
        <f>IFERROR(__xludf.DUMMYFUNCTION("""COMPUTED_VALUE"""),0.07)</f>
        <v>0.07</v>
      </c>
      <c r="AU906" s="14">
        <f>IFERROR(__xludf.DUMMYFUNCTION("""COMPUTED_VALUE"""),1.615E8)</f>
        <v>161500000</v>
      </c>
      <c r="AV906" s="14">
        <f>IFERROR(__xludf.DUMMYFUNCTION("""COMPUTED_VALUE"""),0.69)</f>
        <v>0.69</v>
      </c>
      <c r="AW906" s="14">
        <f>IFERROR(__xludf.DUMMYFUNCTION("""COMPUTED_VALUE"""),9.5)</f>
        <v>9.5</v>
      </c>
      <c r="AX906" s="14">
        <f>IFERROR(__xludf.DUMMYFUNCTION("""COMPUTED_VALUE"""),1.368E7)</f>
        <v>13680000</v>
      </c>
      <c r="AY906" s="14">
        <f>IFERROR(__xludf.DUMMYFUNCTION("""COMPUTED_VALUE"""),0.8)</f>
        <v>0.8</v>
      </c>
      <c r="AZ906" s="14">
        <f>IFERROR(__xludf.DUMMYFUNCTION("""COMPUTED_VALUE"""),0.147)</f>
        <v>0.147</v>
      </c>
      <c r="BA906" s="14">
        <f t="shared" si="1"/>
        <v>10.447</v>
      </c>
    </row>
    <row r="907" ht="14.25" customHeight="1">
      <c r="A907" s="10" t="str">
        <f>IFERROR(__xludf.DUMMYFUNCTION("""COMPUTED_VALUE"""),"220823DU03")</f>
        <v>220823DU03</v>
      </c>
      <c r="B907" s="12" t="str">
        <f>IFERROR(__xludf.DUMMYFUNCTION("""COMPUTED_VALUE"""),"CMO-Cantón Norte")</f>
        <v>CMO-Cantón Norte</v>
      </c>
      <c r="C907" s="12"/>
      <c r="D907" s="12"/>
      <c r="E907" s="44">
        <f>IFERROR(__xludf.DUMMYFUNCTION("""COMPUTED_VALUE"""),45160.0)</f>
        <v>45160</v>
      </c>
      <c r="F907" s="12" t="str">
        <f>IFERROR(__xludf.DUMMYFUNCTION("""COMPUTED_VALUE"""),"TIPO I")</f>
        <v>TIPO I</v>
      </c>
      <c r="G907" s="12" t="str">
        <f>IFERROR(__xludf.DUMMYFUNCTION("""COMPUTED_VALUE"""),"Lecho artificial en concreto, no se percibe olor, no se observa color, altitud 2621 msnm, subcuenca canal molinos.")</f>
        <v>Lecho artificial en concreto, no se percibe olor, no se observa color, altitud 2621 msnm, subcuenca canal molinos.</v>
      </c>
      <c r="H907" s="45">
        <f>IFERROR(__xludf.DUMMYFUNCTION("""COMPUTED_VALUE"""),0.5)</f>
        <v>0.5</v>
      </c>
      <c r="I907" s="45">
        <f>IFERROR(__xludf.DUMMYFUNCTION("""COMPUTED_VALUE"""),0.5833333333321207)</f>
        <v>0.5833333333</v>
      </c>
      <c r="J907" s="12">
        <f>IFERROR(__xludf.DUMMYFUNCTION("""COMPUTED_VALUE"""),2.4)</f>
        <v>2.4</v>
      </c>
      <c r="K907" s="12">
        <f>IFERROR(__xludf.DUMMYFUNCTION("""COMPUTED_VALUE"""),0.17)</f>
        <v>0.17</v>
      </c>
      <c r="L907" s="14">
        <f>IFERROR(__xludf.DUMMYFUNCTION("""COMPUTED_VALUE"""),112.918)</f>
        <v>112.918</v>
      </c>
      <c r="M907" s="14">
        <f>IFERROR(__xludf.DUMMYFUNCTION("""COMPUTED_VALUE"""),112.523)</f>
        <v>112.523</v>
      </c>
      <c r="N907" s="14">
        <f>IFERROR(__xludf.DUMMYFUNCTION("""COMPUTED_VALUE"""),110.928)</f>
        <v>110.928</v>
      </c>
      <c r="O907" s="14">
        <f>IFERROR(__xludf.DUMMYFUNCTION("""COMPUTED_VALUE"""),111.101)</f>
        <v>111.101</v>
      </c>
      <c r="P907" s="14">
        <f>IFERROR(__xludf.DUMMYFUNCTION("""COMPUTED_VALUE"""),109.128)</f>
        <v>109.128</v>
      </c>
      <c r="Q907" s="14">
        <f>IFERROR(__xludf.DUMMYFUNCTION("""COMPUTED_VALUE"""),111.32)</f>
        <v>111.32</v>
      </c>
      <c r="R907" s="48">
        <f>IFERROR(__xludf.DUMMYFUNCTION("""COMPUTED_VALUE"""),8.14)</f>
        <v>8.14</v>
      </c>
      <c r="S907" s="48">
        <f>IFERROR(__xludf.DUMMYFUNCTION("""COMPUTED_VALUE"""),8.25)</f>
        <v>8.25</v>
      </c>
      <c r="T907" s="48">
        <f>IFERROR(__xludf.DUMMYFUNCTION("""COMPUTED_VALUE"""),8.2)</f>
        <v>8.2</v>
      </c>
      <c r="U907" s="48">
        <f>IFERROR(__xludf.DUMMYFUNCTION("""COMPUTED_VALUE"""),7.69)</f>
        <v>7.69</v>
      </c>
      <c r="V907" s="48">
        <f>IFERROR(__xludf.DUMMYFUNCTION("""COMPUTED_VALUE"""),7.59)</f>
        <v>7.59</v>
      </c>
      <c r="W907" s="14">
        <f>IFERROR(__xludf.DUMMYFUNCTION("""COMPUTED_VALUE"""),7.974000000000001)</f>
        <v>7.974</v>
      </c>
      <c r="X907" s="14">
        <f>IFERROR(__xludf.DUMMYFUNCTION("""COMPUTED_VALUE"""),16.1)</f>
        <v>16.1</v>
      </c>
      <c r="Y907" s="14">
        <f>IFERROR(__xludf.DUMMYFUNCTION("""COMPUTED_VALUE"""),16.2)</f>
        <v>16.2</v>
      </c>
      <c r="Z907" s="14">
        <f>IFERROR(__xludf.DUMMYFUNCTION("""COMPUTED_VALUE"""),16.2)</f>
        <v>16.2</v>
      </c>
      <c r="AA907" s="14">
        <f>IFERROR(__xludf.DUMMYFUNCTION("""COMPUTED_VALUE"""),16.3)</f>
        <v>16.3</v>
      </c>
      <c r="AB907" s="14">
        <f>IFERROR(__xludf.DUMMYFUNCTION("""COMPUTED_VALUE"""),16.6)</f>
        <v>16.6</v>
      </c>
      <c r="AC907" s="14">
        <f>IFERROR(__xludf.DUMMYFUNCTION("""COMPUTED_VALUE"""),16.28)</f>
        <v>16.28</v>
      </c>
      <c r="AD907" s="48">
        <f>IFERROR(__xludf.DUMMYFUNCTION("""COMPUTED_VALUE"""),180.7)</f>
        <v>180.7</v>
      </c>
      <c r="AE907" s="48">
        <f>IFERROR(__xludf.DUMMYFUNCTION("""COMPUTED_VALUE"""),178.0)</f>
        <v>178</v>
      </c>
      <c r="AF907" s="48">
        <f>IFERROR(__xludf.DUMMYFUNCTION("""COMPUTED_VALUE"""),178.9)</f>
        <v>178.9</v>
      </c>
      <c r="AG907" s="48">
        <f>IFERROR(__xludf.DUMMYFUNCTION("""COMPUTED_VALUE"""),189.9)</f>
        <v>189.9</v>
      </c>
      <c r="AH907" s="48">
        <f>IFERROR(__xludf.DUMMYFUNCTION("""COMPUTED_VALUE"""),180.0)</f>
        <v>180</v>
      </c>
      <c r="AI907" s="14">
        <f>IFERROR(__xludf.DUMMYFUNCTION("""COMPUTED_VALUE"""),181.5)</f>
        <v>181.5</v>
      </c>
      <c r="AJ907" s="14">
        <f>IFERROR(__xludf.DUMMYFUNCTION("""COMPUTED_VALUE"""),6.05)</f>
        <v>6.05</v>
      </c>
      <c r="AK907" s="14">
        <f>IFERROR(__xludf.DUMMYFUNCTION("""COMPUTED_VALUE"""),5.98)</f>
        <v>5.98</v>
      </c>
      <c r="AL907" s="14">
        <f>IFERROR(__xludf.DUMMYFUNCTION("""COMPUTED_VALUE"""),6.13)</f>
        <v>6.13</v>
      </c>
      <c r="AM907" s="14">
        <f>IFERROR(__xludf.DUMMYFUNCTION("""COMPUTED_VALUE"""),6.28)</f>
        <v>6.28</v>
      </c>
      <c r="AN907" s="14">
        <f>IFERROR(__xludf.DUMMYFUNCTION("""COMPUTED_VALUE"""),6.12)</f>
        <v>6.12</v>
      </c>
      <c r="AO907" s="14">
        <f>IFERROR(__xludf.DUMMYFUNCTION("""COMPUTED_VALUE"""),6.112)</f>
        <v>6.112</v>
      </c>
      <c r="AP907" s="14">
        <f>IFERROR(__xludf.DUMMYFUNCTION("""COMPUTED_VALUE"""),43.0)</f>
        <v>43</v>
      </c>
      <c r="AQ907" s="14">
        <f>IFERROR(__xludf.DUMMYFUNCTION("""COMPUTED_VALUE"""),61.0)</f>
        <v>61</v>
      </c>
      <c r="AR907" s="14">
        <f>IFERROR(__xludf.DUMMYFUNCTION("""COMPUTED_VALUE"""),12.0)</f>
        <v>12</v>
      </c>
      <c r="AS907" s="14">
        <f>IFERROR(__xludf.DUMMYFUNCTION("""COMPUTED_VALUE"""),1.0)</f>
        <v>1</v>
      </c>
      <c r="AT907" s="14">
        <f>IFERROR(__xludf.DUMMYFUNCTION("""COMPUTED_VALUE"""),0.07)</f>
        <v>0.07</v>
      </c>
      <c r="AU907" s="14">
        <f>IFERROR(__xludf.DUMMYFUNCTION("""COMPUTED_VALUE"""),1.43E8)</f>
        <v>143000000</v>
      </c>
      <c r="AV907" s="14">
        <f>IFERROR(__xludf.DUMMYFUNCTION("""COMPUTED_VALUE"""),0.5)</f>
        <v>0.5</v>
      </c>
      <c r="AW907" s="14">
        <f>IFERROR(__xludf.DUMMYFUNCTION("""COMPUTED_VALUE"""),5.9)</f>
        <v>5.9</v>
      </c>
      <c r="AX907" s="14">
        <f>IFERROR(__xludf.DUMMYFUNCTION("""COMPUTED_VALUE"""),1.324E8)</f>
        <v>132400000</v>
      </c>
      <c r="AY907" s="14">
        <f>IFERROR(__xludf.DUMMYFUNCTION("""COMPUTED_VALUE"""),1.0)</f>
        <v>1</v>
      </c>
      <c r="AZ907" s="14">
        <f>IFERROR(__xludf.DUMMYFUNCTION("""COMPUTED_VALUE"""),0.115)</f>
        <v>0.115</v>
      </c>
      <c r="BA907" s="14">
        <f t="shared" si="1"/>
        <v>7.015</v>
      </c>
    </row>
    <row r="908" ht="14.25" customHeight="1">
      <c r="A908" s="10" t="str">
        <f>IFERROR(__xludf.DUMMYFUNCTION("""COMPUTED_VALUE"""),"220823WI01")</f>
        <v>220823WI01</v>
      </c>
      <c r="B908" s="12" t="str">
        <f>IFERROR(__xludf.DUMMYFUNCTION("""COMPUTED_VALUE"""),"CMO-Pepe Sierra")</f>
        <v>CMO-Pepe Sierra</v>
      </c>
      <c r="C908" s="12"/>
      <c r="D908" s="12"/>
      <c r="E908" s="44">
        <f>IFERROR(__xludf.DUMMYFUNCTION("""COMPUTED_VALUE"""),45160.0)</f>
        <v>45160</v>
      </c>
      <c r="F908" s="12" t="str">
        <f>IFERROR(__xludf.DUMMYFUNCTION("""COMPUTED_VALUE"""),"TIPO I")</f>
        <v>TIPO I</v>
      </c>
      <c r="G908" s="12" t="str">
        <f>IFERROR(__xludf.DUMMYFUNCTION("""COMPUTED_VALUE"""),"Canal trapezoidal en concreto, se observa color y material flotante en el cauce del canal, no se percibe olor. Altitud 2566 msnm.")</f>
        <v>Canal trapezoidal en concreto, se observa color y material flotante en el cauce del canal, no se percibe olor. Altitud 2566 msnm.</v>
      </c>
      <c r="H908" s="45">
        <f>IFERROR(__xludf.DUMMYFUNCTION("""COMPUTED_VALUE"""),0.3333333333321207)</f>
        <v>0.3333333333</v>
      </c>
      <c r="I908" s="45">
        <f>IFERROR(__xludf.DUMMYFUNCTION("""COMPUTED_VALUE"""),0.4166666666678793)</f>
        <v>0.4166666667</v>
      </c>
      <c r="J908" s="12">
        <f>IFERROR(__xludf.DUMMYFUNCTION("""COMPUTED_VALUE"""),7.5)</f>
        <v>7.5</v>
      </c>
      <c r="K908" s="12">
        <f>IFERROR(__xludf.DUMMYFUNCTION("""COMPUTED_VALUE"""),0.2)</f>
        <v>0.2</v>
      </c>
      <c r="L908" s="14">
        <f>IFERROR(__xludf.DUMMYFUNCTION("""COMPUTED_VALUE"""),328.868)</f>
        <v>328.868</v>
      </c>
      <c r="M908" s="14">
        <f>IFERROR(__xludf.DUMMYFUNCTION("""COMPUTED_VALUE"""),331.513)</f>
        <v>331.513</v>
      </c>
      <c r="N908" s="14">
        <f>IFERROR(__xludf.DUMMYFUNCTION("""COMPUTED_VALUE"""),331.642)</f>
        <v>331.642</v>
      </c>
      <c r="O908" s="14">
        <f>IFERROR(__xludf.DUMMYFUNCTION("""COMPUTED_VALUE"""),332.182)</f>
        <v>332.182</v>
      </c>
      <c r="P908" s="14">
        <f>IFERROR(__xludf.DUMMYFUNCTION("""COMPUTED_VALUE"""),325.317)</f>
        <v>325.317</v>
      </c>
      <c r="Q908" s="14">
        <f>IFERROR(__xludf.DUMMYFUNCTION("""COMPUTED_VALUE"""),329.904)</f>
        <v>329.904</v>
      </c>
      <c r="R908" s="48">
        <f>IFERROR(__xludf.DUMMYFUNCTION("""COMPUTED_VALUE"""),7.32)</f>
        <v>7.32</v>
      </c>
      <c r="S908" s="48">
        <f>IFERROR(__xludf.DUMMYFUNCTION("""COMPUTED_VALUE"""),7.31)</f>
        <v>7.31</v>
      </c>
      <c r="T908" s="48">
        <f>IFERROR(__xludf.DUMMYFUNCTION("""COMPUTED_VALUE"""),7.33)</f>
        <v>7.33</v>
      </c>
      <c r="U908" s="48">
        <f>IFERROR(__xludf.DUMMYFUNCTION("""COMPUTED_VALUE"""),7.37)</f>
        <v>7.37</v>
      </c>
      <c r="V908" s="48">
        <f>IFERROR(__xludf.DUMMYFUNCTION("""COMPUTED_VALUE"""),7.4)</f>
        <v>7.4</v>
      </c>
      <c r="W908" s="14">
        <f>IFERROR(__xludf.DUMMYFUNCTION("""COMPUTED_VALUE"""),7.346000000000001)</f>
        <v>7.346</v>
      </c>
      <c r="X908" s="14">
        <f>IFERROR(__xludf.DUMMYFUNCTION("""COMPUTED_VALUE"""),16.7)</f>
        <v>16.7</v>
      </c>
      <c r="Y908" s="14">
        <f>IFERROR(__xludf.DUMMYFUNCTION("""COMPUTED_VALUE"""),19.0)</f>
        <v>19</v>
      </c>
      <c r="Z908" s="14">
        <f>IFERROR(__xludf.DUMMYFUNCTION("""COMPUTED_VALUE"""),19.3)</f>
        <v>19.3</v>
      </c>
      <c r="AA908" s="14">
        <f>IFERROR(__xludf.DUMMYFUNCTION("""COMPUTED_VALUE"""),18.9)</f>
        <v>18.9</v>
      </c>
      <c r="AB908" s="14">
        <f>IFERROR(__xludf.DUMMYFUNCTION("""COMPUTED_VALUE"""),19.5)</f>
        <v>19.5</v>
      </c>
      <c r="AC908" s="14">
        <f>IFERROR(__xludf.DUMMYFUNCTION("""COMPUTED_VALUE"""),18.68)</f>
        <v>18.68</v>
      </c>
      <c r="AD908" s="48">
        <f>IFERROR(__xludf.DUMMYFUNCTION("""COMPUTED_VALUE"""),255.0)</f>
        <v>255</v>
      </c>
      <c r="AE908" s="48">
        <f>IFERROR(__xludf.DUMMYFUNCTION("""COMPUTED_VALUE"""),216.0)</f>
        <v>216</v>
      </c>
      <c r="AF908" s="48">
        <f>IFERROR(__xludf.DUMMYFUNCTION("""COMPUTED_VALUE"""),211.0)</f>
        <v>211</v>
      </c>
      <c r="AG908" s="48">
        <f>IFERROR(__xludf.DUMMYFUNCTION("""COMPUTED_VALUE"""),212.0)</f>
        <v>212</v>
      </c>
      <c r="AH908" s="48">
        <f>IFERROR(__xludf.DUMMYFUNCTION("""COMPUTED_VALUE"""),213.0)</f>
        <v>213</v>
      </c>
      <c r="AI908" s="14">
        <f>IFERROR(__xludf.DUMMYFUNCTION("""COMPUTED_VALUE"""),221.4)</f>
        <v>221.4</v>
      </c>
      <c r="AJ908" s="14">
        <f>IFERROR(__xludf.DUMMYFUNCTION("""COMPUTED_VALUE"""),3.65)</f>
        <v>3.65</v>
      </c>
      <c r="AK908" s="14">
        <f>IFERROR(__xludf.DUMMYFUNCTION("""COMPUTED_VALUE"""),3.52)</f>
        <v>3.52</v>
      </c>
      <c r="AL908" s="14">
        <f>IFERROR(__xludf.DUMMYFUNCTION("""COMPUTED_VALUE"""),3.45)</f>
        <v>3.45</v>
      </c>
      <c r="AM908" s="14">
        <f>IFERROR(__xludf.DUMMYFUNCTION("""COMPUTED_VALUE"""),3.37)</f>
        <v>3.37</v>
      </c>
      <c r="AN908" s="14">
        <f>IFERROR(__xludf.DUMMYFUNCTION("""COMPUTED_VALUE"""),3.27)</f>
        <v>3.27</v>
      </c>
      <c r="AO908" s="14">
        <f>IFERROR(__xludf.DUMMYFUNCTION("""COMPUTED_VALUE"""),3.4520000000000004)</f>
        <v>3.452</v>
      </c>
      <c r="AP908" s="14">
        <f>IFERROR(__xludf.DUMMYFUNCTION("""COMPUTED_VALUE"""),23.0)</f>
        <v>23</v>
      </c>
      <c r="AQ908" s="14">
        <f>IFERROR(__xludf.DUMMYFUNCTION("""COMPUTED_VALUE"""),31.0)</f>
        <v>31</v>
      </c>
      <c r="AR908" s="14">
        <f>IFERROR(__xludf.DUMMYFUNCTION("""COMPUTED_VALUE"""),24.0)</f>
        <v>24</v>
      </c>
      <c r="AS908" s="14">
        <f>IFERROR(__xludf.DUMMYFUNCTION("""COMPUTED_VALUE"""),1.0)</f>
        <v>1</v>
      </c>
      <c r="AT908" s="14">
        <f>IFERROR(__xludf.DUMMYFUNCTION("""COMPUTED_VALUE"""),0.07)</f>
        <v>0.07</v>
      </c>
      <c r="AU908" s="14">
        <f>IFERROR(__xludf.DUMMYFUNCTION("""COMPUTED_VALUE"""),1.029E7)</f>
        <v>10290000</v>
      </c>
      <c r="AV908" s="14">
        <f>IFERROR(__xludf.DUMMYFUNCTION("""COMPUTED_VALUE"""),0.86)</f>
        <v>0.86</v>
      </c>
      <c r="AW908" s="14">
        <f>IFERROR(__xludf.DUMMYFUNCTION("""COMPUTED_VALUE"""),13.7)</f>
        <v>13.7</v>
      </c>
      <c r="AX908" s="14">
        <f>IFERROR(__xludf.DUMMYFUNCTION("""COMPUTED_VALUE"""),4000000.0)</f>
        <v>4000000</v>
      </c>
      <c r="AY908" s="14">
        <f>IFERROR(__xludf.DUMMYFUNCTION("""COMPUTED_VALUE"""),0.6)</f>
        <v>0.6</v>
      </c>
      <c r="AZ908" s="14">
        <f>IFERROR(__xludf.DUMMYFUNCTION("""COMPUTED_VALUE"""),0.123)</f>
        <v>0.123</v>
      </c>
      <c r="BA908" s="14">
        <f t="shared" si="1"/>
        <v>14.423</v>
      </c>
    </row>
    <row r="909" ht="14.25" customHeight="1">
      <c r="A909" s="10" t="str">
        <f>IFERROR(__xludf.DUMMYFUNCTION("""COMPUTED_VALUE"""),"230823FE01")</f>
        <v>230823FE01</v>
      </c>
      <c r="B909" s="12" t="str">
        <f>IFERROR(__xludf.DUMMYFUNCTION("""COMPUTED_VALUE"""),"QCH-Cantarrana")</f>
        <v>QCH-Cantarrana</v>
      </c>
      <c r="C909" s="12"/>
      <c r="D909" s="12"/>
      <c r="E909" s="44">
        <f>IFERROR(__xludf.DUMMYFUNCTION("""COMPUTED_VALUE"""),45161.0)</f>
        <v>45161</v>
      </c>
      <c r="F909" s="12" t="str">
        <f>IFERROR(__xludf.DUMMYFUNCTION("""COMPUTED_VALUE"""),"TIPO I")</f>
        <v>TIPO I</v>
      </c>
      <c r="G909" s="12" t="str">
        <f>IFERROR(__xludf.DUMMYFUNCTION("""COMPUTED_VALUE"""),"Canal natural irregular con lecho rocoso-arenoso, se observa color, material flotante en el cuerpo de agua, espuma y residuos sólidos, se percibe olor. Altitud 2650 msnm.")</f>
        <v>Canal natural irregular con lecho rocoso-arenoso, se observa color, material flotante en el cuerpo de agua, espuma y residuos sólidos, se percibe olor. Altitud 2650 msnm.</v>
      </c>
      <c r="H909" s="45">
        <f>IFERROR(__xludf.DUMMYFUNCTION("""COMPUTED_VALUE"""),0.25)</f>
        <v>0.25</v>
      </c>
      <c r="I909" s="45">
        <f>IFERROR(__xludf.DUMMYFUNCTION("""COMPUTED_VALUE"""),0.3333333333321207)</f>
        <v>0.3333333333</v>
      </c>
      <c r="J909" s="12">
        <f>IFERROR(__xludf.DUMMYFUNCTION("""COMPUTED_VALUE"""),0.7)</f>
        <v>0.7</v>
      </c>
      <c r="K909" s="12">
        <f>IFERROR(__xludf.DUMMYFUNCTION("""COMPUTED_VALUE"""),0.32)</f>
        <v>0.32</v>
      </c>
      <c r="L909" s="14">
        <f>IFERROR(__xludf.DUMMYFUNCTION("""COMPUTED_VALUE"""),28.754)</f>
        <v>28.754</v>
      </c>
      <c r="M909" s="14">
        <f>IFERROR(__xludf.DUMMYFUNCTION("""COMPUTED_VALUE"""),30.422)</f>
        <v>30.422</v>
      </c>
      <c r="N909" s="14">
        <f>IFERROR(__xludf.DUMMYFUNCTION("""COMPUTED_VALUE"""),30.947)</f>
        <v>30.947</v>
      </c>
      <c r="O909" s="14">
        <f>IFERROR(__xludf.DUMMYFUNCTION("""COMPUTED_VALUE"""),33.102)</f>
        <v>33.102</v>
      </c>
      <c r="P909" s="14">
        <f>IFERROR(__xludf.DUMMYFUNCTION("""COMPUTED_VALUE"""),33.264)</f>
        <v>33.264</v>
      </c>
      <c r="Q909" s="14">
        <f>IFERROR(__xludf.DUMMYFUNCTION("""COMPUTED_VALUE"""),31.298)</f>
        <v>31.298</v>
      </c>
      <c r="R909" s="48">
        <f>IFERROR(__xludf.DUMMYFUNCTION("""COMPUTED_VALUE"""),3.17)</f>
        <v>3.17</v>
      </c>
      <c r="S909" s="48">
        <f>IFERROR(__xludf.DUMMYFUNCTION("""COMPUTED_VALUE"""),3.13)</f>
        <v>3.13</v>
      </c>
      <c r="T909" s="48">
        <f>IFERROR(__xludf.DUMMYFUNCTION("""COMPUTED_VALUE"""),3.12)</f>
        <v>3.12</v>
      </c>
      <c r="U909" s="48">
        <f>IFERROR(__xludf.DUMMYFUNCTION("""COMPUTED_VALUE"""),3.15)</f>
        <v>3.15</v>
      </c>
      <c r="V909" s="48">
        <f>IFERROR(__xludf.DUMMYFUNCTION("""COMPUTED_VALUE"""),3.17)</f>
        <v>3.17</v>
      </c>
      <c r="W909" s="14">
        <f>IFERROR(__xludf.DUMMYFUNCTION("""COMPUTED_VALUE"""),3.148)</f>
        <v>3.148</v>
      </c>
      <c r="X909" s="14">
        <f>IFERROR(__xludf.DUMMYFUNCTION("""COMPUTED_VALUE"""),16.5)</f>
        <v>16.5</v>
      </c>
      <c r="Y909" s="14">
        <f>IFERROR(__xludf.DUMMYFUNCTION("""COMPUTED_VALUE"""),15.5)</f>
        <v>15.5</v>
      </c>
      <c r="Z909" s="14">
        <f>IFERROR(__xludf.DUMMYFUNCTION("""COMPUTED_VALUE"""),17.0)</f>
        <v>17</v>
      </c>
      <c r="AA909" s="14">
        <f>IFERROR(__xludf.DUMMYFUNCTION("""COMPUTED_VALUE"""),17.2)</f>
        <v>17.2</v>
      </c>
      <c r="AB909" s="14">
        <f>IFERROR(__xludf.DUMMYFUNCTION("""COMPUTED_VALUE"""),17.0)</f>
        <v>17</v>
      </c>
      <c r="AC909" s="14">
        <f>IFERROR(__xludf.DUMMYFUNCTION("""COMPUTED_VALUE"""),16.64)</f>
        <v>16.64</v>
      </c>
      <c r="AD909" s="48">
        <f>IFERROR(__xludf.DUMMYFUNCTION("""COMPUTED_VALUE"""),779.0)</f>
        <v>779</v>
      </c>
      <c r="AE909" s="48">
        <f>IFERROR(__xludf.DUMMYFUNCTION("""COMPUTED_VALUE"""),790.0)</f>
        <v>790</v>
      </c>
      <c r="AF909" s="48">
        <f>IFERROR(__xludf.DUMMYFUNCTION("""COMPUTED_VALUE"""),815.0)</f>
        <v>815</v>
      </c>
      <c r="AG909" s="48">
        <f>IFERROR(__xludf.DUMMYFUNCTION("""COMPUTED_VALUE"""),854.0)</f>
        <v>854</v>
      </c>
      <c r="AH909" s="48">
        <f>IFERROR(__xludf.DUMMYFUNCTION("""COMPUTED_VALUE"""),859.0)</f>
        <v>859</v>
      </c>
      <c r="AI909" s="14">
        <f>IFERROR(__xludf.DUMMYFUNCTION("""COMPUTED_VALUE"""),819.4)</f>
        <v>819.4</v>
      </c>
      <c r="AJ909" s="14">
        <f>IFERROR(__xludf.DUMMYFUNCTION("""COMPUTED_VALUE"""),4.21)</f>
        <v>4.21</v>
      </c>
      <c r="AK909" s="14">
        <f>IFERROR(__xludf.DUMMYFUNCTION("""COMPUTED_VALUE"""),4.13)</f>
        <v>4.13</v>
      </c>
      <c r="AL909" s="14">
        <f>IFERROR(__xludf.DUMMYFUNCTION("""COMPUTED_VALUE"""),4.14)</f>
        <v>4.14</v>
      </c>
      <c r="AM909" s="14">
        <f>IFERROR(__xludf.DUMMYFUNCTION("""COMPUTED_VALUE"""),4.76)</f>
        <v>4.76</v>
      </c>
      <c r="AN909" s="14">
        <f>IFERROR(__xludf.DUMMYFUNCTION("""COMPUTED_VALUE"""),4.37)</f>
        <v>4.37</v>
      </c>
      <c r="AO909" s="14">
        <f>IFERROR(__xludf.DUMMYFUNCTION("""COMPUTED_VALUE"""),4.322000000000001)</f>
        <v>4.322</v>
      </c>
      <c r="AP909" s="14">
        <f>IFERROR(__xludf.DUMMYFUNCTION("""COMPUTED_VALUE"""),304.0)</f>
        <v>304</v>
      </c>
      <c r="AQ909" s="14">
        <f>IFERROR(__xludf.DUMMYFUNCTION("""COMPUTED_VALUE"""),438.0)</f>
        <v>438</v>
      </c>
      <c r="AR909" s="14">
        <f>IFERROR(__xludf.DUMMYFUNCTION("""COMPUTED_VALUE"""),178.0)</f>
        <v>178</v>
      </c>
      <c r="AS909" s="14">
        <f>IFERROR(__xludf.DUMMYFUNCTION("""COMPUTED_VALUE"""),81.0)</f>
        <v>81</v>
      </c>
      <c r="AT909" s="14">
        <f>IFERROR(__xludf.DUMMYFUNCTION("""COMPUTED_VALUE"""),2.34)</f>
        <v>2.34</v>
      </c>
      <c r="AU909" s="14">
        <f>IFERROR(__xludf.DUMMYFUNCTION("""COMPUTED_VALUE"""),1.421E7)</f>
        <v>14210000</v>
      </c>
      <c r="AV909" s="14">
        <f>IFERROR(__xludf.DUMMYFUNCTION("""COMPUTED_VALUE"""),8.77)</f>
        <v>8.77</v>
      </c>
      <c r="AW909" s="14">
        <f>IFERROR(__xludf.DUMMYFUNCTION("""COMPUTED_VALUE"""),103.0)</f>
        <v>103</v>
      </c>
      <c r="AX909" s="14">
        <f>IFERROR(__xludf.DUMMYFUNCTION("""COMPUTED_VALUE"""),1.291E7)</f>
        <v>12910000</v>
      </c>
      <c r="AY909" s="14">
        <f>IFERROR(__xludf.DUMMYFUNCTION("""COMPUTED_VALUE"""),2.2)</f>
        <v>2.2</v>
      </c>
      <c r="AZ909" s="14">
        <f>IFERROR(__xludf.DUMMYFUNCTION("""COMPUTED_VALUE"""),0.007)</f>
        <v>0.007</v>
      </c>
      <c r="BA909" s="14">
        <f t="shared" si="1"/>
        <v>105.207</v>
      </c>
    </row>
    <row r="910" ht="14.25" customHeight="1">
      <c r="A910" s="10" t="str">
        <f>IFERROR(__xludf.DUMMYFUNCTION("""COMPUTED_VALUE"""),"220823WI03")</f>
        <v>220823WI03</v>
      </c>
      <c r="B910" s="12" t="str">
        <f>IFERROR(__xludf.DUMMYFUNCTION("""COMPUTED_VALUE"""),"CMO-Alhambra")</f>
        <v>CMO-Alhambra</v>
      </c>
      <c r="C910" s="12"/>
      <c r="D910" s="12"/>
      <c r="E910" s="44">
        <f>IFERROR(__xludf.DUMMYFUNCTION("""COMPUTED_VALUE"""),45160.0)</f>
        <v>45160</v>
      </c>
      <c r="F910" s="12" t="str">
        <f>IFERROR(__xludf.DUMMYFUNCTION("""COMPUTED_VALUE"""),"TIPO I")</f>
        <v>TIPO I</v>
      </c>
      <c r="G910" s="12" t="str">
        <f>IFERROR(__xludf.DUMMYFUNCTION("""COMPUTED_VALUE"""),"Canal artificial en concreto, lecho lodoso, durante el procedimiento de toma de muestra se percibe olor y se observa color y material flotante en el cauce del canal. Altitud: 2573 msnm. ")</f>
        <v>Canal artificial en concreto, lecho lodoso, durante el procedimiento de toma de muestra se percibe olor y se observa color y material flotante en el cauce del canal. Altitud: 2573 msnm. </v>
      </c>
      <c r="H910" s="45">
        <f>IFERROR(__xludf.DUMMYFUNCTION("""COMPUTED_VALUE"""),0.5)</f>
        <v>0.5</v>
      </c>
      <c r="I910" s="45">
        <f>IFERROR(__xludf.DUMMYFUNCTION("""COMPUTED_VALUE"""),0.5833333333321207)</f>
        <v>0.5833333333</v>
      </c>
      <c r="J910" s="12">
        <f>IFERROR(__xludf.DUMMYFUNCTION("""COMPUTED_VALUE"""),7.2)</f>
        <v>7.2</v>
      </c>
      <c r="K910" s="12">
        <f>IFERROR(__xludf.DUMMYFUNCTION("""COMPUTED_VALUE"""),0.35)</f>
        <v>0.35</v>
      </c>
      <c r="L910" s="14">
        <f>IFERROR(__xludf.DUMMYFUNCTION("""COMPUTED_VALUE"""),507.151)</f>
        <v>507.151</v>
      </c>
      <c r="M910" s="14">
        <f>IFERROR(__xludf.DUMMYFUNCTION("""COMPUTED_VALUE"""),512.927)</f>
        <v>512.927</v>
      </c>
      <c r="N910" s="14">
        <f>IFERROR(__xludf.DUMMYFUNCTION("""COMPUTED_VALUE"""),519.367)</f>
        <v>519.367</v>
      </c>
      <c r="O910" s="14">
        <f>IFERROR(__xludf.DUMMYFUNCTION("""COMPUTED_VALUE"""),519.168)</f>
        <v>519.168</v>
      </c>
      <c r="P910" s="14">
        <f>IFERROR(__xludf.DUMMYFUNCTION("""COMPUTED_VALUE"""),533.967)</f>
        <v>533.967</v>
      </c>
      <c r="Q910" s="14">
        <f>IFERROR(__xludf.DUMMYFUNCTION("""COMPUTED_VALUE"""),518.516)</f>
        <v>518.516</v>
      </c>
      <c r="R910" s="48">
        <f>IFERROR(__xludf.DUMMYFUNCTION("""COMPUTED_VALUE"""),7.36)</f>
        <v>7.36</v>
      </c>
      <c r="S910" s="48">
        <f>IFERROR(__xludf.DUMMYFUNCTION("""COMPUTED_VALUE"""),7.19)</f>
        <v>7.19</v>
      </c>
      <c r="T910" s="48">
        <f>IFERROR(__xludf.DUMMYFUNCTION("""COMPUTED_VALUE"""),7.27)</f>
        <v>7.27</v>
      </c>
      <c r="U910" s="48">
        <f>IFERROR(__xludf.DUMMYFUNCTION("""COMPUTED_VALUE"""),7.45)</f>
        <v>7.45</v>
      </c>
      <c r="V910" s="48">
        <f>IFERROR(__xludf.DUMMYFUNCTION("""COMPUTED_VALUE"""),7.18)</f>
        <v>7.18</v>
      </c>
      <c r="W910" s="14">
        <f>IFERROR(__xludf.DUMMYFUNCTION("""COMPUTED_VALUE"""),7.290000000000001)</f>
        <v>7.29</v>
      </c>
      <c r="X910" s="14">
        <f>IFERROR(__xludf.DUMMYFUNCTION("""COMPUTED_VALUE"""),20.2)</f>
        <v>20.2</v>
      </c>
      <c r="Y910" s="14">
        <f>IFERROR(__xludf.DUMMYFUNCTION("""COMPUTED_VALUE"""),20.8)</f>
        <v>20.8</v>
      </c>
      <c r="Z910" s="14">
        <f>IFERROR(__xludf.DUMMYFUNCTION("""COMPUTED_VALUE"""),21.3)</f>
        <v>21.3</v>
      </c>
      <c r="AA910" s="14">
        <f>IFERROR(__xludf.DUMMYFUNCTION("""COMPUTED_VALUE"""),21.4)</f>
        <v>21.4</v>
      </c>
      <c r="AB910" s="14">
        <f>IFERROR(__xludf.DUMMYFUNCTION("""COMPUTED_VALUE"""),21.1)</f>
        <v>21.1</v>
      </c>
      <c r="AC910" s="14">
        <f>IFERROR(__xludf.DUMMYFUNCTION("""COMPUTED_VALUE"""),20.959999999999997)</f>
        <v>20.96</v>
      </c>
      <c r="AD910" s="48">
        <f>IFERROR(__xludf.DUMMYFUNCTION("""COMPUTED_VALUE"""),293.0)</f>
        <v>293</v>
      </c>
      <c r="AE910" s="48">
        <f>IFERROR(__xludf.DUMMYFUNCTION("""COMPUTED_VALUE"""),296.0)</f>
        <v>296</v>
      </c>
      <c r="AF910" s="48">
        <f>IFERROR(__xludf.DUMMYFUNCTION("""COMPUTED_VALUE"""),311.0)</f>
        <v>311</v>
      </c>
      <c r="AG910" s="48">
        <f>IFERROR(__xludf.DUMMYFUNCTION("""COMPUTED_VALUE"""),323.0)</f>
        <v>323</v>
      </c>
      <c r="AH910" s="48">
        <f>IFERROR(__xludf.DUMMYFUNCTION("""COMPUTED_VALUE"""),318.0)</f>
        <v>318</v>
      </c>
      <c r="AI910" s="14">
        <f>IFERROR(__xludf.DUMMYFUNCTION("""COMPUTED_VALUE"""),308.2)</f>
        <v>308.2</v>
      </c>
      <c r="AJ910" s="14">
        <f>IFERROR(__xludf.DUMMYFUNCTION("""COMPUTED_VALUE"""),1.93)</f>
        <v>1.93</v>
      </c>
      <c r="AK910" s="14">
        <f>IFERROR(__xludf.DUMMYFUNCTION("""COMPUTED_VALUE"""),1.79)</f>
        <v>1.79</v>
      </c>
      <c r="AL910" s="14">
        <f>IFERROR(__xludf.DUMMYFUNCTION("""COMPUTED_VALUE"""),1.37)</f>
        <v>1.37</v>
      </c>
      <c r="AM910" s="14">
        <f>IFERROR(__xludf.DUMMYFUNCTION("""COMPUTED_VALUE"""),1.42)</f>
        <v>1.42</v>
      </c>
      <c r="AN910" s="14">
        <f>IFERROR(__xludf.DUMMYFUNCTION("""COMPUTED_VALUE"""),1.71)</f>
        <v>1.71</v>
      </c>
      <c r="AO910" s="14">
        <f>IFERROR(__xludf.DUMMYFUNCTION("""COMPUTED_VALUE"""),1.6439999999999997)</f>
        <v>1.644</v>
      </c>
      <c r="AP910" s="14">
        <f>IFERROR(__xludf.DUMMYFUNCTION("""COMPUTED_VALUE"""),94.0)</f>
        <v>94</v>
      </c>
      <c r="AQ910" s="14">
        <f>IFERROR(__xludf.DUMMYFUNCTION("""COMPUTED_VALUE"""),139.0)</f>
        <v>139</v>
      </c>
      <c r="AR910" s="14">
        <f>IFERROR(__xludf.DUMMYFUNCTION("""COMPUTED_VALUE"""),66.0)</f>
        <v>66</v>
      </c>
      <c r="AS910" s="14">
        <f>IFERROR(__xludf.DUMMYFUNCTION("""COMPUTED_VALUE"""),10.0)</f>
        <v>10</v>
      </c>
      <c r="AT910" s="14">
        <f>IFERROR(__xludf.DUMMYFUNCTION("""COMPUTED_VALUE"""),3.31)</f>
        <v>3.31</v>
      </c>
      <c r="AU910" s="14">
        <f>IFERROR(__xludf.DUMMYFUNCTION("""COMPUTED_VALUE"""),8450000.0)</f>
        <v>8450000</v>
      </c>
      <c r="AV910" s="14">
        <f>IFERROR(__xludf.DUMMYFUNCTION("""COMPUTED_VALUE"""),1.23)</f>
        <v>1.23</v>
      </c>
      <c r="AW910" s="14">
        <f>IFERROR(__xludf.DUMMYFUNCTION("""COMPUTED_VALUE"""),14.3)</f>
        <v>14.3</v>
      </c>
      <c r="AX910" s="14">
        <f>IFERROR(__xludf.DUMMYFUNCTION("""COMPUTED_VALUE"""),482000.0)</f>
        <v>482000</v>
      </c>
      <c r="AY910" s="14">
        <f>IFERROR(__xludf.DUMMYFUNCTION("""COMPUTED_VALUE"""),0.5)</f>
        <v>0.5</v>
      </c>
      <c r="AZ910" s="14">
        <f>IFERROR(__xludf.DUMMYFUNCTION("""COMPUTED_VALUE"""),0.007)</f>
        <v>0.007</v>
      </c>
      <c r="BA910" s="14">
        <f t="shared" si="1"/>
        <v>14.807</v>
      </c>
    </row>
    <row r="911" ht="14.25" customHeight="1">
      <c r="A911" s="10" t="str">
        <f>IFERROR(__xludf.DUMMYFUNCTION("""COMPUTED_VALUE"""),"230823FE02")</f>
        <v>230823FE02</v>
      </c>
      <c r="B911" s="12" t="str">
        <f>IFERROR(__xludf.DUMMYFUNCTION("""COMPUTED_VALUE"""),"QCH-La Orquídea")</f>
        <v>QCH-La Orquídea</v>
      </c>
      <c r="C911" s="12"/>
      <c r="D911" s="12"/>
      <c r="E911" s="44">
        <f>IFERROR(__xludf.DUMMYFUNCTION("""COMPUTED_VALUE"""),45161.0)</f>
        <v>45161</v>
      </c>
      <c r="F911" s="12" t="str">
        <f>IFERROR(__xludf.DUMMYFUNCTION("""COMPUTED_VALUE"""),"TIPO I")</f>
        <v>TIPO I</v>
      </c>
      <c r="G911" s="12" t="str">
        <f>IFERROR(__xludf.DUMMYFUNCTION("""COMPUTED_VALUE"""),"Canal natural irregular, el aforo del caudal fue realizado volumétricamente en un alivio pluvial con diámetro de 1 metro ubicado aproximadamente a 10m de la vía carrera 5 Este, se observa color, no se percibe olor.")</f>
        <v>Canal natural irregular, el aforo del caudal fue realizado volumétricamente en un alivio pluvial con diámetro de 1 metro ubicado aproximadamente a 10m de la vía carrera 5 Este, se observa color, no se percibe olor.</v>
      </c>
      <c r="H911" s="45">
        <f>IFERROR(__xludf.DUMMYFUNCTION("""COMPUTED_VALUE"""),0.4166666666678793)</f>
        <v>0.4166666667</v>
      </c>
      <c r="I911" s="45">
        <f>IFERROR(__xludf.DUMMYFUNCTION("""COMPUTED_VALUE"""),0.5)</f>
        <v>0.5</v>
      </c>
      <c r="J911" s="12">
        <f>IFERROR(__xludf.DUMMYFUNCTION("""COMPUTED_VALUE"""),0.35)</f>
        <v>0.35</v>
      </c>
      <c r="K911" s="12"/>
      <c r="L911" s="14">
        <f>IFERROR(__xludf.DUMMYFUNCTION("""COMPUTED_VALUE"""),3.595)</f>
        <v>3.595</v>
      </c>
      <c r="M911" s="14">
        <f>IFERROR(__xludf.DUMMYFUNCTION("""COMPUTED_VALUE"""),3.62)</f>
        <v>3.62</v>
      </c>
      <c r="N911" s="14">
        <f>IFERROR(__xludf.DUMMYFUNCTION("""COMPUTED_VALUE"""),4.035)</f>
        <v>4.035</v>
      </c>
      <c r="O911" s="14">
        <f>IFERROR(__xludf.DUMMYFUNCTION("""COMPUTED_VALUE"""),4.265)</f>
        <v>4.265</v>
      </c>
      <c r="P911" s="14">
        <f>IFERROR(__xludf.DUMMYFUNCTION("""COMPUTED_VALUE"""),4.423)</f>
        <v>4.423</v>
      </c>
      <c r="Q911" s="14">
        <f>IFERROR(__xludf.DUMMYFUNCTION("""COMPUTED_VALUE"""),3.988)</f>
        <v>3.988</v>
      </c>
      <c r="R911" s="48">
        <f>IFERROR(__xludf.DUMMYFUNCTION("""COMPUTED_VALUE"""),7.97)</f>
        <v>7.97</v>
      </c>
      <c r="S911" s="48">
        <f>IFERROR(__xludf.DUMMYFUNCTION("""COMPUTED_VALUE"""),7.96)</f>
        <v>7.96</v>
      </c>
      <c r="T911" s="48">
        <f>IFERROR(__xludf.DUMMYFUNCTION("""COMPUTED_VALUE"""),7.81)</f>
        <v>7.81</v>
      </c>
      <c r="U911" s="48">
        <f>IFERROR(__xludf.DUMMYFUNCTION("""COMPUTED_VALUE"""),7.82)</f>
        <v>7.82</v>
      </c>
      <c r="V911" s="48">
        <f>IFERROR(__xludf.DUMMYFUNCTION("""COMPUTED_VALUE"""),7.84)</f>
        <v>7.84</v>
      </c>
      <c r="W911" s="14">
        <f>IFERROR(__xludf.DUMMYFUNCTION("""COMPUTED_VALUE"""),7.88)</f>
        <v>7.88</v>
      </c>
      <c r="X911" s="14">
        <f>IFERROR(__xludf.DUMMYFUNCTION("""COMPUTED_VALUE"""),18.5)</f>
        <v>18.5</v>
      </c>
      <c r="Y911" s="14">
        <f>IFERROR(__xludf.DUMMYFUNCTION("""COMPUTED_VALUE"""),17.6)</f>
        <v>17.6</v>
      </c>
      <c r="Z911" s="14">
        <f>IFERROR(__xludf.DUMMYFUNCTION("""COMPUTED_VALUE"""),18.4)</f>
        <v>18.4</v>
      </c>
      <c r="AA911" s="14">
        <f>IFERROR(__xludf.DUMMYFUNCTION("""COMPUTED_VALUE"""),17.6)</f>
        <v>17.6</v>
      </c>
      <c r="AB911" s="14">
        <f>IFERROR(__xludf.DUMMYFUNCTION("""COMPUTED_VALUE"""),18.3)</f>
        <v>18.3</v>
      </c>
      <c r="AC911" s="14">
        <f>IFERROR(__xludf.DUMMYFUNCTION("""COMPUTED_VALUE"""),18.08)</f>
        <v>18.08</v>
      </c>
      <c r="AD911" s="48">
        <f>IFERROR(__xludf.DUMMYFUNCTION("""COMPUTED_VALUE"""),336.0)</f>
        <v>336</v>
      </c>
      <c r="AE911" s="48">
        <f>IFERROR(__xludf.DUMMYFUNCTION("""COMPUTED_VALUE"""),412.0)</f>
        <v>412</v>
      </c>
      <c r="AF911" s="48">
        <f>IFERROR(__xludf.DUMMYFUNCTION("""COMPUTED_VALUE"""),397.0)</f>
        <v>397</v>
      </c>
      <c r="AG911" s="48">
        <f>IFERROR(__xludf.DUMMYFUNCTION("""COMPUTED_VALUE"""),438.0)</f>
        <v>438</v>
      </c>
      <c r="AH911" s="48">
        <f>IFERROR(__xludf.DUMMYFUNCTION("""COMPUTED_VALUE"""),440.0)</f>
        <v>440</v>
      </c>
      <c r="AI911" s="14">
        <f>IFERROR(__xludf.DUMMYFUNCTION("""COMPUTED_VALUE"""),404.6)</f>
        <v>404.6</v>
      </c>
      <c r="AJ911" s="14">
        <f>IFERROR(__xludf.DUMMYFUNCTION("""COMPUTED_VALUE"""),5.41)</f>
        <v>5.41</v>
      </c>
      <c r="AK911" s="14">
        <f>IFERROR(__xludf.DUMMYFUNCTION("""COMPUTED_VALUE"""),5.46)</f>
        <v>5.46</v>
      </c>
      <c r="AL911" s="14">
        <f>IFERROR(__xludf.DUMMYFUNCTION("""COMPUTED_VALUE"""),5.64)</f>
        <v>5.64</v>
      </c>
      <c r="AM911" s="14">
        <f>IFERROR(__xludf.DUMMYFUNCTION("""COMPUTED_VALUE"""),5.61)</f>
        <v>5.61</v>
      </c>
      <c r="AN911" s="14">
        <f>IFERROR(__xludf.DUMMYFUNCTION("""COMPUTED_VALUE"""),5.46)</f>
        <v>5.46</v>
      </c>
      <c r="AO911" s="14">
        <f>IFERROR(__xludf.DUMMYFUNCTION("""COMPUTED_VALUE"""),5.516)</f>
        <v>5.516</v>
      </c>
      <c r="AP911" s="14">
        <f>IFERROR(__xludf.DUMMYFUNCTION("""COMPUTED_VALUE"""),68.0)</f>
        <v>68</v>
      </c>
      <c r="AQ911" s="14">
        <f>IFERROR(__xludf.DUMMYFUNCTION("""COMPUTED_VALUE"""),105.0)</f>
        <v>105</v>
      </c>
      <c r="AR911" s="14">
        <f>IFERROR(__xludf.DUMMYFUNCTION("""COMPUTED_VALUE"""),99.0)</f>
        <v>99</v>
      </c>
      <c r="AS911" s="14">
        <f>IFERROR(__xludf.DUMMYFUNCTION("""COMPUTED_VALUE"""),1.0)</f>
        <v>1</v>
      </c>
      <c r="AT911" s="14">
        <f>IFERROR(__xludf.DUMMYFUNCTION("""COMPUTED_VALUE"""),1.05)</f>
        <v>1.05</v>
      </c>
      <c r="AU911" s="14">
        <f>IFERROR(__xludf.DUMMYFUNCTION("""COMPUTED_VALUE"""),12590.0)</f>
        <v>12590</v>
      </c>
      <c r="AV911" s="14">
        <f>IFERROR(__xludf.DUMMYFUNCTION("""COMPUTED_VALUE"""),0.05)</f>
        <v>0.05</v>
      </c>
      <c r="AW911" s="14">
        <f>IFERROR(__xludf.DUMMYFUNCTION("""COMPUTED_VALUE"""),3.6)</f>
        <v>3.6</v>
      </c>
      <c r="AX911" s="14">
        <f>IFERROR(__xludf.DUMMYFUNCTION("""COMPUTED_VALUE"""),1063.0)</f>
        <v>1063</v>
      </c>
      <c r="AY911" s="14">
        <f>IFERROR(__xludf.DUMMYFUNCTION("""COMPUTED_VALUE"""),1.9)</f>
        <v>1.9</v>
      </c>
      <c r="AZ911" s="14">
        <f>IFERROR(__xludf.DUMMYFUNCTION("""COMPUTED_VALUE"""),0.184)</f>
        <v>0.184</v>
      </c>
      <c r="BA911" s="14">
        <f t="shared" si="1"/>
        <v>5.684</v>
      </c>
    </row>
    <row r="912" ht="14.25" customHeight="1">
      <c r="A912" s="10" t="str">
        <f>IFERROR(__xludf.DUMMYFUNCTION("""COMPUTED_VALUE"""),"250823WI02")</f>
        <v>250823WI02</v>
      </c>
      <c r="B912" s="12" t="str">
        <f>IFERROR(__xludf.DUMMYFUNCTION("""COMPUTED_VALUE"""),"QTR-Mochuelo Bajo")</f>
        <v>QTR-Mochuelo Bajo</v>
      </c>
      <c r="C912" s="12"/>
      <c r="D912" s="12"/>
      <c r="E912" s="44">
        <f>IFERROR(__xludf.DUMMYFUNCTION("""COMPUTED_VALUE"""),45163.0)</f>
        <v>45163</v>
      </c>
      <c r="F912" s="12" t="str">
        <f>IFERROR(__xludf.DUMMYFUNCTION("""COMPUTED_VALUE"""),"TIPO I")</f>
        <v>TIPO I</v>
      </c>
      <c r="G912" s="12" t="str">
        <f>IFERROR(__xludf.DUMMYFUNCTION("""COMPUTED_VALUE"""),"Canal natural con lecho rocoso y estructura irregular, se percibe olor, se observa color, residuos sólidos, escombros alrededor del punto de monitoreo y material flotante en el cauce del canal. Altitud 2568 msnm.")</f>
        <v>Canal natural con lecho rocoso y estructura irregular, se percibe olor, se observa color, residuos sólidos, escombros alrededor del punto de monitoreo y material flotante en el cauce del canal. Altitud 2568 msnm.</v>
      </c>
      <c r="H912" s="45">
        <f>IFERROR(__xludf.DUMMYFUNCTION("""COMPUTED_VALUE"""),0.4166666666678793)</f>
        <v>0.4166666667</v>
      </c>
      <c r="I912" s="45">
        <f>IFERROR(__xludf.DUMMYFUNCTION("""COMPUTED_VALUE"""),0.5)</f>
        <v>0.5</v>
      </c>
      <c r="J912" s="12">
        <f>IFERROR(__xludf.DUMMYFUNCTION("""COMPUTED_VALUE"""),1.2)</f>
        <v>1.2</v>
      </c>
      <c r="K912" s="12">
        <f>IFERROR(__xludf.DUMMYFUNCTION("""COMPUTED_VALUE"""),0.16)</f>
        <v>0.16</v>
      </c>
      <c r="L912" s="14">
        <f>IFERROR(__xludf.DUMMYFUNCTION("""COMPUTED_VALUE"""),14.919)</f>
        <v>14.919</v>
      </c>
      <c r="M912" s="14">
        <f>IFERROR(__xludf.DUMMYFUNCTION("""COMPUTED_VALUE"""),15.181)</f>
        <v>15.181</v>
      </c>
      <c r="N912" s="14">
        <f>IFERROR(__xludf.DUMMYFUNCTION("""COMPUTED_VALUE"""),16.127)</f>
        <v>16.127</v>
      </c>
      <c r="O912" s="14">
        <f>IFERROR(__xludf.DUMMYFUNCTION("""COMPUTED_VALUE"""),17.072)</f>
        <v>17.072</v>
      </c>
      <c r="P912" s="14">
        <f>IFERROR(__xludf.DUMMYFUNCTION("""COMPUTED_VALUE"""),18.607)</f>
        <v>18.607</v>
      </c>
      <c r="Q912" s="14">
        <f>IFERROR(__xludf.DUMMYFUNCTION("""COMPUTED_VALUE"""),16.381)</f>
        <v>16.381</v>
      </c>
      <c r="R912" s="48">
        <f>IFERROR(__xludf.DUMMYFUNCTION("""COMPUTED_VALUE"""),7.75)</f>
        <v>7.75</v>
      </c>
      <c r="S912" s="48">
        <f>IFERROR(__xludf.DUMMYFUNCTION("""COMPUTED_VALUE"""),7.73)</f>
        <v>7.73</v>
      </c>
      <c r="T912" s="48">
        <f>IFERROR(__xludf.DUMMYFUNCTION("""COMPUTED_VALUE"""),7.47)</f>
        <v>7.47</v>
      </c>
      <c r="U912" s="48">
        <f>IFERROR(__xludf.DUMMYFUNCTION("""COMPUTED_VALUE"""),7.7)</f>
        <v>7.7</v>
      </c>
      <c r="V912" s="48">
        <f>IFERROR(__xludf.DUMMYFUNCTION("""COMPUTED_VALUE"""),7.65)</f>
        <v>7.65</v>
      </c>
      <c r="W912" s="14">
        <f>IFERROR(__xludf.DUMMYFUNCTION("""COMPUTED_VALUE"""),7.659999999999999)</f>
        <v>7.66</v>
      </c>
      <c r="X912" s="14">
        <f>IFERROR(__xludf.DUMMYFUNCTION("""COMPUTED_VALUE"""),16.7)</f>
        <v>16.7</v>
      </c>
      <c r="Y912" s="14">
        <f>IFERROR(__xludf.DUMMYFUNCTION("""COMPUTED_VALUE"""),17.0)</f>
        <v>17</v>
      </c>
      <c r="Z912" s="14">
        <f>IFERROR(__xludf.DUMMYFUNCTION("""COMPUTED_VALUE"""),16.9)</f>
        <v>16.9</v>
      </c>
      <c r="AA912" s="14">
        <f>IFERROR(__xludf.DUMMYFUNCTION("""COMPUTED_VALUE"""),17.3)</f>
        <v>17.3</v>
      </c>
      <c r="AB912" s="14">
        <f>IFERROR(__xludf.DUMMYFUNCTION("""COMPUTED_VALUE"""),16.6)</f>
        <v>16.6</v>
      </c>
      <c r="AC912" s="14">
        <f>IFERROR(__xludf.DUMMYFUNCTION("""COMPUTED_VALUE"""),16.9)</f>
        <v>16.9</v>
      </c>
      <c r="AD912" s="48">
        <f>IFERROR(__xludf.DUMMYFUNCTION("""COMPUTED_VALUE"""),486.0)</f>
        <v>486</v>
      </c>
      <c r="AE912" s="48">
        <f>IFERROR(__xludf.DUMMYFUNCTION("""COMPUTED_VALUE"""),479.0)</f>
        <v>479</v>
      </c>
      <c r="AF912" s="48">
        <f>IFERROR(__xludf.DUMMYFUNCTION("""COMPUTED_VALUE"""),469.0)</f>
        <v>469</v>
      </c>
      <c r="AG912" s="48">
        <f>IFERROR(__xludf.DUMMYFUNCTION("""COMPUTED_VALUE"""),474.0)</f>
        <v>474</v>
      </c>
      <c r="AH912" s="48">
        <f>IFERROR(__xludf.DUMMYFUNCTION("""COMPUTED_VALUE"""),466.0)</f>
        <v>466</v>
      </c>
      <c r="AI912" s="14">
        <f>IFERROR(__xludf.DUMMYFUNCTION("""COMPUTED_VALUE"""),474.8)</f>
        <v>474.8</v>
      </c>
      <c r="AJ912" s="14">
        <f>IFERROR(__xludf.DUMMYFUNCTION("""COMPUTED_VALUE"""),3.93)</f>
        <v>3.93</v>
      </c>
      <c r="AK912" s="14">
        <f>IFERROR(__xludf.DUMMYFUNCTION("""COMPUTED_VALUE"""),4.24)</f>
        <v>4.24</v>
      </c>
      <c r="AL912" s="14">
        <f>IFERROR(__xludf.DUMMYFUNCTION("""COMPUTED_VALUE"""),4.0)</f>
        <v>4</v>
      </c>
      <c r="AM912" s="14">
        <f>IFERROR(__xludf.DUMMYFUNCTION("""COMPUTED_VALUE"""),4.04)</f>
        <v>4.04</v>
      </c>
      <c r="AN912" s="14">
        <f>IFERROR(__xludf.DUMMYFUNCTION("""COMPUTED_VALUE"""),4.13)</f>
        <v>4.13</v>
      </c>
      <c r="AO912" s="14">
        <f>IFERROR(__xludf.DUMMYFUNCTION("""COMPUTED_VALUE"""),4.068)</f>
        <v>4.068</v>
      </c>
      <c r="AP912" s="14">
        <f>IFERROR(__xludf.DUMMYFUNCTION("""COMPUTED_VALUE"""),35.0)</f>
        <v>35</v>
      </c>
      <c r="AQ912" s="14">
        <f>IFERROR(__xludf.DUMMYFUNCTION("""COMPUTED_VALUE"""),49.0)</f>
        <v>49</v>
      </c>
      <c r="AR912" s="14">
        <f>IFERROR(__xludf.DUMMYFUNCTION("""COMPUTED_VALUE"""),42.0)</f>
        <v>42</v>
      </c>
      <c r="AS912" s="14">
        <f>IFERROR(__xludf.DUMMYFUNCTION("""COMPUTED_VALUE"""),10.0)</f>
        <v>10</v>
      </c>
      <c r="AT912" s="14">
        <f>IFERROR(__xludf.DUMMYFUNCTION("""COMPUTED_VALUE"""),0.24)</f>
        <v>0.24</v>
      </c>
      <c r="AU912" s="14">
        <f>IFERROR(__xludf.DUMMYFUNCTION("""COMPUTED_VALUE"""),214300.0)</f>
        <v>214300</v>
      </c>
      <c r="AV912" s="14">
        <f>IFERROR(__xludf.DUMMYFUNCTION("""COMPUTED_VALUE"""),1.58)</f>
        <v>1.58</v>
      </c>
      <c r="AW912" s="14">
        <f>IFERROR(__xludf.DUMMYFUNCTION("""COMPUTED_VALUE"""),23.0)</f>
        <v>23</v>
      </c>
      <c r="AX912" s="14">
        <f>IFERROR(__xludf.DUMMYFUNCTION("""COMPUTED_VALUE"""),151700.0)</f>
        <v>151700</v>
      </c>
      <c r="AY912" s="14">
        <f>IFERROR(__xludf.DUMMYFUNCTION("""COMPUTED_VALUE"""),0.9)</f>
        <v>0.9</v>
      </c>
      <c r="AZ912" s="14">
        <f>IFERROR(__xludf.DUMMYFUNCTION("""COMPUTED_VALUE"""),0.007)</f>
        <v>0.007</v>
      </c>
      <c r="BA912" s="14">
        <f t="shared" si="1"/>
        <v>23.907</v>
      </c>
    </row>
    <row r="913" ht="14.25" customHeight="1">
      <c r="A913" s="10" t="str">
        <f>IFERROR(__xludf.DUMMYFUNCTION("""COMPUTED_VALUE"""),"250823WI01")</f>
        <v>250823WI01</v>
      </c>
      <c r="B913" s="12" t="str">
        <f>IFERROR(__xludf.DUMMYFUNCTION("""COMPUTED_VALUE"""),"QTR-Acapulco")</f>
        <v>QTR-Acapulco</v>
      </c>
      <c r="C913" s="12"/>
      <c r="D913" s="12"/>
      <c r="E913" s="44">
        <f>IFERROR(__xludf.DUMMYFUNCTION("""COMPUTED_VALUE"""),45163.0)</f>
        <v>45163</v>
      </c>
      <c r="F913" s="12" t="str">
        <f>IFERROR(__xludf.DUMMYFUNCTION("""COMPUTED_VALUE"""),"TIPO I")</f>
        <v>TIPO I</v>
      </c>
      <c r="G913" s="12" t="str">
        <f>IFERROR(__xludf.DUMMYFUNCTION("""COMPUTED_VALUE"""),"Canal natural irregular, lecho rocoso, arenoso, se observan rocas que obstruyen el flujo, durante el monitoreo se percibe olor, se observa color y residuos sólidos alrededor del cauce. Altitud: 2594 msnm. ")</f>
        <v>Canal natural irregular, lecho rocoso, arenoso, se observan rocas que obstruyen el flujo, durante el monitoreo se percibe olor, se observa color y residuos sólidos alrededor del cauce. Altitud: 2594 msnm. </v>
      </c>
      <c r="H913" s="45">
        <f>IFERROR(__xludf.DUMMYFUNCTION("""COMPUTED_VALUE"""),0.25)</f>
        <v>0.25</v>
      </c>
      <c r="I913" s="45">
        <f>IFERROR(__xludf.DUMMYFUNCTION("""COMPUTED_VALUE"""),0.3333333333321207)</f>
        <v>0.3333333333</v>
      </c>
      <c r="J913" s="12">
        <f>IFERROR(__xludf.DUMMYFUNCTION("""COMPUTED_VALUE"""),0.75)</f>
        <v>0.75</v>
      </c>
      <c r="K913" s="12">
        <f>IFERROR(__xludf.DUMMYFUNCTION("""COMPUTED_VALUE"""),0.27)</f>
        <v>0.27</v>
      </c>
      <c r="L913" s="14">
        <f>IFERROR(__xludf.DUMMYFUNCTION("""COMPUTED_VALUE"""),68.884)</f>
        <v>68.884</v>
      </c>
      <c r="M913" s="14">
        <f>IFERROR(__xludf.DUMMYFUNCTION("""COMPUTED_VALUE"""),70.326)</f>
        <v>70.326</v>
      </c>
      <c r="N913" s="14">
        <f>IFERROR(__xludf.DUMMYFUNCTION("""COMPUTED_VALUE"""),73.315)</f>
        <v>73.315</v>
      </c>
      <c r="O913" s="14">
        <f>IFERROR(__xludf.DUMMYFUNCTION("""COMPUTED_VALUE"""),78.184)</f>
        <v>78.184</v>
      </c>
      <c r="P913" s="14">
        <f>IFERROR(__xludf.DUMMYFUNCTION("""COMPUTED_VALUE"""),82.251)</f>
        <v>82.251</v>
      </c>
      <c r="Q913" s="14">
        <f>IFERROR(__xludf.DUMMYFUNCTION("""COMPUTED_VALUE"""),74.592)</f>
        <v>74.592</v>
      </c>
      <c r="R913" s="48">
        <f>IFERROR(__xludf.DUMMYFUNCTION("""COMPUTED_VALUE"""),8.24)</f>
        <v>8.24</v>
      </c>
      <c r="S913" s="48">
        <f>IFERROR(__xludf.DUMMYFUNCTION("""COMPUTED_VALUE"""),8.3)</f>
        <v>8.3</v>
      </c>
      <c r="T913" s="48">
        <f>IFERROR(__xludf.DUMMYFUNCTION("""COMPUTED_VALUE"""),8.37)</f>
        <v>8.37</v>
      </c>
      <c r="U913" s="48">
        <f>IFERROR(__xludf.DUMMYFUNCTION("""COMPUTED_VALUE"""),8.3)</f>
        <v>8.3</v>
      </c>
      <c r="V913" s="48">
        <f>IFERROR(__xludf.DUMMYFUNCTION("""COMPUTED_VALUE"""),8.28)</f>
        <v>8.28</v>
      </c>
      <c r="W913" s="14">
        <f>IFERROR(__xludf.DUMMYFUNCTION("""COMPUTED_VALUE"""),8.297999999999998)</f>
        <v>8.298</v>
      </c>
      <c r="X913" s="14">
        <f>IFERROR(__xludf.DUMMYFUNCTION("""COMPUTED_VALUE"""),16.0)</f>
        <v>16</v>
      </c>
      <c r="Y913" s="14">
        <f>IFERROR(__xludf.DUMMYFUNCTION("""COMPUTED_VALUE"""),16.2)</f>
        <v>16.2</v>
      </c>
      <c r="Z913" s="14">
        <f>IFERROR(__xludf.DUMMYFUNCTION("""COMPUTED_VALUE"""),16.3)</f>
        <v>16.3</v>
      </c>
      <c r="AA913" s="14">
        <f>IFERROR(__xludf.DUMMYFUNCTION("""COMPUTED_VALUE"""),16.3)</f>
        <v>16.3</v>
      </c>
      <c r="AB913" s="14">
        <f>IFERROR(__xludf.DUMMYFUNCTION("""COMPUTED_VALUE"""),16.2)</f>
        <v>16.2</v>
      </c>
      <c r="AC913" s="14">
        <f>IFERROR(__xludf.DUMMYFUNCTION("""COMPUTED_VALUE"""),16.2)</f>
        <v>16.2</v>
      </c>
      <c r="AD913" s="48">
        <f>IFERROR(__xludf.DUMMYFUNCTION("""COMPUTED_VALUE"""),370.0)</f>
        <v>370</v>
      </c>
      <c r="AE913" s="48">
        <f>IFERROR(__xludf.DUMMYFUNCTION("""COMPUTED_VALUE"""),373.0)</f>
        <v>373</v>
      </c>
      <c r="AF913" s="48">
        <f>IFERROR(__xludf.DUMMYFUNCTION("""COMPUTED_VALUE"""),371.0)</f>
        <v>371</v>
      </c>
      <c r="AG913" s="48">
        <f>IFERROR(__xludf.DUMMYFUNCTION("""COMPUTED_VALUE"""),370.0)</f>
        <v>370</v>
      </c>
      <c r="AH913" s="48">
        <f>IFERROR(__xludf.DUMMYFUNCTION("""COMPUTED_VALUE"""),372.0)</f>
        <v>372</v>
      </c>
      <c r="AI913" s="14">
        <f>IFERROR(__xludf.DUMMYFUNCTION("""COMPUTED_VALUE"""),371.2)</f>
        <v>371.2</v>
      </c>
      <c r="AJ913" s="14">
        <f>IFERROR(__xludf.DUMMYFUNCTION("""COMPUTED_VALUE"""),5.67)</f>
        <v>5.67</v>
      </c>
      <c r="AK913" s="14">
        <f>IFERROR(__xludf.DUMMYFUNCTION("""COMPUTED_VALUE"""),5.38)</f>
        <v>5.38</v>
      </c>
      <c r="AL913" s="14">
        <f>IFERROR(__xludf.DUMMYFUNCTION("""COMPUTED_VALUE"""),5.15)</f>
        <v>5.15</v>
      </c>
      <c r="AM913" s="14">
        <f>IFERROR(__xludf.DUMMYFUNCTION("""COMPUTED_VALUE"""),5.4)</f>
        <v>5.4</v>
      </c>
      <c r="AN913" s="14">
        <f>IFERROR(__xludf.DUMMYFUNCTION("""COMPUTED_VALUE"""),5.51)</f>
        <v>5.51</v>
      </c>
      <c r="AO913" s="14">
        <f>IFERROR(__xludf.DUMMYFUNCTION("""COMPUTED_VALUE"""),5.422)</f>
        <v>5.422</v>
      </c>
      <c r="AP913" s="14">
        <f>IFERROR(__xludf.DUMMYFUNCTION("""COMPUTED_VALUE"""),34.0)</f>
        <v>34</v>
      </c>
      <c r="AQ913" s="14">
        <f>IFERROR(__xludf.DUMMYFUNCTION("""COMPUTED_VALUE"""),50.0)</f>
        <v>50</v>
      </c>
      <c r="AR913" s="14">
        <f>IFERROR(__xludf.DUMMYFUNCTION("""COMPUTED_VALUE"""),82.0)</f>
        <v>82</v>
      </c>
      <c r="AS913" s="14">
        <f>IFERROR(__xludf.DUMMYFUNCTION("""COMPUTED_VALUE"""),1.3)</f>
        <v>1.3</v>
      </c>
      <c r="AT913" s="14">
        <f>IFERROR(__xludf.DUMMYFUNCTION("""COMPUTED_VALUE"""),0.29)</f>
        <v>0.29</v>
      </c>
      <c r="AU913" s="14">
        <f>IFERROR(__xludf.DUMMYFUNCTION("""COMPUTED_VALUE"""),1334000.0)</f>
        <v>1334000</v>
      </c>
      <c r="AV913" s="14">
        <f>IFERROR(__xludf.DUMMYFUNCTION("""COMPUTED_VALUE"""),1.3)</f>
        <v>1.3</v>
      </c>
      <c r="AW913" s="14">
        <f>IFERROR(__xludf.DUMMYFUNCTION("""COMPUTED_VALUE"""),15.1)</f>
        <v>15.1</v>
      </c>
      <c r="AX913" s="14">
        <f>IFERROR(__xludf.DUMMYFUNCTION("""COMPUTED_VALUE"""),842000.0)</f>
        <v>842000</v>
      </c>
      <c r="AY913" s="14">
        <f>IFERROR(__xludf.DUMMYFUNCTION("""COMPUTED_VALUE"""),0.5)</f>
        <v>0.5</v>
      </c>
      <c r="AZ913" s="14">
        <f>IFERROR(__xludf.DUMMYFUNCTION("""COMPUTED_VALUE"""),0.007)</f>
        <v>0.007</v>
      </c>
      <c r="BA913" s="14">
        <f t="shared" si="1"/>
        <v>15.607</v>
      </c>
    </row>
    <row r="914" ht="14.25" customHeight="1">
      <c r="A914" s="10" t="str">
        <f>IFERROR(__xludf.DUMMYFUNCTION("""COMPUTED_VALUE"""),"250823WI03")</f>
        <v>250823WI03</v>
      </c>
      <c r="B914" s="12" t="str">
        <f>IFERROR(__xludf.DUMMYFUNCTION("""COMPUTED_VALUE"""),"QTR-Quiba")</f>
        <v>QTR-Quiba</v>
      </c>
      <c r="C914" s="12"/>
      <c r="D914" s="12"/>
      <c r="E914" s="44">
        <f>IFERROR(__xludf.DUMMYFUNCTION("""COMPUTED_VALUE"""),45163.0)</f>
        <v>45163</v>
      </c>
      <c r="F914" s="12" t="str">
        <f>IFERROR(__xludf.DUMMYFUNCTION("""COMPUTED_VALUE"""),"TIPO I")</f>
        <v>TIPO I</v>
      </c>
      <c r="G914" s="12" t="str">
        <f>IFERROR(__xludf.DUMMYFUNCTION("""COMPUTED_VALUE"""),"Canal natural de estructura irregular con lecho areno-arcilloso, se percibe olor, se observa color, residuos sólidos, escombros y material flotante en el cauce del canal. Altitud: 2613 msnm. ")</f>
        <v>Canal natural de estructura irregular con lecho areno-arcilloso, se percibe olor, se observa color, residuos sólidos, escombros y material flotante en el cauce del canal. Altitud: 2613 msnm. </v>
      </c>
      <c r="H914" s="45">
        <f>IFERROR(__xludf.DUMMYFUNCTION("""COMPUTED_VALUE"""),0.5833333333321207)</f>
        <v>0.5833333333</v>
      </c>
      <c r="I914" s="45">
        <f>IFERROR(__xludf.DUMMYFUNCTION("""COMPUTED_VALUE"""),0.6666666666678793)</f>
        <v>0.6666666667</v>
      </c>
      <c r="J914" s="12">
        <f>IFERROR(__xludf.DUMMYFUNCTION("""COMPUTED_VALUE"""),0.8)</f>
        <v>0.8</v>
      </c>
      <c r="K914" s="12">
        <f>IFERROR(__xludf.DUMMYFUNCTION("""COMPUTED_VALUE"""),0.14)</f>
        <v>0.14</v>
      </c>
      <c r="L914" s="14">
        <f>IFERROR(__xludf.DUMMYFUNCTION("""COMPUTED_VALUE"""),42.596)</f>
        <v>42.596</v>
      </c>
      <c r="M914" s="14">
        <f>IFERROR(__xludf.DUMMYFUNCTION("""COMPUTED_VALUE"""),43.54)</f>
        <v>43.54</v>
      </c>
      <c r="N914" s="14">
        <f>IFERROR(__xludf.DUMMYFUNCTION("""COMPUTED_VALUE"""),43.848)</f>
        <v>43.848</v>
      </c>
      <c r="O914" s="14">
        <f>IFERROR(__xludf.DUMMYFUNCTION("""COMPUTED_VALUE"""),44.482)</f>
        <v>44.482</v>
      </c>
      <c r="P914" s="14">
        <f>IFERROR(__xludf.DUMMYFUNCTION("""COMPUTED_VALUE"""),45.094)</f>
        <v>45.094</v>
      </c>
      <c r="Q914" s="14">
        <f>IFERROR(__xludf.DUMMYFUNCTION("""COMPUTED_VALUE"""),43.912)</f>
        <v>43.912</v>
      </c>
      <c r="R914" s="48">
        <f>IFERROR(__xludf.DUMMYFUNCTION("""COMPUTED_VALUE"""),11.23)</f>
        <v>11.23</v>
      </c>
      <c r="S914" s="48">
        <f>IFERROR(__xludf.DUMMYFUNCTION("""COMPUTED_VALUE"""),11.19)</f>
        <v>11.19</v>
      </c>
      <c r="T914" s="48">
        <f>IFERROR(__xludf.DUMMYFUNCTION("""COMPUTED_VALUE"""),9.3)</f>
        <v>9.3</v>
      </c>
      <c r="U914" s="48">
        <f>IFERROR(__xludf.DUMMYFUNCTION("""COMPUTED_VALUE"""),9.14)</f>
        <v>9.14</v>
      </c>
      <c r="V914" s="48">
        <f>IFERROR(__xludf.DUMMYFUNCTION("""COMPUTED_VALUE"""),9.06)</f>
        <v>9.06</v>
      </c>
      <c r="W914" s="14">
        <f>IFERROR(__xludf.DUMMYFUNCTION("""COMPUTED_VALUE"""),9.984)</f>
        <v>9.984</v>
      </c>
      <c r="X914" s="14">
        <f>IFERROR(__xludf.DUMMYFUNCTION("""COMPUTED_VALUE"""),21.3)</f>
        <v>21.3</v>
      </c>
      <c r="Y914" s="14">
        <f>IFERROR(__xludf.DUMMYFUNCTION("""COMPUTED_VALUE"""),21.4)</f>
        <v>21.4</v>
      </c>
      <c r="Z914" s="14">
        <f>IFERROR(__xludf.DUMMYFUNCTION("""COMPUTED_VALUE"""),20.2)</f>
        <v>20.2</v>
      </c>
      <c r="AA914" s="14">
        <f>IFERROR(__xludf.DUMMYFUNCTION("""COMPUTED_VALUE"""),19.7)</f>
        <v>19.7</v>
      </c>
      <c r="AB914" s="14">
        <f>IFERROR(__xludf.DUMMYFUNCTION("""COMPUTED_VALUE"""),19.8)</f>
        <v>19.8</v>
      </c>
      <c r="AC914" s="14">
        <f>IFERROR(__xludf.DUMMYFUNCTION("""COMPUTED_VALUE"""),20.48)</f>
        <v>20.48</v>
      </c>
      <c r="AD914" s="48">
        <f>IFERROR(__xludf.DUMMYFUNCTION("""COMPUTED_VALUE"""),861.0)</f>
        <v>861</v>
      </c>
      <c r="AE914" s="48">
        <f>IFERROR(__xludf.DUMMYFUNCTION("""COMPUTED_VALUE"""),811.0)</f>
        <v>811</v>
      </c>
      <c r="AF914" s="48">
        <f>IFERROR(__xludf.DUMMYFUNCTION("""COMPUTED_VALUE"""),522.0)</f>
        <v>522</v>
      </c>
      <c r="AG914" s="48">
        <f>IFERROR(__xludf.DUMMYFUNCTION("""COMPUTED_VALUE"""),518.0)</f>
        <v>518</v>
      </c>
      <c r="AH914" s="48">
        <f>IFERROR(__xludf.DUMMYFUNCTION("""COMPUTED_VALUE"""),491.0)</f>
        <v>491</v>
      </c>
      <c r="AI914" s="14">
        <f>IFERROR(__xludf.DUMMYFUNCTION("""COMPUTED_VALUE"""),640.6)</f>
        <v>640.6</v>
      </c>
      <c r="AJ914" s="14">
        <f>IFERROR(__xludf.DUMMYFUNCTION("""COMPUTED_VALUE"""),4.68)</f>
        <v>4.68</v>
      </c>
      <c r="AK914" s="14">
        <f>IFERROR(__xludf.DUMMYFUNCTION("""COMPUTED_VALUE"""),3.97)</f>
        <v>3.97</v>
      </c>
      <c r="AL914" s="14">
        <f>IFERROR(__xludf.DUMMYFUNCTION("""COMPUTED_VALUE"""),4.83)</f>
        <v>4.83</v>
      </c>
      <c r="AM914" s="14">
        <f>IFERROR(__xludf.DUMMYFUNCTION("""COMPUTED_VALUE"""),4.88)</f>
        <v>4.88</v>
      </c>
      <c r="AN914" s="14">
        <f>IFERROR(__xludf.DUMMYFUNCTION("""COMPUTED_VALUE"""),4.79)</f>
        <v>4.79</v>
      </c>
      <c r="AO914" s="14">
        <f>IFERROR(__xludf.DUMMYFUNCTION("""COMPUTED_VALUE"""),4.63)</f>
        <v>4.63</v>
      </c>
      <c r="AP914" s="14">
        <f>IFERROR(__xludf.DUMMYFUNCTION("""COMPUTED_VALUE"""),255.0)</f>
        <v>255</v>
      </c>
      <c r="AQ914" s="14">
        <f>IFERROR(__xludf.DUMMYFUNCTION("""COMPUTED_VALUE"""),384.0)</f>
        <v>384</v>
      </c>
      <c r="AR914" s="14">
        <f>IFERROR(__xludf.DUMMYFUNCTION("""COMPUTED_VALUE"""),1723.0)</f>
        <v>1723</v>
      </c>
      <c r="AS914" s="14">
        <f>IFERROR(__xludf.DUMMYFUNCTION("""COMPUTED_VALUE"""),1.1)</f>
        <v>1.1</v>
      </c>
      <c r="AT914" s="14">
        <f>IFERROR(__xludf.DUMMYFUNCTION("""COMPUTED_VALUE"""),3.22)</f>
        <v>3.22</v>
      </c>
      <c r="AU914" s="14">
        <f>IFERROR(__xludf.DUMMYFUNCTION("""COMPUTED_VALUE"""),1924000.0)</f>
        <v>1924000</v>
      </c>
      <c r="AV914" s="14">
        <f>IFERROR(__xludf.DUMMYFUNCTION("""COMPUTED_VALUE"""),0.3)</f>
        <v>0.3</v>
      </c>
      <c r="AW914" s="14">
        <f>IFERROR(__xludf.DUMMYFUNCTION("""COMPUTED_VALUE"""),27.4)</f>
        <v>27.4</v>
      </c>
      <c r="AX914" s="14">
        <f>IFERROR(__xludf.DUMMYFUNCTION("""COMPUTED_VALUE"""),1517000.0)</f>
        <v>1517000</v>
      </c>
      <c r="AY914" s="14">
        <f>IFERROR(__xludf.DUMMYFUNCTION("""COMPUTED_VALUE"""),2.3)</f>
        <v>2.3</v>
      </c>
      <c r="AZ914" s="14">
        <f>IFERROR(__xludf.DUMMYFUNCTION("""COMPUTED_VALUE"""),0.084)</f>
        <v>0.084</v>
      </c>
      <c r="BA914" s="14">
        <f t="shared" si="1"/>
        <v>29.784</v>
      </c>
    </row>
    <row r="915" ht="14.25" customHeight="1">
      <c r="A915" s="10" t="str">
        <f>IFERROR(__xludf.DUMMYFUNCTION("""COMPUTED_VALUE"""),"300823DU02")</f>
        <v>300823DU02</v>
      </c>
      <c r="B915" s="12" t="str">
        <f>IFERROR(__xludf.DUMMYFUNCTION("""COMPUTED_VALUE"""),"CON-Camino del Contador")</f>
        <v>CON-Camino del Contador</v>
      </c>
      <c r="C915" s="12"/>
      <c r="D915" s="12"/>
      <c r="E915" s="44">
        <f>IFERROR(__xludf.DUMMYFUNCTION("""COMPUTED_VALUE"""),45168.0)</f>
        <v>45168</v>
      </c>
      <c r="F915" s="12" t="str">
        <f>IFERROR(__xludf.DUMMYFUNCTION("""COMPUTED_VALUE"""),"TIPO I")</f>
        <v>TIPO I</v>
      </c>
      <c r="G915" s="12" t="str">
        <f>IFERROR(__xludf.DUMMYFUNCTION("""COMPUTED_VALUE"""),"Canal en concreto con lecho artificial y presencia de algas, durante el monitoreo se observa color y no se percibe olor. Altitud: 2576 msnm. ")</f>
        <v>Canal en concreto con lecho artificial y presencia de algas, durante el monitoreo se observa color y no se percibe olor. Altitud: 2576 msnm. </v>
      </c>
      <c r="H915" s="45">
        <f>IFERROR(__xludf.DUMMYFUNCTION("""COMPUTED_VALUE"""),0.4166666666678793)</f>
        <v>0.4166666667</v>
      </c>
      <c r="I915" s="45">
        <f>IFERROR(__xludf.DUMMYFUNCTION("""COMPUTED_VALUE"""),0.5)</f>
        <v>0.5</v>
      </c>
      <c r="J915" s="12">
        <f>IFERROR(__xludf.DUMMYFUNCTION("""COMPUTED_VALUE"""),3.8)</f>
        <v>3.8</v>
      </c>
      <c r="K915" s="12">
        <f>IFERROR(__xludf.DUMMYFUNCTION("""COMPUTED_VALUE"""),0.07)</f>
        <v>0.07</v>
      </c>
      <c r="L915" s="14">
        <f>IFERROR(__xludf.DUMMYFUNCTION("""COMPUTED_VALUE"""),25.46)</f>
        <v>25.46</v>
      </c>
      <c r="M915" s="14">
        <f>IFERROR(__xludf.DUMMYFUNCTION("""COMPUTED_VALUE"""),25.652)</f>
        <v>25.652</v>
      </c>
      <c r="N915" s="14">
        <f>IFERROR(__xludf.DUMMYFUNCTION("""COMPUTED_VALUE"""),25.23)</f>
        <v>25.23</v>
      </c>
      <c r="O915" s="14">
        <f>IFERROR(__xludf.DUMMYFUNCTION("""COMPUTED_VALUE"""),25.783)</f>
        <v>25.783</v>
      </c>
      <c r="P915" s="14">
        <f>IFERROR(__xludf.DUMMYFUNCTION("""COMPUTED_VALUE"""),25.882)</f>
        <v>25.882</v>
      </c>
      <c r="Q915" s="14">
        <f>IFERROR(__xludf.DUMMYFUNCTION("""COMPUTED_VALUE"""),25.601)</f>
        <v>25.601</v>
      </c>
      <c r="R915" s="48">
        <f>IFERROR(__xludf.DUMMYFUNCTION("""COMPUTED_VALUE"""),9.15)</f>
        <v>9.15</v>
      </c>
      <c r="S915" s="48">
        <f>IFERROR(__xludf.DUMMYFUNCTION("""COMPUTED_VALUE"""),9.16)</f>
        <v>9.16</v>
      </c>
      <c r="T915" s="48">
        <f>IFERROR(__xludf.DUMMYFUNCTION("""COMPUTED_VALUE"""),9.16)</f>
        <v>9.16</v>
      </c>
      <c r="U915" s="48">
        <f>IFERROR(__xludf.DUMMYFUNCTION("""COMPUTED_VALUE"""),9.18)</f>
        <v>9.18</v>
      </c>
      <c r="V915" s="48">
        <f>IFERROR(__xludf.DUMMYFUNCTION("""COMPUTED_VALUE"""),9.24)</f>
        <v>9.24</v>
      </c>
      <c r="W915" s="14">
        <f>IFERROR(__xludf.DUMMYFUNCTION("""COMPUTED_VALUE"""),9.178)</f>
        <v>9.178</v>
      </c>
      <c r="X915" s="14">
        <f>IFERROR(__xludf.DUMMYFUNCTION("""COMPUTED_VALUE"""),21.1)</f>
        <v>21.1</v>
      </c>
      <c r="Y915" s="14">
        <f>IFERROR(__xludf.DUMMYFUNCTION("""COMPUTED_VALUE"""),21.4)</f>
        <v>21.4</v>
      </c>
      <c r="Z915" s="14">
        <f>IFERROR(__xludf.DUMMYFUNCTION("""COMPUTED_VALUE"""),22.0)</f>
        <v>22</v>
      </c>
      <c r="AA915" s="14">
        <f>IFERROR(__xludf.DUMMYFUNCTION("""COMPUTED_VALUE"""),21.6)</f>
        <v>21.6</v>
      </c>
      <c r="AB915" s="14">
        <f>IFERROR(__xludf.DUMMYFUNCTION("""COMPUTED_VALUE"""),21.9)</f>
        <v>21.9</v>
      </c>
      <c r="AC915" s="14">
        <f>IFERROR(__xludf.DUMMYFUNCTION("""COMPUTED_VALUE"""),21.6)</f>
        <v>21.6</v>
      </c>
      <c r="AD915" s="48">
        <f>IFERROR(__xludf.DUMMYFUNCTION("""COMPUTED_VALUE"""),412.0)</f>
        <v>412</v>
      </c>
      <c r="AE915" s="48">
        <f>IFERROR(__xludf.DUMMYFUNCTION("""COMPUTED_VALUE"""),420.0)</f>
        <v>420</v>
      </c>
      <c r="AF915" s="48">
        <f>IFERROR(__xludf.DUMMYFUNCTION("""COMPUTED_VALUE"""),422.0)</f>
        <v>422</v>
      </c>
      <c r="AG915" s="48">
        <f>IFERROR(__xludf.DUMMYFUNCTION("""COMPUTED_VALUE"""),429.0)</f>
        <v>429</v>
      </c>
      <c r="AH915" s="48">
        <f>IFERROR(__xludf.DUMMYFUNCTION("""COMPUTED_VALUE"""),424.0)</f>
        <v>424</v>
      </c>
      <c r="AI915" s="14">
        <f>IFERROR(__xludf.DUMMYFUNCTION("""COMPUTED_VALUE"""),421.4)</f>
        <v>421.4</v>
      </c>
      <c r="AJ915" s="14">
        <f>IFERROR(__xludf.DUMMYFUNCTION("""COMPUTED_VALUE"""),10.44)</f>
        <v>10.44</v>
      </c>
      <c r="AK915" s="14">
        <f>IFERROR(__xludf.DUMMYFUNCTION("""COMPUTED_VALUE"""),10.05)</f>
        <v>10.05</v>
      </c>
      <c r="AL915" s="14">
        <f>IFERROR(__xludf.DUMMYFUNCTION("""COMPUTED_VALUE"""),9.83)</f>
        <v>9.83</v>
      </c>
      <c r="AM915" s="14">
        <f>IFERROR(__xludf.DUMMYFUNCTION("""COMPUTED_VALUE"""),9.8)</f>
        <v>9.8</v>
      </c>
      <c r="AN915" s="14">
        <f>IFERROR(__xludf.DUMMYFUNCTION("""COMPUTED_VALUE"""),10.31)</f>
        <v>10.31</v>
      </c>
      <c r="AO915" s="14">
        <f>IFERROR(__xludf.DUMMYFUNCTION("""COMPUTED_VALUE"""),10.086000000000002)</f>
        <v>10.086</v>
      </c>
      <c r="AP915" s="14">
        <f>IFERROR(__xludf.DUMMYFUNCTION("""COMPUTED_VALUE"""),67.0)</f>
        <v>67</v>
      </c>
      <c r="AQ915" s="14">
        <f>IFERROR(__xludf.DUMMYFUNCTION("""COMPUTED_VALUE"""),92.0)</f>
        <v>92</v>
      </c>
      <c r="AR915" s="14">
        <f>IFERROR(__xludf.DUMMYFUNCTION("""COMPUTED_VALUE"""),18.0)</f>
        <v>18</v>
      </c>
      <c r="AS915" s="14">
        <f>IFERROR(__xludf.DUMMYFUNCTION("""COMPUTED_VALUE"""),12.0)</f>
        <v>12</v>
      </c>
      <c r="AT915" s="14">
        <f>IFERROR(__xludf.DUMMYFUNCTION("""COMPUTED_VALUE"""),0.97)</f>
        <v>0.97</v>
      </c>
      <c r="AU915" s="14">
        <f>IFERROR(__xludf.DUMMYFUNCTION("""COMPUTED_VALUE"""),248100.0)</f>
        <v>248100</v>
      </c>
      <c r="AV915" s="14">
        <f>IFERROR(__xludf.DUMMYFUNCTION("""COMPUTED_VALUE"""),1.51)</f>
        <v>1.51</v>
      </c>
      <c r="AW915" s="14">
        <f>IFERROR(__xludf.DUMMYFUNCTION("""COMPUTED_VALUE"""),10.9)</f>
        <v>10.9</v>
      </c>
      <c r="AX915" s="14">
        <f>IFERROR(__xludf.DUMMYFUNCTION("""COMPUTED_VALUE"""),120100.0)</f>
        <v>120100</v>
      </c>
      <c r="AY915" s="14">
        <f>IFERROR(__xludf.DUMMYFUNCTION("""COMPUTED_VALUE"""),0.7)</f>
        <v>0.7</v>
      </c>
      <c r="AZ915" s="14">
        <f>IFERROR(__xludf.DUMMYFUNCTION("""COMPUTED_VALUE"""),0.007)</f>
        <v>0.007</v>
      </c>
      <c r="BA915" s="14">
        <f t="shared" si="1"/>
        <v>11.607</v>
      </c>
    </row>
    <row r="916" ht="14.25" customHeight="1">
      <c r="A916" s="10" t="str">
        <f>IFERROR(__xludf.DUMMYFUNCTION("""COMPUTED_VALUE"""),"300823DU03")</f>
        <v>300823DU03</v>
      </c>
      <c r="B916" s="12" t="str">
        <f>IFERROR(__xludf.DUMMYFUNCTION("""COMPUTED_VALUE"""),"HCO-Los Lagartos")</f>
        <v>HCO-Los Lagartos</v>
      </c>
      <c r="C916" s="12"/>
      <c r="D916" s="12"/>
      <c r="E916" s="44">
        <f>IFERROR(__xludf.DUMMYFUNCTION("""COMPUTED_VALUE"""),45168.0)</f>
        <v>45168</v>
      </c>
      <c r="F916" s="12" t="str">
        <f>IFERROR(__xludf.DUMMYFUNCTION("""COMPUTED_VALUE"""),"TIPO I")</f>
        <v>TIPO I</v>
      </c>
      <c r="G916" s="12" t="str">
        <f>IFERROR(__xludf.DUMMYFUNCTION("""COMPUTED_VALUE"""),"Canal artificial en concreto, se observa color y material flotante en el cuerpo de agua. Altitud 2577 msnm.")</f>
        <v>Canal artificial en concreto, se observa color y material flotante en el cuerpo de agua. Altitud 2577 msnm.</v>
      </c>
      <c r="H916" s="45">
        <f>IFERROR(__xludf.DUMMYFUNCTION("""COMPUTED_VALUE"""),0.5833333333321207)</f>
        <v>0.5833333333</v>
      </c>
      <c r="I916" s="45">
        <f>IFERROR(__xludf.DUMMYFUNCTION("""COMPUTED_VALUE"""),0.6666666666678793)</f>
        <v>0.6666666667</v>
      </c>
      <c r="J916" s="12">
        <f>IFERROR(__xludf.DUMMYFUNCTION("""COMPUTED_VALUE"""),6.3)</f>
        <v>6.3</v>
      </c>
      <c r="K916" s="12">
        <f>IFERROR(__xludf.DUMMYFUNCTION("""COMPUTED_VALUE"""),0.57)</f>
        <v>0.57</v>
      </c>
      <c r="L916" s="14">
        <f>IFERROR(__xludf.DUMMYFUNCTION("""COMPUTED_VALUE"""),426.961)</f>
        <v>426.961</v>
      </c>
      <c r="M916" s="14">
        <f>IFERROR(__xludf.DUMMYFUNCTION("""COMPUTED_VALUE"""),429.211)</f>
        <v>429.211</v>
      </c>
      <c r="N916" s="14">
        <f>IFERROR(__xludf.DUMMYFUNCTION("""COMPUTED_VALUE"""),431.586)</f>
        <v>431.586</v>
      </c>
      <c r="O916" s="14">
        <f>IFERROR(__xludf.DUMMYFUNCTION("""COMPUTED_VALUE"""),435.959)</f>
        <v>435.959</v>
      </c>
      <c r="P916" s="14">
        <f>IFERROR(__xludf.DUMMYFUNCTION("""COMPUTED_VALUE"""),422.908)</f>
        <v>422.908</v>
      </c>
      <c r="Q916" s="14">
        <f>IFERROR(__xludf.DUMMYFUNCTION("""COMPUTED_VALUE"""),429.325)</f>
        <v>429.325</v>
      </c>
      <c r="R916" s="48">
        <f>IFERROR(__xludf.DUMMYFUNCTION("""COMPUTED_VALUE"""),7.75)</f>
        <v>7.75</v>
      </c>
      <c r="S916" s="48">
        <f>IFERROR(__xludf.DUMMYFUNCTION("""COMPUTED_VALUE"""),7.69)</f>
        <v>7.69</v>
      </c>
      <c r="T916" s="48">
        <f>IFERROR(__xludf.DUMMYFUNCTION("""COMPUTED_VALUE"""),7.67)</f>
        <v>7.67</v>
      </c>
      <c r="U916" s="48">
        <f>IFERROR(__xludf.DUMMYFUNCTION("""COMPUTED_VALUE"""),7.64)</f>
        <v>7.64</v>
      </c>
      <c r="V916" s="48">
        <f>IFERROR(__xludf.DUMMYFUNCTION("""COMPUTED_VALUE"""),7.67)</f>
        <v>7.67</v>
      </c>
      <c r="W916" s="14">
        <f>IFERROR(__xludf.DUMMYFUNCTION("""COMPUTED_VALUE"""),7.684)</f>
        <v>7.684</v>
      </c>
      <c r="X916" s="14">
        <f>IFERROR(__xludf.DUMMYFUNCTION("""COMPUTED_VALUE"""),17.4)</f>
        <v>17.4</v>
      </c>
      <c r="Y916" s="14">
        <f>IFERROR(__xludf.DUMMYFUNCTION("""COMPUTED_VALUE"""),17.8)</f>
        <v>17.8</v>
      </c>
      <c r="Z916" s="14">
        <f>IFERROR(__xludf.DUMMYFUNCTION("""COMPUTED_VALUE"""),17.2)</f>
        <v>17.2</v>
      </c>
      <c r="AA916" s="14">
        <f>IFERROR(__xludf.DUMMYFUNCTION("""COMPUTED_VALUE"""),17.7)</f>
        <v>17.7</v>
      </c>
      <c r="AB916" s="14">
        <f>IFERROR(__xludf.DUMMYFUNCTION("""COMPUTED_VALUE"""),17.4)</f>
        <v>17.4</v>
      </c>
      <c r="AC916" s="14">
        <f>IFERROR(__xludf.DUMMYFUNCTION("""COMPUTED_VALUE"""),17.5)</f>
        <v>17.5</v>
      </c>
      <c r="AD916" s="48">
        <f>IFERROR(__xludf.DUMMYFUNCTION("""COMPUTED_VALUE"""),463.0)</f>
        <v>463</v>
      </c>
      <c r="AE916" s="48">
        <f>IFERROR(__xludf.DUMMYFUNCTION("""COMPUTED_VALUE"""),466.0)</f>
        <v>466</v>
      </c>
      <c r="AF916" s="48">
        <f>IFERROR(__xludf.DUMMYFUNCTION("""COMPUTED_VALUE"""),472.0)</f>
        <v>472</v>
      </c>
      <c r="AG916" s="48">
        <f>IFERROR(__xludf.DUMMYFUNCTION("""COMPUTED_VALUE"""),465.0)</f>
        <v>465</v>
      </c>
      <c r="AH916" s="48">
        <f>IFERROR(__xludf.DUMMYFUNCTION("""COMPUTED_VALUE"""),462.0)</f>
        <v>462</v>
      </c>
      <c r="AI916" s="14">
        <f>IFERROR(__xludf.DUMMYFUNCTION("""COMPUTED_VALUE"""),465.6)</f>
        <v>465.6</v>
      </c>
      <c r="AJ916" s="14">
        <f>IFERROR(__xludf.DUMMYFUNCTION("""COMPUTED_VALUE"""),1.33)</f>
        <v>1.33</v>
      </c>
      <c r="AK916" s="14">
        <f>IFERROR(__xludf.DUMMYFUNCTION("""COMPUTED_VALUE"""),1.12)</f>
        <v>1.12</v>
      </c>
      <c r="AL916" s="14">
        <f>IFERROR(__xludf.DUMMYFUNCTION("""COMPUTED_VALUE"""),1.06)</f>
        <v>1.06</v>
      </c>
      <c r="AM916" s="14">
        <f>IFERROR(__xludf.DUMMYFUNCTION("""COMPUTED_VALUE"""),1.17)</f>
        <v>1.17</v>
      </c>
      <c r="AN916" s="14">
        <f>IFERROR(__xludf.DUMMYFUNCTION("""COMPUTED_VALUE"""),1.21)</f>
        <v>1.21</v>
      </c>
      <c r="AO916" s="14">
        <f>IFERROR(__xludf.DUMMYFUNCTION("""COMPUTED_VALUE"""),1.178)</f>
        <v>1.178</v>
      </c>
      <c r="AP916" s="14">
        <f>IFERROR(__xludf.DUMMYFUNCTION("""COMPUTED_VALUE"""),58.0)</f>
        <v>58</v>
      </c>
      <c r="AQ916" s="14">
        <f>IFERROR(__xludf.DUMMYFUNCTION("""COMPUTED_VALUE"""),80.0)</f>
        <v>80</v>
      </c>
      <c r="AR916" s="14">
        <f>IFERROR(__xludf.DUMMYFUNCTION("""COMPUTED_VALUE"""),24.0)</f>
        <v>24</v>
      </c>
      <c r="AS916" s="14">
        <f>IFERROR(__xludf.DUMMYFUNCTION("""COMPUTED_VALUE"""),18.0)</f>
        <v>18</v>
      </c>
      <c r="AT916" s="14">
        <f>IFERROR(__xludf.DUMMYFUNCTION("""COMPUTED_VALUE"""),1.84)</f>
        <v>1.84</v>
      </c>
      <c r="AU916" s="14">
        <f>IFERROR(__xludf.DUMMYFUNCTION("""COMPUTED_VALUE"""),1.842E7)</f>
        <v>18420000</v>
      </c>
      <c r="AV916" s="14">
        <f>IFERROR(__xludf.DUMMYFUNCTION("""COMPUTED_VALUE"""),2.01)</f>
        <v>2.01</v>
      </c>
      <c r="AW916" s="14">
        <f>IFERROR(__xludf.DUMMYFUNCTION("""COMPUTED_VALUE"""),24.4)</f>
        <v>24.4</v>
      </c>
      <c r="AX916" s="14">
        <f>IFERROR(__xludf.DUMMYFUNCTION("""COMPUTED_VALUE"""),8470000.0)</f>
        <v>8470000</v>
      </c>
      <c r="AY916" s="14">
        <f>IFERROR(__xludf.DUMMYFUNCTION("""COMPUTED_VALUE"""),1.1)</f>
        <v>1.1</v>
      </c>
      <c r="AZ916" s="14">
        <f>IFERROR(__xludf.DUMMYFUNCTION("""COMPUTED_VALUE"""),0.007)</f>
        <v>0.007</v>
      </c>
      <c r="BA916" s="14">
        <f t="shared" si="1"/>
        <v>25.507</v>
      </c>
    </row>
    <row r="917" ht="14.25" customHeight="1">
      <c r="A917" s="10" t="str">
        <f>IFERROR(__xludf.DUMMYFUNCTION("""COMPUTED_VALUE"""),"080923HA01")</f>
        <v>080923HA01</v>
      </c>
      <c r="B917" s="12" t="str">
        <f>IFERROR(__xludf.DUMMYFUNCTION("""COMPUTED_VALUE"""),"CRN-La Castellana")</f>
        <v>CRN-La Castellana</v>
      </c>
      <c r="C917" s="12"/>
      <c r="D917" s="12"/>
      <c r="E917" s="44">
        <f>IFERROR(__xludf.DUMMYFUNCTION("""COMPUTED_VALUE"""),45177.0)</f>
        <v>45177</v>
      </c>
      <c r="F917" s="12" t="str">
        <f>IFERROR(__xludf.DUMMYFUNCTION("""COMPUTED_VALUE"""),"TIPO I")</f>
        <v>TIPO I</v>
      </c>
      <c r="G917" s="12" t="str">
        <f>IFERROR(__xludf.DUMMYFUNCTION("""COMPUTED_VALUE"""),"Canal artificial en concreto, se observa color y residuos sólidos en el canal, se percibe olor en el cuerpo de agua, después de la tercera alícuota se presenta un aumento en la cantidad de sólidos transportados en el canal. Altitud 2557 msnm.")</f>
        <v>Canal artificial en concreto, se observa color y residuos sólidos en el canal, se percibe olor en el cuerpo de agua, después de la tercera alícuota se presenta un aumento en la cantidad de sólidos transportados en el canal. Altitud 2557 msnm.</v>
      </c>
      <c r="H917" s="45">
        <f>IFERROR(__xludf.DUMMYFUNCTION("""COMPUTED_VALUE"""),0.25)</f>
        <v>0.25</v>
      </c>
      <c r="I917" s="45">
        <f>IFERROR(__xludf.DUMMYFUNCTION("""COMPUTED_VALUE"""),0.3333333333321207)</f>
        <v>0.3333333333</v>
      </c>
      <c r="J917" s="12">
        <f>IFERROR(__xludf.DUMMYFUNCTION("""COMPUTED_VALUE"""),5.7)</f>
        <v>5.7</v>
      </c>
      <c r="K917" s="12">
        <f>IFERROR(__xludf.DUMMYFUNCTION("""COMPUTED_VALUE"""),0.18)</f>
        <v>0.18</v>
      </c>
      <c r="L917" s="14">
        <f>IFERROR(__xludf.DUMMYFUNCTION("""COMPUTED_VALUE"""),218.722)</f>
        <v>218.722</v>
      </c>
      <c r="M917" s="14">
        <f>IFERROR(__xludf.DUMMYFUNCTION("""COMPUTED_VALUE"""),224.128)</f>
        <v>224.128</v>
      </c>
      <c r="N917" s="14">
        <f>IFERROR(__xludf.DUMMYFUNCTION("""COMPUTED_VALUE"""),296.738)</f>
        <v>296.738</v>
      </c>
      <c r="O917" s="14">
        <f>IFERROR(__xludf.DUMMYFUNCTION("""COMPUTED_VALUE"""),303.603)</f>
        <v>303.603</v>
      </c>
      <c r="P917" s="14">
        <f>IFERROR(__xludf.DUMMYFUNCTION("""COMPUTED_VALUE"""),332.502)</f>
        <v>332.502</v>
      </c>
      <c r="Q917" s="14">
        <f>IFERROR(__xludf.DUMMYFUNCTION("""COMPUTED_VALUE"""),275.138)</f>
        <v>275.138</v>
      </c>
      <c r="R917" s="48">
        <f>IFERROR(__xludf.DUMMYFUNCTION("""COMPUTED_VALUE"""),7.2)</f>
        <v>7.2</v>
      </c>
      <c r="S917" s="48">
        <f>IFERROR(__xludf.DUMMYFUNCTION("""COMPUTED_VALUE"""),7.27)</f>
        <v>7.27</v>
      </c>
      <c r="T917" s="48">
        <f>IFERROR(__xludf.DUMMYFUNCTION("""COMPUTED_VALUE"""),7.55)</f>
        <v>7.55</v>
      </c>
      <c r="U917" s="48">
        <f>IFERROR(__xludf.DUMMYFUNCTION("""COMPUTED_VALUE"""),8.03)</f>
        <v>8.03</v>
      </c>
      <c r="V917" s="48">
        <f>IFERROR(__xludf.DUMMYFUNCTION("""COMPUTED_VALUE"""),8.17)</f>
        <v>8.17</v>
      </c>
      <c r="W917" s="14">
        <f>IFERROR(__xludf.DUMMYFUNCTION("""COMPUTED_VALUE"""),7.644)</f>
        <v>7.644</v>
      </c>
      <c r="X917" s="14">
        <f>IFERROR(__xludf.DUMMYFUNCTION("""COMPUTED_VALUE"""),16.0)</f>
        <v>16</v>
      </c>
      <c r="Y917" s="14">
        <f>IFERROR(__xludf.DUMMYFUNCTION("""COMPUTED_VALUE"""),16.7)</f>
        <v>16.7</v>
      </c>
      <c r="Z917" s="14">
        <f>IFERROR(__xludf.DUMMYFUNCTION("""COMPUTED_VALUE"""),17.4)</f>
        <v>17.4</v>
      </c>
      <c r="AA917" s="14">
        <f>IFERROR(__xludf.DUMMYFUNCTION("""COMPUTED_VALUE"""),18.2)</f>
        <v>18.2</v>
      </c>
      <c r="AB917" s="14">
        <f>IFERROR(__xludf.DUMMYFUNCTION("""COMPUTED_VALUE"""),19.0)</f>
        <v>19</v>
      </c>
      <c r="AC917" s="14">
        <f>IFERROR(__xludf.DUMMYFUNCTION("""COMPUTED_VALUE"""),17.46)</f>
        <v>17.46</v>
      </c>
      <c r="AD917" s="48">
        <f>IFERROR(__xludf.DUMMYFUNCTION("""COMPUTED_VALUE"""),210.0)</f>
        <v>210</v>
      </c>
      <c r="AE917" s="48">
        <f>IFERROR(__xludf.DUMMYFUNCTION("""COMPUTED_VALUE"""),276.0)</f>
        <v>276</v>
      </c>
      <c r="AF917" s="48">
        <f>IFERROR(__xludf.DUMMYFUNCTION("""COMPUTED_VALUE"""),358.0)</f>
        <v>358</v>
      </c>
      <c r="AG917" s="48">
        <f>IFERROR(__xludf.DUMMYFUNCTION("""COMPUTED_VALUE"""),436.0)</f>
        <v>436</v>
      </c>
      <c r="AH917" s="48">
        <f>IFERROR(__xludf.DUMMYFUNCTION("""COMPUTED_VALUE"""),481.0)</f>
        <v>481</v>
      </c>
      <c r="AI917" s="14">
        <f>IFERROR(__xludf.DUMMYFUNCTION("""COMPUTED_VALUE"""),352.2)</f>
        <v>352.2</v>
      </c>
      <c r="AJ917" s="14">
        <f>IFERROR(__xludf.DUMMYFUNCTION("""COMPUTED_VALUE"""),1.71)</f>
        <v>1.71</v>
      </c>
      <c r="AK917" s="14">
        <f>IFERROR(__xludf.DUMMYFUNCTION("""COMPUTED_VALUE"""),1.38)</f>
        <v>1.38</v>
      </c>
      <c r="AL917" s="14">
        <f>IFERROR(__xludf.DUMMYFUNCTION("""COMPUTED_VALUE"""),1.46)</f>
        <v>1.46</v>
      </c>
      <c r="AM917" s="14">
        <f>IFERROR(__xludf.DUMMYFUNCTION("""COMPUTED_VALUE"""),1.17)</f>
        <v>1.17</v>
      </c>
      <c r="AN917" s="14">
        <f>IFERROR(__xludf.DUMMYFUNCTION("""COMPUTED_VALUE"""),1.24)</f>
        <v>1.24</v>
      </c>
      <c r="AO917" s="14">
        <f>IFERROR(__xludf.DUMMYFUNCTION("""COMPUTED_VALUE"""),1.392)</f>
        <v>1.392</v>
      </c>
      <c r="AP917" s="14">
        <f>IFERROR(__xludf.DUMMYFUNCTION("""COMPUTED_VALUE"""),186.0)</f>
        <v>186</v>
      </c>
      <c r="AQ917" s="14">
        <f>IFERROR(__xludf.DUMMYFUNCTION("""COMPUTED_VALUE"""),249.0)</f>
        <v>249</v>
      </c>
      <c r="AR917" s="14">
        <f>IFERROR(__xludf.DUMMYFUNCTION("""COMPUTED_VALUE"""),95.0)</f>
        <v>95</v>
      </c>
      <c r="AS917" s="14">
        <f>IFERROR(__xludf.DUMMYFUNCTION("""COMPUTED_VALUE"""),36.0)</f>
        <v>36</v>
      </c>
      <c r="AT917" s="14">
        <f>IFERROR(__xludf.DUMMYFUNCTION("""COMPUTED_VALUE"""),0.16)</f>
        <v>0.16</v>
      </c>
      <c r="AU917" s="14">
        <f>IFERROR(__xludf.DUMMYFUNCTION("""COMPUTED_VALUE"""),1.5E7)</f>
        <v>15000000</v>
      </c>
      <c r="AV917" s="14">
        <f>IFERROR(__xludf.DUMMYFUNCTION("""COMPUTED_VALUE"""),2.67)</f>
        <v>2.67</v>
      </c>
      <c r="AW917" s="14">
        <f>IFERROR(__xludf.DUMMYFUNCTION("""COMPUTED_VALUE"""),27.4)</f>
        <v>27.4</v>
      </c>
      <c r="AX917" s="14">
        <f>IFERROR(__xludf.DUMMYFUNCTION("""COMPUTED_VALUE"""),6500000.0)</f>
        <v>6500000</v>
      </c>
      <c r="AY917" s="14">
        <f>IFERROR(__xludf.DUMMYFUNCTION("""COMPUTED_VALUE"""),1.8)</f>
        <v>1.8</v>
      </c>
      <c r="AZ917" s="14">
        <f>IFERROR(__xludf.DUMMYFUNCTION("""COMPUTED_VALUE"""),0.007)</f>
        <v>0.007</v>
      </c>
      <c r="BA917" s="14">
        <f t="shared" si="1"/>
        <v>29.207</v>
      </c>
    </row>
    <row r="918" ht="14.25" customHeight="1">
      <c r="A918" s="10" t="str">
        <f>IFERROR(__xludf.DUMMYFUNCTION("""COMPUTED_VALUE"""),"080923HA03")</f>
        <v>080923HA03</v>
      </c>
      <c r="B918" s="12" t="str">
        <f>IFERROR(__xludf.DUMMYFUNCTION("""COMPUTED_VALUE"""),"CRN-Entre Ríos")</f>
        <v>CRN-Entre Ríos</v>
      </c>
      <c r="C918" s="12"/>
      <c r="D918" s="12"/>
      <c r="E918" s="44">
        <f>IFERROR(__xludf.DUMMYFUNCTION("""COMPUTED_VALUE"""),45177.0)</f>
        <v>45177</v>
      </c>
      <c r="F918" s="12" t="str">
        <f>IFERROR(__xludf.DUMMYFUNCTION("""COMPUTED_VALUE"""),"TIPO I")</f>
        <v>TIPO I</v>
      </c>
      <c r="G918" s="12" t="str">
        <f>IFERROR(__xludf.DUMMYFUNCTION("""COMPUTED_VALUE"""),"Canal artificial en concreto, se observa color y lama en el fondo del canal, y se percibe olor. Altitud 2558 msnm.")</f>
        <v>Canal artificial en concreto, se observa color y lama en el fondo del canal, y se percibe olor. Altitud 2558 msnm.</v>
      </c>
      <c r="H918" s="45">
        <f>IFERROR(__xludf.DUMMYFUNCTION("""COMPUTED_VALUE"""),0.4166666666678793)</f>
        <v>0.4166666667</v>
      </c>
      <c r="I918" s="45">
        <f>IFERROR(__xludf.DUMMYFUNCTION("""COMPUTED_VALUE"""),0.5)</f>
        <v>0.5</v>
      </c>
      <c r="J918" s="12">
        <f>IFERROR(__xludf.DUMMYFUNCTION("""COMPUTED_VALUE"""),7.6)</f>
        <v>7.6</v>
      </c>
      <c r="K918" s="12">
        <f>IFERROR(__xludf.DUMMYFUNCTION("""COMPUTED_VALUE"""),0.17)</f>
        <v>0.17</v>
      </c>
      <c r="L918" s="14">
        <f>IFERROR(__xludf.DUMMYFUNCTION("""COMPUTED_VALUE"""),467.538)</f>
        <v>467.538</v>
      </c>
      <c r="M918" s="14">
        <f>IFERROR(__xludf.DUMMYFUNCTION("""COMPUTED_VALUE"""),472.835)</f>
        <v>472.835</v>
      </c>
      <c r="N918" s="14">
        <f>IFERROR(__xludf.DUMMYFUNCTION("""COMPUTED_VALUE"""),477.676)</f>
        <v>477.676</v>
      </c>
      <c r="O918" s="14">
        <f>IFERROR(__xludf.DUMMYFUNCTION("""COMPUTED_VALUE"""),482.4)</f>
        <v>482.4</v>
      </c>
      <c r="P918" s="14">
        <f>IFERROR(__xludf.DUMMYFUNCTION("""COMPUTED_VALUE"""),489.578)</f>
        <v>489.578</v>
      </c>
      <c r="Q918" s="14">
        <f>IFERROR(__xludf.DUMMYFUNCTION("""COMPUTED_VALUE"""),478.005)</f>
        <v>478.005</v>
      </c>
      <c r="R918" s="48">
        <f>IFERROR(__xludf.DUMMYFUNCTION("""COMPUTED_VALUE"""),7.94)</f>
        <v>7.94</v>
      </c>
      <c r="S918" s="48">
        <f>IFERROR(__xludf.DUMMYFUNCTION("""COMPUTED_VALUE"""),7.83)</f>
        <v>7.83</v>
      </c>
      <c r="T918" s="48">
        <f>IFERROR(__xludf.DUMMYFUNCTION("""COMPUTED_VALUE"""),7.95)</f>
        <v>7.95</v>
      </c>
      <c r="U918" s="48">
        <f>IFERROR(__xludf.DUMMYFUNCTION("""COMPUTED_VALUE"""),7.82)</f>
        <v>7.82</v>
      </c>
      <c r="V918" s="48">
        <f>IFERROR(__xludf.DUMMYFUNCTION("""COMPUTED_VALUE"""),7.87)</f>
        <v>7.87</v>
      </c>
      <c r="W918" s="14">
        <f>IFERROR(__xludf.DUMMYFUNCTION("""COMPUTED_VALUE"""),7.882)</f>
        <v>7.882</v>
      </c>
      <c r="X918" s="14">
        <f>IFERROR(__xludf.DUMMYFUNCTION("""COMPUTED_VALUE"""),22.2)</f>
        <v>22.2</v>
      </c>
      <c r="Y918" s="14">
        <f>IFERROR(__xludf.DUMMYFUNCTION("""COMPUTED_VALUE"""),21.3)</f>
        <v>21.3</v>
      </c>
      <c r="Z918" s="14">
        <f>IFERROR(__xludf.DUMMYFUNCTION("""COMPUTED_VALUE"""),20.7)</f>
        <v>20.7</v>
      </c>
      <c r="AA918" s="14">
        <f>IFERROR(__xludf.DUMMYFUNCTION("""COMPUTED_VALUE"""),21.3)</f>
        <v>21.3</v>
      </c>
      <c r="AB918" s="14">
        <f>IFERROR(__xludf.DUMMYFUNCTION("""COMPUTED_VALUE"""),21.0)</f>
        <v>21</v>
      </c>
      <c r="AC918" s="14">
        <f>IFERROR(__xludf.DUMMYFUNCTION("""COMPUTED_VALUE"""),21.3)</f>
        <v>21.3</v>
      </c>
      <c r="AD918" s="48">
        <f>IFERROR(__xludf.DUMMYFUNCTION("""COMPUTED_VALUE"""),518.0)</f>
        <v>518</v>
      </c>
      <c r="AE918" s="48">
        <f>IFERROR(__xludf.DUMMYFUNCTION("""COMPUTED_VALUE"""),478.0)</f>
        <v>478</v>
      </c>
      <c r="AF918" s="48">
        <f>IFERROR(__xludf.DUMMYFUNCTION("""COMPUTED_VALUE"""),486.0)</f>
        <v>486</v>
      </c>
      <c r="AG918" s="48">
        <f>IFERROR(__xludf.DUMMYFUNCTION("""COMPUTED_VALUE"""),511.0)</f>
        <v>511</v>
      </c>
      <c r="AH918" s="48">
        <f>IFERROR(__xludf.DUMMYFUNCTION("""COMPUTED_VALUE"""),520.0)</f>
        <v>520</v>
      </c>
      <c r="AI918" s="14">
        <f>IFERROR(__xludf.DUMMYFUNCTION("""COMPUTED_VALUE"""),502.6)</f>
        <v>502.6</v>
      </c>
      <c r="AJ918" s="14">
        <f>IFERROR(__xludf.DUMMYFUNCTION("""COMPUTED_VALUE"""),1.05)</f>
        <v>1.05</v>
      </c>
      <c r="AK918" s="14">
        <f>IFERROR(__xludf.DUMMYFUNCTION("""COMPUTED_VALUE"""),0.71)</f>
        <v>0.71</v>
      </c>
      <c r="AL918" s="14">
        <f>IFERROR(__xludf.DUMMYFUNCTION("""COMPUTED_VALUE"""),0.88)</f>
        <v>0.88</v>
      </c>
      <c r="AM918" s="14">
        <f>IFERROR(__xludf.DUMMYFUNCTION("""COMPUTED_VALUE"""),0.66)</f>
        <v>0.66</v>
      </c>
      <c r="AN918" s="14">
        <f>IFERROR(__xludf.DUMMYFUNCTION("""COMPUTED_VALUE"""),0.7)</f>
        <v>0.7</v>
      </c>
      <c r="AO918" s="14">
        <f>IFERROR(__xludf.DUMMYFUNCTION("""COMPUTED_VALUE"""),0.8)</f>
        <v>0.8</v>
      </c>
      <c r="AP918" s="14">
        <f>IFERROR(__xludf.DUMMYFUNCTION("""COMPUTED_VALUE"""),561.0)</f>
        <v>561</v>
      </c>
      <c r="AQ918" s="14">
        <f>IFERROR(__xludf.DUMMYFUNCTION("""COMPUTED_VALUE"""),751.0)</f>
        <v>751</v>
      </c>
      <c r="AR918" s="14">
        <f>IFERROR(__xludf.DUMMYFUNCTION("""COMPUTED_VALUE"""),270.0)</f>
        <v>270</v>
      </c>
      <c r="AS918" s="14">
        <f>IFERROR(__xludf.DUMMYFUNCTION("""COMPUTED_VALUE"""),54.0)</f>
        <v>54</v>
      </c>
      <c r="AT918" s="14">
        <f>IFERROR(__xludf.DUMMYFUNCTION("""COMPUTED_VALUE"""),2.14)</f>
        <v>2.14</v>
      </c>
      <c r="AU918" s="14">
        <f>IFERROR(__xludf.DUMMYFUNCTION("""COMPUTED_VALUE"""),8.8E7)</f>
        <v>88000000</v>
      </c>
      <c r="AV918" s="14">
        <f>IFERROR(__xludf.DUMMYFUNCTION("""COMPUTED_VALUE"""),13.41)</f>
        <v>13.41</v>
      </c>
      <c r="AW918" s="14">
        <f>IFERROR(__xludf.DUMMYFUNCTION("""COMPUTED_VALUE"""),408.8)</f>
        <v>408.8</v>
      </c>
      <c r="AX918" s="14">
        <f>IFERROR(__xludf.DUMMYFUNCTION("""COMPUTED_VALUE"""),7120000.0)</f>
        <v>7120000</v>
      </c>
      <c r="AY918" s="14">
        <f>IFERROR(__xludf.DUMMYFUNCTION("""COMPUTED_VALUE"""),6.2)</f>
        <v>6.2</v>
      </c>
      <c r="AZ918" s="14">
        <f>IFERROR(__xludf.DUMMYFUNCTION("""COMPUTED_VALUE"""),0.007)</f>
        <v>0.007</v>
      </c>
      <c r="BA918" s="14">
        <f t="shared" si="1"/>
        <v>415.007</v>
      </c>
    </row>
    <row r="919" ht="14.25" customHeight="1">
      <c r="A919" s="10" t="str">
        <f>IFERROR(__xludf.DUMMYFUNCTION("""COMPUTED_VALUE"""),"080923DU03")</f>
        <v>080923DU03</v>
      </c>
      <c r="B919" s="12" t="str">
        <f>IFERROR(__xludf.DUMMYFUNCTION("""COMPUTED_VALUE"""),"CRN-Quebrada Chicó")</f>
        <v>CRN-Quebrada Chicó</v>
      </c>
      <c r="C919" s="12"/>
      <c r="D919" s="12"/>
      <c r="E919" s="44">
        <f>IFERROR(__xludf.DUMMYFUNCTION("""COMPUTED_VALUE"""),45177.0)</f>
        <v>45177</v>
      </c>
      <c r="F919" s="12" t="str">
        <f>IFERROR(__xludf.DUMMYFUNCTION("""COMPUTED_VALUE"""),"TIPO I")</f>
        <v>TIPO I</v>
      </c>
      <c r="G919" s="12" t="str">
        <f>IFERROR(__xludf.DUMMYFUNCTION("""COMPUTED_VALUE"""),"Lecho artificial, canal en ladrillo, tubería en concreto de 64"", no se percibe olor, no se observa color, muestra tomada a la salida de la tubería de concreto.")</f>
        <v>Lecho artificial, canal en ladrillo, tubería en concreto de 64", no se percibe olor, no se observa color, muestra tomada a la salida de la tubería de concreto.</v>
      </c>
      <c r="H919" s="45">
        <f>IFERROR(__xludf.DUMMYFUNCTION("""COMPUTED_VALUE"""),0.4166666666678793)</f>
        <v>0.4166666667</v>
      </c>
      <c r="I919" s="45">
        <f>IFERROR(__xludf.DUMMYFUNCTION("""COMPUTED_VALUE"""),0.5)</f>
        <v>0.5</v>
      </c>
      <c r="J919" s="12"/>
      <c r="K919" s="12"/>
      <c r="L919" s="14">
        <f>IFERROR(__xludf.DUMMYFUNCTION("""COMPUTED_VALUE"""),2.6235)</f>
        <v>2.6235</v>
      </c>
      <c r="M919" s="14">
        <f>IFERROR(__xludf.DUMMYFUNCTION("""COMPUTED_VALUE"""),2.7206)</f>
        <v>2.7206</v>
      </c>
      <c r="N919" s="14">
        <f>IFERROR(__xludf.DUMMYFUNCTION("""COMPUTED_VALUE"""),2.5745)</f>
        <v>2.5745</v>
      </c>
      <c r="O919" s="14">
        <f>IFERROR(__xludf.DUMMYFUNCTION("""COMPUTED_VALUE"""),2.6698)</f>
        <v>2.6698</v>
      </c>
      <c r="P919" s="14">
        <f>IFERROR(__xludf.DUMMYFUNCTION("""COMPUTED_VALUE"""),2.8333)</f>
        <v>2.8333</v>
      </c>
      <c r="Q919" s="14">
        <f>IFERROR(__xludf.DUMMYFUNCTION("""COMPUTED_VALUE"""),2.684)</f>
        <v>2.684</v>
      </c>
      <c r="R919" s="48">
        <f>IFERROR(__xludf.DUMMYFUNCTION("""COMPUTED_VALUE"""),7.59)</f>
        <v>7.59</v>
      </c>
      <c r="S919" s="48">
        <f>IFERROR(__xludf.DUMMYFUNCTION("""COMPUTED_VALUE"""),7.45)</f>
        <v>7.45</v>
      </c>
      <c r="T919" s="48">
        <f>IFERROR(__xludf.DUMMYFUNCTION("""COMPUTED_VALUE"""),7.26)</f>
        <v>7.26</v>
      </c>
      <c r="U919" s="48">
        <f>IFERROR(__xludf.DUMMYFUNCTION("""COMPUTED_VALUE"""),7.1)</f>
        <v>7.1</v>
      </c>
      <c r="V919" s="48">
        <f>IFERROR(__xludf.DUMMYFUNCTION("""COMPUTED_VALUE"""),7.22)</f>
        <v>7.22</v>
      </c>
      <c r="W919" s="14">
        <f>IFERROR(__xludf.DUMMYFUNCTION("""COMPUTED_VALUE"""),7.324)</f>
        <v>7.324</v>
      </c>
      <c r="X919" s="14">
        <f>IFERROR(__xludf.DUMMYFUNCTION("""COMPUTED_VALUE"""),15.3)</f>
        <v>15.3</v>
      </c>
      <c r="Y919" s="14">
        <f>IFERROR(__xludf.DUMMYFUNCTION("""COMPUTED_VALUE"""),15.4)</f>
        <v>15.4</v>
      </c>
      <c r="Z919" s="14">
        <f>IFERROR(__xludf.DUMMYFUNCTION("""COMPUTED_VALUE"""),15.2)</f>
        <v>15.2</v>
      </c>
      <c r="AA919" s="14">
        <f>IFERROR(__xludf.DUMMYFUNCTION("""COMPUTED_VALUE"""),15.2)</f>
        <v>15.2</v>
      </c>
      <c r="AB919" s="14">
        <f>IFERROR(__xludf.DUMMYFUNCTION("""COMPUTED_VALUE"""),15.3)</f>
        <v>15.3</v>
      </c>
      <c r="AC919" s="14">
        <f>IFERROR(__xludf.DUMMYFUNCTION("""COMPUTED_VALUE"""),15.280000000000001)</f>
        <v>15.28</v>
      </c>
      <c r="AD919" s="48">
        <f>IFERROR(__xludf.DUMMYFUNCTION("""COMPUTED_VALUE"""),106.8)</f>
        <v>106.8</v>
      </c>
      <c r="AE919" s="48">
        <f>IFERROR(__xludf.DUMMYFUNCTION("""COMPUTED_VALUE"""),105.1)</f>
        <v>105.1</v>
      </c>
      <c r="AF919" s="48">
        <f>IFERROR(__xludf.DUMMYFUNCTION("""COMPUTED_VALUE"""),91.5)</f>
        <v>91.5</v>
      </c>
      <c r="AG919" s="48">
        <f>IFERROR(__xludf.DUMMYFUNCTION("""COMPUTED_VALUE"""),87.6)</f>
        <v>87.6</v>
      </c>
      <c r="AH919" s="48">
        <f>IFERROR(__xludf.DUMMYFUNCTION("""COMPUTED_VALUE"""),106.3)</f>
        <v>106.3</v>
      </c>
      <c r="AI919" s="14">
        <f>IFERROR(__xludf.DUMMYFUNCTION("""COMPUTED_VALUE"""),99.46000000000001)</f>
        <v>99.46</v>
      </c>
      <c r="AJ919" s="14">
        <f>IFERROR(__xludf.DUMMYFUNCTION("""COMPUTED_VALUE"""),4.81)</f>
        <v>4.81</v>
      </c>
      <c r="AK919" s="14">
        <f>IFERROR(__xludf.DUMMYFUNCTION("""COMPUTED_VALUE"""),4.59)</f>
        <v>4.59</v>
      </c>
      <c r="AL919" s="14">
        <f>IFERROR(__xludf.DUMMYFUNCTION("""COMPUTED_VALUE"""),4.99)</f>
        <v>4.99</v>
      </c>
      <c r="AM919" s="14">
        <f>IFERROR(__xludf.DUMMYFUNCTION("""COMPUTED_VALUE"""),4.87)</f>
        <v>4.87</v>
      </c>
      <c r="AN919" s="14">
        <f>IFERROR(__xludf.DUMMYFUNCTION("""COMPUTED_VALUE"""),4.86)</f>
        <v>4.86</v>
      </c>
      <c r="AO919" s="14">
        <f>IFERROR(__xludf.DUMMYFUNCTION("""COMPUTED_VALUE"""),4.824)</f>
        <v>4.824</v>
      </c>
      <c r="AP919" s="14">
        <f>IFERROR(__xludf.DUMMYFUNCTION("""COMPUTED_VALUE"""),15.0)</f>
        <v>15</v>
      </c>
      <c r="AQ919" s="14">
        <f>IFERROR(__xludf.DUMMYFUNCTION("""COMPUTED_VALUE"""),20.0)</f>
        <v>20</v>
      </c>
      <c r="AR919" s="14">
        <f>IFERROR(__xludf.DUMMYFUNCTION("""COMPUTED_VALUE"""),8.0)</f>
        <v>8</v>
      </c>
      <c r="AS919" s="14">
        <f>IFERROR(__xludf.DUMMYFUNCTION("""COMPUTED_VALUE"""),1.0)</f>
        <v>1</v>
      </c>
      <c r="AT919" s="14">
        <f>IFERROR(__xludf.DUMMYFUNCTION("""COMPUTED_VALUE"""),0.18)</f>
        <v>0.18</v>
      </c>
      <c r="AU919" s="14">
        <f>IFERROR(__xludf.DUMMYFUNCTION("""COMPUTED_VALUE"""),195600.0)</f>
        <v>195600</v>
      </c>
      <c r="AV919" s="14">
        <f>IFERROR(__xludf.DUMMYFUNCTION("""COMPUTED_VALUE"""),0.19)</f>
        <v>0.19</v>
      </c>
      <c r="AW919" s="14">
        <f>IFERROR(__xludf.DUMMYFUNCTION("""COMPUTED_VALUE"""),2.2)</f>
        <v>2.2</v>
      </c>
      <c r="AX919" s="14">
        <f>IFERROR(__xludf.DUMMYFUNCTION("""COMPUTED_VALUE"""),178900.0)</f>
        <v>178900</v>
      </c>
      <c r="AY919" s="14">
        <f>IFERROR(__xludf.DUMMYFUNCTION("""COMPUTED_VALUE"""),2.1)</f>
        <v>2.1</v>
      </c>
      <c r="AZ919" s="14">
        <f>IFERROR(__xludf.DUMMYFUNCTION("""COMPUTED_VALUE"""),0.085)</f>
        <v>0.085</v>
      </c>
      <c r="BA919" s="14">
        <f t="shared" si="1"/>
        <v>4.385</v>
      </c>
    </row>
    <row r="920" ht="14.25" customHeight="1">
      <c r="A920" s="10" t="str">
        <f>IFERROR(__xludf.DUMMYFUNCTION("""COMPUTED_VALUE"""),"080923DU01")</f>
        <v>080923DU01</v>
      </c>
      <c r="B920" s="12" t="str">
        <f>IFERROR(__xludf.DUMMYFUNCTION("""COMPUTED_VALUE"""),"CRN-El Virrey")</f>
        <v>CRN-El Virrey</v>
      </c>
      <c r="C920" s="12"/>
      <c r="D920" s="12"/>
      <c r="E920" s="44">
        <f>IFERROR(__xludf.DUMMYFUNCTION("""COMPUTED_VALUE"""),45177.0)</f>
        <v>45177</v>
      </c>
      <c r="F920" s="12" t="str">
        <f>IFERROR(__xludf.DUMMYFUNCTION("""COMPUTED_VALUE"""),"TIPO I")</f>
        <v>TIPO I</v>
      </c>
      <c r="G920" s="12" t="str">
        <f>IFERROR(__xludf.DUMMYFUNCTION("""COMPUTED_VALUE"""),"Canal artificial en mampostería, se observa pastizales en las laderas del canal, durante el monitoreo no se percibe olor ni se observa color. 
Altitud: 2549 msnm. ")</f>
        <v>Canal artificial en mampostería, se observa pastizales en las laderas del canal, durante el monitoreo no se percibe olor ni se observa color. 
Altitud: 2549 msnm. </v>
      </c>
      <c r="H920" s="45">
        <f>IFERROR(__xludf.DUMMYFUNCTION("""COMPUTED_VALUE"""),0.25)</f>
        <v>0.25</v>
      </c>
      <c r="I920" s="45">
        <f>IFERROR(__xludf.DUMMYFUNCTION("""COMPUTED_VALUE"""),0.3333333333321207)</f>
        <v>0.3333333333</v>
      </c>
      <c r="J920" s="12">
        <f>IFERROR(__xludf.DUMMYFUNCTION("""COMPUTED_VALUE"""),1.8)</f>
        <v>1.8</v>
      </c>
      <c r="K920" s="12">
        <f>IFERROR(__xludf.DUMMYFUNCTION("""COMPUTED_VALUE"""),0.17)</f>
        <v>0.17</v>
      </c>
      <c r="L920" s="14">
        <f>IFERROR(__xludf.DUMMYFUNCTION("""COMPUTED_VALUE"""),105.963)</f>
        <v>105.963</v>
      </c>
      <c r="M920" s="14">
        <f>IFERROR(__xludf.DUMMYFUNCTION("""COMPUTED_VALUE"""),105.98)</f>
        <v>105.98</v>
      </c>
      <c r="N920" s="14">
        <f>IFERROR(__xludf.DUMMYFUNCTION("""COMPUTED_VALUE"""),106.415)</f>
        <v>106.415</v>
      </c>
      <c r="O920" s="14">
        <f>IFERROR(__xludf.DUMMYFUNCTION("""COMPUTED_VALUE"""),106.64)</f>
        <v>106.64</v>
      </c>
      <c r="P920" s="14">
        <f>IFERROR(__xludf.DUMMYFUNCTION("""COMPUTED_VALUE"""),105.051)</f>
        <v>105.051</v>
      </c>
      <c r="Q920" s="14">
        <f>IFERROR(__xludf.DUMMYFUNCTION("""COMPUTED_VALUE"""),106.01)</f>
        <v>106.01</v>
      </c>
      <c r="R920" s="48">
        <f>IFERROR(__xludf.DUMMYFUNCTION("""COMPUTED_VALUE"""),6.32)</f>
        <v>6.32</v>
      </c>
      <c r="S920" s="48">
        <f>IFERROR(__xludf.DUMMYFUNCTION("""COMPUTED_VALUE"""),7.75)</f>
        <v>7.75</v>
      </c>
      <c r="T920" s="48">
        <f>IFERROR(__xludf.DUMMYFUNCTION("""COMPUTED_VALUE"""),7.79)</f>
        <v>7.79</v>
      </c>
      <c r="U920" s="48">
        <f>IFERROR(__xludf.DUMMYFUNCTION("""COMPUTED_VALUE"""),7.81)</f>
        <v>7.81</v>
      </c>
      <c r="V920" s="48">
        <f>IFERROR(__xludf.DUMMYFUNCTION("""COMPUTED_VALUE"""),7.87)</f>
        <v>7.87</v>
      </c>
      <c r="W920" s="14">
        <f>IFERROR(__xludf.DUMMYFUNCTION("""COMPUTED_VALUE"""),7.508)</f>
        <v>7.508</v>
      </c>
      <c r="X920" s="14">
        <f>IFERROR(__xludf.DUMMYFUNCTION("""COMPUTED_VALUE"""),15.2)</f>
        <v>15.2</v>
      </c>
      <c r="Y920" s="14">
        <f>IFERROR(__xludf.DUMMYFUNCTION("""COMPUTED_VALUE"""),15.8)</f>
        <v>15.8</v>
      </c>
      <c r="Z920" s="14">
        <f>IFERROR(__xludf.DUMMYFUNCTION("""COMPUTED_VALUE"""),15.3)</f>
        <v>15.3</v>
      </c>
      <c r="AA920" s="14">
        <f>IFERROR(__xludf.DUMMYFUNCTION("""COMPUTED_VALUE"""),15.7)</f>
        <v>15.7</v>
      </c>
      <c r="AB920" s="14">
        <f>IFERROR(__xludf.DUMMYFUNCTION("""COMPUTED_VALUE"""),15.3)</f>
        <v>15.3</v>
      </c>
      <c r="AC920" s="14">
        <f>IFERROR(__xludf.DUMMYFUNCTION("""COMPUTED_VALUE"""),15.459999999999999)</f>
        <v>15.46</v>
      </c>
      <c r="AD920" s="48">
        <f>IFERROR(__xludf.DUMMYFUNCTION("""COMPUTED_VALUE"""),206.0)</f>
        <v>206</v>
      </c>
      <c r="AE920" s="48">
        <f>IFERROR(__xludf.DUMMYFUNCTION("""COMPUTED_VALUE"""),286.0)</f>
        <v>286</v>
      </c>
      <c r="AF920" s="48">
        <f>IFERROR(__xludf.DUMMYFUNCTION("""COMPUTED_VALUE"""),288.0)</f>
        <v>288</v>
      </c>
      <c r="AG920" s="48">
        <f>IFERROR(__xludf.DUMMYFUNCTION("""COMPUTED_VALUE"""),287.0)</f>
        <v>287</v>
      </c>
      <c r="AH920" s="48">
        <f>IFERROR(__xludf.DUMMYFUNCTION("""COMPUTED_VALUE"""),288.0)</f>
        <v>288</v>
      </c>
      <c r="AI920" s="14">
        <f>IFERROR(__xludf.DUMMYFUNCTION("""COMPUTED_VALUE"""),271.0)</f>
        <v>271</v>
      </c>
      <c r="AJ920" s="14">
        <f>IFERROR(__xludf.DUMMYFUNCTION("""COMPUTED_VALUE"""),1.09)</f>
        <v>1.09</v>
      </c>
      <c r="AK920" s="14">
        <f>IFERROR(__xludf.DUMMYFUNCTION("""COMPUTED_VALUE"""),1.46)</f>
        <v>1.46</v>
      </c>
      <c r="AL920" s="14">
        <f>IFERROR(__xludf.DUMMYFUNCTION("""COMPUTED_VALUE"""),0.98)</f>
        <v>0.98</v>
      </c>
      <c r="AM920" s="14">
        <f>IFERROR(__xludf.DUMMYFUNCTION("""COMPUTED_VALUE"""),1.17)</f>
        <v>1.17</v>
      </c>
      <c r="AN920" s="14">
        <f>IFERROR(__xludf.DUMMYFUNCTION("""COMPUTED_VALUE"""),0.94)</f>
        <v>0.94</v>
      </c>
      <c r="AO920" s="14">
        <f>IFERROR(__xludf.DUMMYFUNCTION("""COMPUTED_VALUE"""),1.1279999999999997)</f>
        <v>1.128</v>
      </c>
      <c r="AP920" s="14">
        <f>IFERROR(__xludf.DUMMYFUNCTION("""COMPUTED_VALUE"""),83.0)</f>
        <v>83</v>
      </c>
      <c r="AQ920" s="14">
        <f>IFERROR(__xludf.DUMMYFUNCTION("""COMPUTED_VALUE"""),110.0)</f>
        <v>110</v>
      </c>
      <c r="AR920" s="14">
        <f>IFERROR(__xludf.DUMMYFUNCTION("""COMPUTED_VALUE"""),40.0)</f>
        <v>40</v>
      </c>
      <c r="AS920" s="14">
        <f>IFERROR(__xludf.DUMMYFUNCTION("""COMPUTED_VALUE"""),4.3)</f>
        <v>4.3</v>
      </c>
      <c r="AT920" s="14">
        <f>IFERROR(__xludf.DUMMYFUNCTION("""COMPUTED_VALUE"""),0.89)</f>
        <v>0.89</v>
      </c>
      <c r="AU920" s="14">
        <f>IFERROR(__xludf.DUMMYFUNCTION("""COMPUTED_VALUE"""),1.401E7)</f>
        <v>14010000</v>
      </c>
      <c r="AV920" s="14">
        <f>IFERROR(__xludf.DUMMYFUNCTION("""COMPUTED_VALUE"""),1.63)</f>
        <v>1.63</v>
      </c>
      <c r="AW920" s="14">
        <f>IFERROR(__xludf.DUMMYFUNCTION("""COMPUTED_VALUE"""),14.0)</f>
        <v>14</v>
      </c>
      <c r="AX920" s="14">
        <f>IFERROR(__xludf.DUMMYFUNCTION("""COMPUTED_VALUE"""),7490000.0)</f>
        <v>7490000</v>
      </c>
      <c r="AY920" s="14">
        <f>IFERROR(__xludf.DUMMYFUNCTION("""COMPUTED_VALUE"""),0.8)</f>
        <v>0.8</v>
      </c>
      <c r="AZ920" s="14">
        <f>IFERROR(__xludf.DUMMYFUNCTION("""COMPUTED_VALUE"""),0.007)</f>
        <v>0.007</v>
      </c>
      <c r="BA920" s="14">
        <f t="shared" si="1"/>
        <v>14.807</v>
      </c>
    </row>
    <row r="921" ht="14.25" customHeight="1">
      <c r="A921" s="10" t="str">
        <f>IFERROR(__xludf.DUMMYFUNCTION("""COMPUTED_VALUE"""),"130923FM02")</f>
        <v>130923FM02</v>
      </c>
      <c r="B921" s="12" t="str">
        <f>IFERROR(__xludf.DUMMYFUNCTION("""COMPUTED_VALUE"""),"CON-Country")</f>
        <v>CON-Country</v>
      </c>
      <c r="C921" s="12"/>
      <c r="D921" s="12"/>
      <c r="E921" s="44">
        <f>IFERROR(__xludf.DUMMYFUNCTION("""COMPUTED_VALUE"""),45182.0)</f>
        <v>45182</v>
      </c>
      <c r="F921" s="12" t="str">
        <f>IFERROR(__xludf.DUMMYFUNCTION("""COMPUTED_VALUE"""),"TIPO I")</f>
        <v>TIPO I</v>
      </c>
      <c r="G921" s="12" t="str">
        <f>IFERROR(__xludf.DUMMYFUNCTION("""COMPUTED_VALUE"""),"Canal artificial en concreto con estructura trapezoidal, no se percibe olor y no se observa color en el cuerpo de agua, se observa lama en la base del canal y material flotante en el cauce. Altitud 2570 msnm. ")</f>
        <v>Canal artificial en concreto con estructura trapezoidal, no se percibe olor y no se observa color en el cuerpo de agua, se observa lama en la base del canal y material flotante en el cauce. Altitud 2570 msnm. </v>
      </c>
      <c r="H921" s="45">
        <f>IFERROR(__xludf.DUMMYFUNCTION("""COMPUTED_VALUE"""),0.4166666666678793)</f>
        <v>0.4166666667</v>
      </c>
      <c r="I921" s="45">
        <f>IFERROR(__xludf.DUMMYFUNCTION("""COMPUTED_VALUE"""),0.5)</f>
        <v>0.5</v>
      </c>
      <c r="J921" s="12">
        <f>IFERROR(__xludf.DUMMYFUNCTION("""COMPUTED_VALUE"""),0.95)</f>
        <v>0.95</v>
      </c>
      <c r="K921" s="12">
        <f>IFERROR(__xludf.DUMMYFUNCTION("""COMPUTED_VALUE"""),0.16)</f>
        <v>0.16</v>
      </c>
      <c r="L921" s="14">
        <f>IFERROR(__xludf.DUMMYFUNCTION("""COMPUTED_VALUE"""),15.35)</f>
        <v>15.35</v>
      </c>
      <c r="M921" s="14">
        <f>IFERROR(__xludf.DUMMYFUNCTION("""COMPUTED_VALUE"""),13.92)</f>
        <v>13.92</v>
      </c>
      <c r="N921" s="14">
        <f>IFERROR(__xludf.DUMMYFUNCTION("""COMPUTED_VALUE"""),14.488)</f>
        <v>14.488</v>
      </c>
      <c r="O921" s="14">
        <f>IFERROR(__xludf.DUMMYFUNCTION("""COMPUTED_VALUE"""),15.41)</f>
        <v>15.41</v>
      </c>
      <c r="P921" s="14">
        <f>IFERROR(__xludf.DUMMYFUNCTION("""COMPUTED_VALUE"""),16.043)</f>
        <v>16.043</v>
      </c>
      <c r="Q921" s="14">
        <f>IFERROR(__xludf.DUMMYFUNCTION("""COMPUTED_VALUE"""),15.042)</f>
        <v>15.042</v>
      </c>
      <c r="R921" s="48">
        <f>IFERROR(__xludf.DUMMYFUNCTION("""COMPUTED_VALUE"""),8.82)</f>
        <v>8.82</v>
      </c>
      <c r="S921" s="48">
        <f>IFERROR(__xludf.DUMMYFUNCTION("""COMPUTED_VALUE"""),8.71)</f>
        <v>8.71</v>
      </c>
      <c r="T921" s="48">
        <f>IFERROR(__xludf.DUMMYFUNCTION("""COMPUTED_VALUE"""),8.86)</f>
        <v>8.86</v>
      </c>
      <c r="U921" s="48">
        <f>IFERROR(__xludf.DUMMYFUNCTION("""COMPUTED_VALUE"""),8.62)</f>
        <v>8.62</v>
      </c>
      <c r="V921" s="48">
        <f>IFERROR(__xludf.DUMMYFUNCTION("""COMPUTED_VALUE"""),8.13)</f>
        <v>8.13</v>
      </c>
      <c r="W921" s="14">
        <f>IFERROR(__xludf.DUMMYFUNCTION("""COMPUTED_VALUE"""),8.628)</f>
        <v>8.628</v>
      </c>
      <c r="X921" s="14">
        <f>IFERROR(__xludf.DUMMYFUNCTION("""COMPUTED_VALUE"""),24.2)</f>
        <v>24.2</v>
      </c>
      <c r="Y921" s="14">
        <f>IFERROR(__xludf.DUMMYFUNCTION("""COMPUTED_VALUE"""),23.6)</f>
        <v>23.6</v>
      </c>
      <c r="Z921" s="14">
        <f>IFERROR(__xludf.DUMMYFUNCTION("""COMPUTED_VALUE"""),23.7)</f>
        <v>23.7</v>
      </c>
      <c r="AA921" s="14">
        <f>IFERROR(__xludf.DUMMYFUNCTION("""COMPUTED_VALUE"""),23.4)</f>
        <v>23.4</v>
      </c>
      <c r="AB921" s="14">
        <f>IFERROR(__xludf.DUMMYFUNCTION("""COMPUTED_VALUE"""),24.4)</f>
        <v>24.4</v>
      </c>
      <c r="AC921" s="14">
        <f>IFERROR(__xludf.DUMMYFUNCTION("""COMPUTED_VALUE"""),23.860000000000003)</f>
        <v>23.86</v>
      </c>
      <c r="AD921" s="48">
        <f>IFERROR(__xludf.DUMMYFUNCTION("""COMPUTED_VALUE"""),356.0)</f>
        <v>356</v>
      </c>
      <c r="AE921" s="48">
        <f>IFERROR(__xludf.DUMMYFUNCTION("""COMPUTED_VALUE"""),343.0)</f>
        <v>343</v>
      </c>
      <c r="AF921" s="48">
        <f>IFERROR(__xludf.DUMMYFUNCTION("""COMPUTED_VALUE"""),331.0)</f>
        <v>331</v>
      </c>
      <c r="AG921" s="48">
        <f>IFERROR(__xludf.DUMMYFUNCTION("""COMPUTED_VALUE"""),258.0)</f>
        <v>258</v>
      </c>
      <c r="AH921" s="48">
        <f>IFERROR(__xludf.DUMMYFUNCTION("""COMPUTED_VALUE"""),325.0)</f>
        <v>325</v>
      </c>
      <c r="AI921" s="14">
        <f>IFERROR(__xludf.DUMMYFUNCTION("""COMPUTED_VALUE"""),322.6)</f>
        <v>322.6</v>
      </c>
      <c r="AJ921" s="14">
        <f>IFERROR(__xludf.DUMMYFUNCTION("""COMPUTED_VALUE"""),3.15)</f>
        <v>3.15</v>
      </c>
      <c r="AK921" s="14">
        <f>IFERROR(__xludf.DUMMYFUNCTION("""COMPUTED_VALUE"""),3.28)</f>
        <v>3.28</v>
      </c>
      <c r="AL921" s="14">
        <f>IFERROR(__xludf.DUMMYFUNCTION("""COMPUTED_VALUE"""),3.08)</f>
        <v>3.08</v>
      </c>
      <c r="AM921" s="14">
        <f>IFERROR(__xludf.DUMMYFUNCTION("""COMPUTED_VALUE"""),3.34)</f>
        <v>3.34</v>
      </c>
      <c r="AN921" s="14">
        <f>IFERROR(__xludf.DUMMYFUNCTION("""COMPUTED_VALUE"""),3.44)</f>
        <v>3.44</v>
      </c>
      <c r="AO921" s="14">
        <f>IFERROR(__xludf.DUMMYFUNCTION("""COMPUTED_VALUE"""),3.258)</f>
        <v>3.258</v>
      </c>
      <c r="AP921" s="14">
        <f>IFERROR(__xludf.DUMMYFUNCTION("""COMPUTED_VALUE"""),34.0)</f>
        <v>34</v>
      </c>
      <c r="AQ921" s="14">
        <f>IFERROR(__xludf.DUMMYFUNCTION("""COMPUTED_VALUE"""),50.0)</f>
        <v>50</v>
      </c>
      <c r="AR921" s="14">
        <f>IFERROR(__xludf.DUMMYFUNCTION("""COMPUTED_VALUE"""),11.0)</f>
        <v>11</v>
      </c>
      <c r="AS921" s="14">
        <f>IFERROR(__xludf.DUMMYFUNCTION("""COMPUTED_VALUE"""),1.0)</f>
        <v>1</v>
      </c>
      <c r="AT921" s="14">
        <f>IFERROR(__xludf.DUMMYFUNCTION("""COMPUTED_VALUE"""),0.46)</f>
        <v>0.46</v>
      </c>
      <c r="AU921" s="14">
        <f>IFERROR(__xludf.DUMMYFUNCTION("""COMPUTED_VALUE"""),1.223E7)</f>
        <v>12230000</v>
      </c>
      <c r="AV921" s="14">
        <f>IFERROR(__xludf.DUMMYFUNCTION("""COMPUTED_VALUE"""),0.53)</f>
        <v>0.53</v>
      </c>
      <c r="AW921" s="14">
        <f>IFERROR(__xludf.DUMMYFUNCTION("""COMPUTED_VALUE"""),4.8)</f>
        <v>4.8</v>
      </c>
      <c r="AX921" s="14">
        <f>IFERROR(__xludf.DUMMYFUNCTION("""COMPUTED_VALUE"""),798000.0)</f>
        <v>798000</v>
      </c>
      <c r="AY921" s="14">
        <f>IFERROR(__xludf.DUMMYFUNCTION("""COMPUTED_VALUE"""),1.0)</f>
        <v>1</v>
      </c>
      <c r="AZ921" s="14">
        <f>IFERROR(__xludf.DUMMYFUNCTION("""COMPUTED_VALUE"""),0.136)</f>
        <v>0.136</v>
      </c>
      <c r="BA921" s="14">
        <f t="shared" si="1"/>
        <v>5.936</v>
      </c>
    </row>
    <row r="922" ht="14.25" customHeight="1">
      <c r="A922" s="10" t="str">
        <f>IFERROR(__xludf.DUMMYFUNCTION("""COMPUTED_VALUE"""),"140923DU01")</f>
        <v>140923DU01</v>
      </c>
      <c r="B922" s="12" t="str">
        <f>IFERROR(__xludf.DUMMYFUNCTION("""COMPUTED_VALUE"""),"COR-Victoria Norte")</f>
        <v>COR-Victoria Norte</v>
      </c>
      <c r="C922" s="12"/>
      <c r="D922" s="12"/>
      <c r="E922" s="44">
        <f>IFERROR(__xludf.DUMMYFUNCTION("""COMPUTED_VALUE"""),45183.0)</f>
        <v>45183</v>
      </c>
      <c r="F922" s="12" t="str">
        <f>IFERROR(__xludf.DUMMYFUNCTION("""COMPUTED_VALUE"""),"TIPO I")</f>
        <v>TIPO I</v>
      </c>
      <c r="G922" s="12" t="str">
        <f>IFERROR(__xludf.DUMMYFUNCTION("""COMPUTED_VALUE"""),"Canal trapezoidal en concreto; se percibe olor, se observa color, material flotante, residuos sólidos y lama en el lecho del canal. Altitud 2567 msnm.")</f>
        <v>Canal trapezoidal en concreto; se percibe olor, se observa color, material flotante, residuos sólidos y lama en el lecho del canal. Altitud 2567 msnm.</v>
      </c>
      <c r="H922" s="45">
        <f>IFERROR(__xludf.DUMMYFUNCTION("""COMPUTED_VALUE"""),0.3333333333321207)</f>
        <v>0.3333333333</v>
      </c>
      <c r="I922" s="45">
        <f>IFERROR(__xludf.DUMMYFUNCTION("""COMPUTED_VALUE"""),0.4166666666678793)</f>
        <v>0.4166666667</v>
      </c>
      <c r="J922" s="12">
        <f>IFERROR(__xludf.DUMMYFUNCTION("""COMPUTED_VALUE"""),3.8)</f>
        <v>3.8</v>
      </c>
      <c r="K922" s="12">
        <f>IFERROR(__xludf.DUMMYFUNCTION("""COMPUTED_VALUE"""),0.1)</f>
        <v>0.1</v>
      </c>
      <c r="L922" s="14">
        <f>IFERROR(__xludf.DUMMYFUNCTION("""COMPUTED_VALUE"""),69.109)</f>
        <v>69.109</v>
      </c>
      <c r="M922" s="14">
        <f>IFERROR(__xludf.DUMMYFUNCTION("""COMPUTED_VALUE"""),71.047)</f>
        <v>71.047</v>
      </c>
      <c r="N922" s="14">
        <f>IFERROR(__xludf.DUMMYFUNCTION("""COMPUTED_VALUE"""),74.016)</f>
        <v>74.016</v>
      </c>
      <c r="O922" s="14">
        <f>IFERROR(__xludf.DUMMYFUNCTION("""COMPUTED_VALUE"""),74.68)</f>
        <v>74.68</v>
      </c>
      <c r="P922" s="14">
        <f>IFERROR(__xludf.DUMMYFUNCTION("""COMPUTED_VALUE"""),76.492)</f>
        <v>76.492</v>
      </c>
      <c r="Q922" s="14">
        <f>IFERROR(__xludf.DUMMYFUNCTION("""COMPUTED_VALUE"""),73.069)</f>
        <v>73.069</v>
      </c>
      <c r="R922" s="48">
        <f>IFERROR(__xludf.DUMMYFUNCTION("""COMPUTED_VALUE"""),8.04)</f>
        <v>8.04</v>
      </c>
      <c r="S922" s="48">
        <f>IFERROR(__xludf.DUMMYFUNCTION("""COMPUTED_VALUE"""),7.97)</f>
        <v>7.97</v>
      </c>
      <c r="T922" s="48">
        <f>IFERROR(__xludf.DUMMYFUNCTION("""COMPUTED_VALUE"""),8.05)</f>
        <v>8.05</v>
      </c>
      <c r="U922" s="48">
        <f>IFERROR(__xludf.DUMMYFUNCTION("""COMPUTED_VALUE"""),7.97)</f>
        <v>7.97</v>
      </c>
      <c r="V922" s="48">
        <f>IFERROR(__xludf.DUMMYFUNCTION("""COMPUTED_VALUE"""),7.82)</f>
        <v>7.82</v>
      </c>
      <c r="W922" s="14">
        <f>IFERROR(__xludf.DUMMYFUNCTION("""COMPUTED_VALUE"""),7.970000000000001)</f>
        <v>7.97</v>
      </c>
      <c r="X922" s="14">
        <f>IFERROR(__xludf.DUMMYFUNCTION("""COMPUTED_VALUE"""),19.1)</f>
        <v>19.1</v>
      </c>
      <c r="Y922" s="14">
        <f>IFERROR(__xludf.DUMMYFUNCTION("""COMPUTED_VALUE"""),19.6)</f>
        <v>19.6</v>
      </c>
      <c r="Z922" s="14">
        <f>IFERROR(__xludf.DUMMYFUNCTION("""COMPUTED_VALUE"""),19.1)</f>
        <v>19.1</v>
      </c>
      <c r="AA922" s="14">
        <f>IFERROR(__xludf.DUMMYFUNCTION("""COMPUTED_VALUE"""),18.7)</f>
        <v>18.7</v>
      </c>
      <c r="AB922" s="14">
        <f>IFERROR(__xludf.DUMMYFUNCTION("""COMPUTED_VALUE"""),19.2)</f>
        <v>19.2</v>
      </c>
      <c r="AC922" s="14">
        <f>IFERROR(__xludf.DUMMYFUNCTION("""COMPUTED_VALUE"""),19.14)</f>
        <v>19.14</v>
      </c>
      <c r="AD922" s="48">
        <f>IFERROR(__xludf.DUMMYFUNCTION("""COMPUTED_VALUE"""),577.0)</f>
        <v>577</v>
      </c>
      <c r="AE922" s="48">
        <f>IFERROR(__xludf.DUMMYFUNCTION("""COMPUTED_VALUE"""),562.0)</f>
        <v>562</v>
      </c>
      <c r="AF922" s="48">
        <f>IFERROR(__xludf.DUMMYFUNCTION("""COMPUTED_VALUE"""),548.0)</f>
        <v>548</v>
      </c>
      <c r="AG922" s="48">
        <f>IFERROR(__xludf.DUMMYFUNCTION("""COMPUTED_VALUE"""),545.0)</f>
        <v>545</v>
      </c>
      <c r="AH922" s="48">
        <f>IFERROR(__xludf.DUMMYFUNCTION("""COMPUTED_VALUE"""),540.0)</f>
        <v>540</v>
      </c>
      <c r="AI922" s="14">
        <f>IFERROR(__xludf.DUMMYFUNCTION("""COMPUTED_VALUE"""),554.4)</f>
        <v>554.4</v>
      </c>
      <c r="AJ922" s="14">
        <f>IFERROR(__xludf.DUMMYFUNCTION("""COMPUTED_VALUE"""),1.09)</f>
        <v>1.09</v>
      </c>
      <c r="AK922" s="14">
        <f>IFERROR(__xludf.DUMMYFUNCTION("""COMPUTED_VALUE"""),1.19)</f>
        <v>1.19</v>
      </c>
      <c r="AL922" s="14">
        <f>IFERROR(__xludf.DUMMYFUNCTION("""COMPUTED_VALUE"""),1.12)</f>
        <v>1.12</v>
      </c>
      <c r="AM922" s="14">
        <f>IFERROR(__xludf.DUMMYFUNCTION("""COMPUTED_VALUE"""),1.26)</f>
        <v>1.26</v>
      </c>
      <c r="AN922" s="14">
        <f>IFERROR(__xludf.DUMMYFUNCTION("""COMPUTED_VALUE"""),1.15)</f>
        <v>1.15</v>
      </c>
      <c r="AO922" s="14">
        <f>IFERROR(__xludf.DUMMYFUNCTION("""COMPUTED_VALUE"""),1.1620000000000001)</f>
        <v>1.162</v>
      </c>
      <c r="AP922" s="14">
        <f>IFERROR(__xludf.DUMMYFUNCTION("""COMPUTED_VALUE"""),36.0)</f>
        <v>36</v>
      </c>
      <c r="AQ922" s="14">
        <f>IFERROR(__xludf.DUMMYFUNCTION("""COMPUTED_VALUE"""),58.0)</f>
        <v>58</v>
      </c>
      <c r="AR922" s="14">
        <f>IFERROR(__xludf.DUMMYFUNCTION("""COMPUTED_VALUE"""),20.0)</f>
        <v>20</v>
      </c>
      <c r="AS922" s="14">
        <f>IFERROR(__xludf.DUMMYFUNCTION("""COMPUTED_VALUE"""),1.0)</f>
        <v>1</v>
      </c>
      <c r="AT922" s="14">
        <f>IFERROR(__xludf.DUMMYFUNCTION("""COMPUTED_VALUE"""),1.5)</f>
        <v>1.5</v>
      </c>
      <c r="AU922" s="14">
        <f>IFERROR(__xludf.DUMMYFUNCTION("""COMPUTED_VALUE"""),1.333E7)</f>
        <v>13330000</v>
      </c>
      <c r="AV922" s="14">
        <f>IFERROR(__xludf.DUMMYFUNCTION("""COMPUTED_VALUE"""),1.09)</f>
        <v>1.09</v>
      </c>
      <c r="AW922" s="14">
        <f>IFERROR(__xludf.DUMMYFUNCTION("""COMPUTED_VALUE"""),13.7)</f>
        <v>13.7</v>
      </c>
      <c r="AX922" s="14">
        <f>IFERROR(__xludf.DUMMYFUNCTION("""COMPUTED_VALUE"""),1296000.0)</f>
        <v>1296000</v>
      </c>
      <c r="AY922" s="14">
        <f>IFERROR(__xludf.DUMMYFUNCTION("""COMPUTED_VALUE"""),0.7)</f>
        <v>0.7</v>
      </c>
      <c r="AZ922" s="14">
        <f>IFERROR(__xludf.DUMMYFUNCTION("""COMPUTED_VALUE"""),0.007)</f>
        <v>0.007</v>
      </c>
      <c r="BA922" s="14">
        <f t="shared" si="1"/>
        <v>14.407</v>
      </c>
    </row>
    <row r="923" ht="14.25" customHeight="1">
      <c r="A923" s="10" t="str">
        <f>IFERROR(__xludf.DUMMYFUNCTION("""COMPUTED_VALUE"""),"130923FM01")</f>
        <v>130923FM01</v>
      </c>
      <c r="B923" s="12" t="str">
        <f>IFERROR(__xludf.DUMMYFUNCTION("""COMPUTED_VALUE"""),"CON-Bella Suiza")</f>
        <v>CON-Bella Suiza</v>
      </c>
      <c r="C923" s="12"/>
      <c r="D923" s="12"/>
      <c r="E923" s="44">
        <f>IFERROR(__xludf.DUMMYFUNCTION("""COMPUTED_VALUE"""),45182.0)</f>
        <v>45182</v>
      </c>
      <c r="F923" s="12" t="str">
        <f>IFERROR(__xludf.DUMMYFUNCTION("""COMPUTED_VALUE"""),"TIPO I")</f>
        <v>TIPO I</v>
      </c>
      <c r="G923" s="12" t="str">
        <f>IFERROR(__xludf.DUMMYFUNCTION("""COMPUTED_VALUE"""),"Canal artificial trapezoidal en concreto, en la muestra no se observa color y no se percibe olor, en la ronda del cuerpo de agua se observan residuos solidos, el tirante de agua midió 0.60m y el canal 1.20m de ancho por lo que se dividió en 12 secciones d"&amp;"e 0.05m, se observa lama en el lecho.")</f>
        <v>Canal artificial trapezoidal en concreto, en la muestra no se observa color y no se percibe olor, en la ronda del cuerpo de agua se observan residuos solidos, el tirante de agua midió 0.60m y el canal 1.20m de ancho por lo que se dividió en 12 secciones de 0.05m, se observa lama en el lecho.</v>
      </c>
      <c r="H923" s="45">
        <f>IFERROR(__xludf.DUMMYFUNCTION("""COMPUTED_VALUE"""),0.25)</f>
        <v>0.25</v>
      </c>
      <c r="I923" s="45">
        <f>IFERROR(__xludf.DUMMYFUNCTION("""COMPUTED_VALUE"""),0.3333333333321207)</f>
        <v>0.3333333333</v>
      </c>
      <c r="J923" s="12">
        <f>IFERROR(__xludf.DUMMYFUNCTION("""COMPUTED_VALUE"""),0.6)</f>
        <v>0.6</v>
      </c>
      <c r="K923" s="12">
        <f>IFERROR(__xludf.DUMMYFUNCTION("""COMPUTED_VALUE"""),0.05)</f>
        <v>0.05</v>
      </c>
      <c r="L923" s="14">
        <f>IFERROR(__xludf.DUMMYFUNCTION("""COMPUTED_VALUE"""),10.572)</f>
        <v>10.572</v>
      </c>
      <c r="M923" s="14">
        <f>IFERROR(__xludf.DUMMYFUNCTION("""COMPUTED_VALUE"""),10.992)</f>
        <v>10.992</v>
      </c>
      <c r="N923" s="14">
        <f>IFERROR(__xludf.DUMMYFUNCTION("""COMPUTED_VALUE"""),11.497)</f>
        <v>11.497</v>
      </c>
      <c r="O923" s="14">
        <f>IFERROR(__xludf.DUMMYFUNCTION("""COMPUTED_VALUE"""),11.926)</f>
        <v>11.926</v>
      </c>
      <c r="P923" s="14">
        <f>IFERROR(__xludf.DUMMYFUNCTION("""COMPUTED_VALUE"""),12.452)</f>
        <v>12.452</v>
      </c>
      <c r="Q923" s="14">
        <f>IFERROR(__xludf.DUMMYFUNCTION("""COMPUTED_VALUE"""),11.488)</f>
        <v>11.488</v>
      </c>
      <c r="R923" s="48">
        <f>IFERROR(__xludf.DUMMYFUNCTION("""COMPUTED_VALUE"""),7.49)</f>
        <v>7.49</v>
      </c>
      <c r="S923" s="48">
        <f>IFERROR(__xludf.DUMMYFUNCTION("""COMPUTED_VALUE"""),7.25)</f>
        <v>7.25</v>
      </c>
      <c r="T923" s="48">
        <f>IFERROR(__xludf.DUMMYFUNCTION("""COMPUTED_VALUE"""),7.32)</f>
        <v>7.32</v>
      </c>
      <c r="U923" s="48">
        <f>IFERROR(__xludf.DUMMYFUNCTION("""COMPUTED_VALUE"""),6.99)</f>
        <v>6.99</v>
      </c>
      <c r="V923" s="48">
        <f>IFERROR(__xludf.DUMMYFUNCTION("""COMPUTED_VALUE"""),7.27)</f>
        <v>7.27</v>
      </c>
      <c r="W923" s="14">
        <f>IFERROR(__xludf.DUMMYFUNCTION("""COMPUTED_VALUE"""),7.264000000000001)</f>
        <v>7.264</v>
      </c>
      <c r="X923" s="14">
        <f>IFERROR(__xludf.DUMMYFUNCTION("""COMPUTED_VALUE"""),18.2)</f>
        <v>18.2</v>
      </c>
      <c r="Y923" s="14">
        <f>IFERROR(__xludf.DUMMYFUNCTION("""COMPUTED_VALUE"""),17.0)</f>
        <v>17</v>
      </c>
      <c r="Z923" s="14">
        <f>IFERROR(__xludf.DUMMYFUNCTION("""COMPUTED_VALUE"""),18.4)</f>
        <v>18.4</v>
      </c>
      <c r="AA923" s="14">
        <f>IFERROR(__xludf.DUMMYFUNCTION("""COMPUTED_VALUE"""),17.3)</f>
        <v>17.3</v>
      </c>
      <c r="AB923" s="14">
        <f>IFERROR(__xludf.DUMMYFUNCTION("""COMPUTED_VALUE"""),17.8)</f>
        <v>17.8</v>
      </c>
      <c r="AC923" s="14">
        <f>IFERROR(__xludf.DUMMYFUNCTION("""COMPUTED_VALUE"""),17.740000000000002)</f>
        <v>17.74</v>
      </c>
      <c r="AD923" s="48">
        <f>IFERROR(__xludf.DUMMYFUNCTION("""COMPUTED_VALUE"""),680.0)</f>
        <v>680</v>
      </c>
      <c r="AE923" s="48">
        <f>IFERROR(__xludf.DUMMYFUNCTION("""COMPUTED_VALUE"""),367.0)</f>
        <v>367</v>
      </c>
      <c r="AF923" s="48">
        <f>IFERROR(__xludf.DUMMYFUNCTION("""COMPUTED_VALUE"""),341.0)</f>
        <v>341</v>
      </c>
      <c r="AG923" s="48">
        <f>IFERROR(__xludf.DUMMYFUNCTION("""COMPUTED_VALUE"""),648.0)</f>
        <v>648</v>
      </c>
      <c r="AH923" s="48">
        <f>IFERROR(__xludf.DUMMYFUNCTION("""COMPUTED_VALUE"""),328.0)</f>
        <v>328</v>
      </c>
      <c r="AI923" s="14">
        <f>IFERROR(__xludf.DUMMYFUNCTION("""COMPUTED_VALUE"""),472.8)</f>
        <v>472.8</v>
      </c>
      <c r="AJ923" s="14">
        <f>IFERROR(__xludf.DUMMYFUNCTION("""COMPUTED_VALUE"""),3.58)</f>
        <v>3.58</v>
      </c>
      <c r="AK923" s="14">
        <f>IFERROR(__xludf.DUMMYFUNCTION("""COMPUTED_VALUE"""),2.75)</f>
        <v>2.75</v>
      </c>
      <c r="AL923" s="14">
        <f>IFERROR(__xludf.DUMMYFUNCTION("""COMPUTED_VALUE"""),2.35)</f>
        <v>2.35</v>
      </c>
      <c r="AM923" s="14">
        <f>IFERROR(__xludf.DUMMYFUNCTION("""COMPUTED_VALUE"""),2.17)</f>
        <v>2.17</v>
      </c>
      <c r="AN923" s="14">
        <f>IFERROR(__xludf.DUMMYFUNCTION("""COMPUTED_VALUE"""),2.38)</f>
        <v>2.38</v>
      </c>
      <c r="AO923" s="14">
        <f>IFERROR(__xludf.DUMMYFUNCTION("""COMPUTED_VALUE"""),2.646)</f>
        <v>2.646</v>
      </c>
      <c r="AP923" s="14">
        <f>IFERROR(__xludf.DUMMYFUNCTION("""COMPUTED_VALUE"""),22.0)</f>
        <v>22</v>
      </c>
      <c r="AQ923" s="14">
        <f>IFERROR(__xludf.DUMMYFUNCTION("""COMPUTED_VALUE"""),32.0)</f>
        <v>32</v>
      </c>
      <c r="AR923" s="14">
        <f>IFERROR(__xludf.DUMMYFUNCTION("""COMPUTED_VALUE"""),16.0)</f>
        <v>16</v>
      </c>
      <c r="AS923" s="14">
        <f>IFERROR(__xludf.DUMMYFUNCTION("""COMPUTED_VALUE"""),1.0)</f>
        <v>1</v>
      </c>
      <c r="AT923" s="14">
        <f>IFERROR(__xludf.DUMMYFUNCTION("""COMPUTED_VALUE"""),0.4)</f>
        <v>0.4</v>
      </c>
      <c r="AU923" s="14">
        <f>IFERROR(__xludf.DUMMYFUNCTION("""COMPUTED_VALUE"""),1.439E8)</f>
        <v>143900000</v>
      </c>
      <c r="AV923" s="14">
        <f>IFERROR(__xludf.DUMMYFUNCTION("""COMPUTED_VALUE"""),0.86)</f>
        <v>0.86</v>
      </c>
      <c r="AW923" s="14">
        <f>IFERROR(__xludf.DUMMYFUNCTION("""COMPUTED_VALUE"""),10.9)</f>
        <v>10.9</v>
      </c>
      <c r="AX923" s="14">
        <f>IFERROR(__xludf.DUMMYFUNCTION("""COMPUTED_VALUE"""),9590000.0)</f>
        <v>9590000</v>
      </c>
      <c r="AY923" s="14">
        <f>IFERROR(__xludf.DUMMYFUNCTION("""COMPUTED_VALUE"""),1.0)</f>
        <v>1</v>
      </c>
      <c r="AZ923" s="14">
        <f>IFERROR(__xludf.DUMMYFUNCTION("""COMPUTED_VALUE"""),0.102)</f>
        <v>0.102</v>
      </c>
      <c r="BA923" s="14">
        <f t="shared" si="1"/>
        <v>12.002</v>
      </c>
    </row>
    <row r="924" ht="14.25" customHeight="1">
      <c r="A924" s="10" t="str">
        <f>IFERROR(__xludf.DUMMYFUNCTION("""COMPUTED_VALUE"""),"130923DA02")</f>
        <v>130923DA02</v>
      </c>
      <c r="B924" s="12" t="str">
        <f>IFERROR(__xludf.DUMMYFUNCTION("""COMPUTED_VALUE"""),"CON-Camino del Contador")</f>
        <v>CON-Camino del Contador</v>
      </c>
      <c r="C924" s="12"/>
      <c r="D924" s="12"/>
      <c r="E924" s="44">
        <f>IFERROR(__xludf.DUMMYFUNCTION("""COMPUTED_VALUE"""),45090.0)</f>
        <v>45090</v>
      </c>
      <c r="F924" s="12" t="str">
        <f>IFERROR(__xludf.DUMMYFUNCTION("""COMPUTED_VALUE"""),"TIPO I")</f>
        <v>TIPO I</v>
      </c>
      <c r="G924" s="12" t="str">
        <f>IFERROR(__xludf.DUMMYFUNCTION("""COMPUTED_VALUE"""),"Canal en concreto, lecho con presencia de lama y algas, se observa color y se percibe olor.")</f>
        <v>Canal en concreto, lecho con presencia de lama y algas, se observa color y se percibe olor.</v>
      </c>
      <c r="H924" s="45">
        <f>IFERROR(__xludf.DUMMYFUNCTION("""COMPUTED_VALUE"""),0.4166666666678793)</f>
        <v>0.4166666667</v>
      </c>
      <c r="I924" s="45">
        <f>IFERROR(__xludf.DUMMYFUNCTION("""COMPUTED_VALUE"""),0.5)</f>
        <v>0.5</v>
      </c>
      <c r="J924" s="12">
        <f>IFERROR(__xludf.DUMMYFUNCTION("""COMPUTED_VALUE"""),2.85)</f>
        <v>2.85</v>
      </c>
      <c r="K924" s="12">
        <f>IFERROR(__xludf.DUMMYFUNCTION("""COMPUTED_VALUE"""),0.07)</f>
        <v>0.07</v>
      </c>
      <c r="L924" s="14">
        <f>IFERROR(__xludf.DUMMYFUNCTION("""COMPUTED_VALUE"""),36.458)</f>
        <v>36.458</v>
      </c>
      <c r="M924" s="14">
        <f>IFERROR(__xludf.DUMMYFUNCTION("""COMPUTED_VALUE"""),37.393)</f>
        <v>37.393</v>
      </c>
      <c r="N924" s="14">
        <f>IFERROR(__xludf.DUMMYFUNCTION("""COMPUTED_VALUE"""),38.327)</f>
        <v>38.327</v>
      </c>
      <c r="O924" s="14">
        <f>IFERROR(__xludf.DUMMYFUNCTION("""COMPUTED_VALUE"""),39.218)</f>
        <v>39.218</v>
      </c>
      <c r="P924" s="14">
        <f>IFERROR(__xludf.DUMMYFUNCTION("""COMPUTED_VALUE"""),40.084)</f>
        <v>40.084</v>
      </c>
      <c r="Q924" s="14">
        <f>IFERROR(__xludf.DUMMYFUNCTION("""COMPUTED_VALUE"""),38.296)</f>
        <v>38.296</v>
      </c>
      <c r="R924" s="48">
        <f>IFERROR(__xludf.DUMMYFUNCTION("""COMPUTED_VALUE"""),8.12)</f>
        <v>8.12</v>
      </c>
      <c r="S924" s="48">
        <f>IFERROR(__xludf.DUMMYFUNCTION("""COMPUTED_VALUE"""),8.2)</f>
        <v>8.2</v>
      </c>
      <c r="T924" s="48">
        <f>IFERROR(__xludf.DUMMYFUNCTION("""COMPUTED_VALUE"""),8.33)</f>
        <v>8.33</v>
      </c>
      <c r="U924" s="48">
        <f>IFERROR(__xludf.DUMMYFUNCTION("""COMPUTED_VALUE"""),8.3)</f>
        <v>8.3</v>
      </c>
      <c r="V924" s="48">
        <f>IFERROR(__xludf.DUMMYFUNCTION("""COMPUTED_VALUE"""),8.26)</f>
        <v>8.26</v>
      </c>
      <c r="W924" s="14">
        <f>IFERROR(__xludf.DUMMYFUNCTION("""COMPUTED_VALUE"""),8.242)</f>
        <v>8.242</v>
      </c>
      <c r="X924" s="14">
        <f>IFERROR(__xludf.DUMMYFUNCTION("""COMPUTED_VALUE"""),22.7)</f>
        <v>22.7</v>
      </c>
      <c r="Y924" s="14">
        <f>IFERROR(__xludf.DUMMYFUNCTION("""COMPUTED_VALUE"""),22.6)</f>
        <v>22.6</v>
      </c>
      <c r="Z924" s="14">
        <f>IFERROR(__xludf.DUMMYFUNCTION("""COMPUTED_VALUE"""),23.5)</f>
        <v>23.5</v>
      </c>
      <c r="AA924" s="14">
        <f>IFERROR(__xludf.DUMMYFUNCTION("""COMPUTED_VALUE"""),23.3)</f>
        <v>23.3</v>
      </c>
      <c r="AB924" s="14">
        <f>IFERROR(__xludf.DUMMYFUNCTION("""COMPUTED_VALUE"""),24.0)</f>
        <v>24</v>
      </c>
      <c r="AC924" s="14">
        <f>IFERROR(__xludf.DUMMYFUNCTION("""COMPUTED_VALUE"""),23.22)</f>
        <v>23.22</v>
      </c>
      <c r="AD924" s="48">
        <f>IFERROR(__xludf.DUMMYFUNCTION("""COMPUTED_VALUE"""),413.0)</f>
        <v>413</v>
      </c>
      <c r="AE924" s="48">
        <f>IFERROR(__xludf.DUMMYFUNCTION("""COMPUTED_VALUE"""),389.0)</f>
        <v>389</v>
      </c>
      <c r="AF924" s="48">
        <f>IFERROR(__xludf.DUMMYFUNCTION("""COMPUTED_VALUE"""),420.0)</f>
        <v>420</v>
      </c>
      <c r="AG924" s="48">
        <f>IFERROR(__xludf.DUMMYFUNCTION("""COMPUTED_VALUE"""),471.0)</f>
        <v>471</v>
      </c>
      <c r="AH924" s="48">
        <f>IFERROR(__xludf.DUMMYFUNCTION("""COMPUTED_VALUE"""),496.0)</f>
        <v>496</v>
      </c>
      <c r="AI924" s="14">
        <f>IFERROR(__xludf.DUMMYFUNCTION("""COMPUTED_VALUE"""),437.8)</f>
        <v>437.8</v>
      </c>
      <c r="AJ924" s="14">
        <f>IFERROR(__xludf.DUMMYFUNCTION("""COMPUTED_VALUE"""),5.52)</f>
        <v>5.52</v>
      </c>
      <c r="AK924" s="14">
        <f>IFERROR(__xludf.DUMMYFUNCTION("""COMPUTED_VALUE"""),5.8)</f>
        <v>5.8</v>
      </c>
      <c r="AL924" s="14">
        <f>IFERROR(__xludf.DUMMYFUNCTION("""COMPUTED_VALUE"""),6.21)</f>
        <v>6.21</v>
      </c>
      <c r="AM924" s="14">
        <f>IFERROR(__xludf.DUMMYFUNCTION("""COMPUTED_VALUE"""),6.02)</f>
        <v>6.02</v>
      </c>
      <c r="AN924" s="14">
        <f>IFERROR(__xludf.DUMMYFUNCTION("""COMPUTED_VALUE"""),6.27)</f>
        <v>6.27</v>
      </c>
      <c r="AO924" s="14">
        <f>IFERROR(__xludf.DUMMYFUNCTION("""COMPUTED_VALUE"""),5.964)</f>
        <v>5.964</v>
      </c>
      <c r="AP924" s="14">
        <f>IFERROR(__xludf.DUMMYFUNCTION("""COMPUTED_VALUE"""),38.0)</f>
        <v>38</v>
      </c>
      <c r="AQ924" s="14">
        <f>IFERROR(__xludf.DUMMYFUNCTION("""COMPUTED_VALUE"""),54.0)</f>
        <v>54</v>
      </c>
      <c r="AR924" s="14">
        <f>IFERROR(__xludf.DUMMYFUNCTION("""COMPUTED_VALUE"""),16.0)</f>
        <v>16</v>
      </c>
      <c r="AS924" s="14">
        <f>IFERROR(__xludf.DUMMYFUNCTION("""COMPUTED_VALUE"""),21.0)</f>
        <v>21</v>
      </c>
      <c r="AT924" s="14">
        <f>IFERROR(__xludf.DUMMYFUNCTION("""COMPUTED_VALUE"""),1.8)</f>
        <v>1.8</v>
      </c>
      <c r="AU924" s="14">
        <f>IFERROR(__xludf.DUMMYFUNCTION("""COMPUTED_VALUE"""),1.553E8)</f>
        <v>155300000</v>
      </c>
      <c r="AV924" s="14">
        <f>IFERROR(__xludf.DUMMYFUNCTION("""COMPUTED_VALUE"""),1.7)</f>
        <v>1.7</v>
      </c>
      <c r="AW924" s="14">
        <f>IFERROR(__xludf.DUMMYFUNCTION("""COMPUTED_VALUE"""),15.1)</f>
        <v>15.1</v>
      </c>
      <c r="AX924" s="14">
        <f>IFERROR(__xludf.DUMMYFUNCTION("""COMPUTED_VALUE"""),9590000.0)</f>
        <v>9590000</v>
      </c>
      <c r="AY924" s="14">
        <f>IFERROR(__xludf.DUMMYFUNCTION("""COMPUTED_VALUE"""),0.6)</f>
        <v>0.6</v>
      </c>
      <c r="AZ924" s="14">
        <f>IFERROR(__xludf.DUMMYFUNCTION("""COMPUTED_VALUE"""),0.007)</f>
        <v>0.007</v>
      </c>
      <c r="BA924" s="14">
        <f t="shared" si="1"/>
        <v>15.707</v>
      </c>
    </row>
    <row r="925" ht="14.25" customHeight="1">
      <c r="A925" s="10" t="str">
        <f>IFERROR(__xludf.DUMMYFUNCTION("""COMPUTED_VALUE"""),"130923DA01")</f>
        <v>130923DA01</v>
      </c>
      <c r="B925" s="12" t="str">
        <f>IFERROR(__xludf.DUMMYFUNCTION("""COMPUTED_VALUE"""),"CON-Callejas")</f>
        <v>CON-Callejas</v>
      </c>
      <c r="C925" s="12"/>
      <c r="D925" s="12"/>
      <c r="E925" s="44">
        <f>IFERROR(__xludf.DUMMYFUNCTION("""COMPUTED_VALUE"""),45182.0)</f>
        <v>45182</v>
      </c>
      <c r="F925" s="12" t="str">
        <f>IFERROR(__xludf.DUMMYFUNCTION("""COMPUTED_VALUE"""),"TIPO I")</f>
        <v>TIPO I</v>
      </c>
      <c r="G925" s="12" t="str">
        <f>IFERROR(__xludf.DUMMYFUNCTION("""COMPUTED_VALUE"""),"Canal artificial en concreto, lecho con presencia de algas, se observa residuos sólidos al margen del canal.
Altitud: 2560 msnm. ")</f>
        <v>Canal artificial en concreto, lecho con presencia de algas, se observa residuos sólidos al margen del canal.
Altitud: 2560 msnm. </v>
      </c>
      <c r="H925" s="45">
        <f>IFERROR(__xludf.DUMMYFUNCTION("""COMPUTED_VALUE"""),0.25)</f>
        <v>0.25</v>
      </c>
      <c r="I925" s="45">
        <f>IFERROR(__xludf.DUMMYFUNCTION("""COMPUTED_VALUE"""),0.3333333333321207)</f>
        <v>0.3333333333</v>
      </c>
      <c r="J925" s="12">
        <f>IFERROR(__xludf.DUMMYFUNCTION("""COMPUTED_VALUE"""),2.4)</f>
        <v>2.4</v>
      </c>
      <c r="K925" s="12">
        <f>IFERROR(__xludf.DUMMYFUNCTION("""COMPUTED_VALUE"""),0.05)</f>
        <v>0.05</v>
      </c>
      <c r="L925" s="14">
        <f>IFERROR(__xludf.DUMMYFUNCTION("""COMPUTED_VALUE"""),18.079)</f>
        <v>18.079</v>
      </c>
      <c r="M925" s="14">
        <f>IFERROR(__xludf.DUMMYFUNCTION("""COMPUTED_VALUE"""),18.647)</f>
        <v>18.647</v>
      </c>
      <c r="N925" s="14">
        <f>IFERROR(__xludf.DUMMYFUNCTION("""COMPUTED_VALUE"""),19.294)</f>
        <v>19.294</v>
      </c>
      <c r="O925" s="14">
        <f>IFERROR(__xludf.DUMMYFUNCTION("""COMPUTED_VALUE"""),19.9)</f>
        <v>19.9</v>
      </c>
      <c r="P925" s="14">
        <f>IFERROR(__xludf.DUMMYFUNCTION("""COMPUTED_VALUE"""),20.387)</f>
        <v>20.387</v>
      </c>
      <c r="Q925" s="14">
        <f>IFERROR(__xludf.DUMMYFUNCTION("""COMPUTED_VALUE"""),19.261)</f>
        <v>19.261</v>
      </c>
      <c r="R925" s="48">
        <f>IFERROR(__xludf.DUMMYFUNCTION("""COMPUTED_VALUE"""),7.64)</f>
        <v>7.64</v>
      </c>
      <c r="S925" s="48">
        <f>IFERROR(__xludf.DUMMYFUNCTION("""COMPUTED_VALUE"""),7.57)</f>
        <v>7.57</v>
      </c>
      <c r="T925" s="48">
        <f>IFERROR(__xludf.DUMMYFUNCTION("""COMPUTED_VALUE"""),7.83)</f>
        <v>7.83</v>
      </c>
      <c r="U925" s="48">
        <f>IFERROR(__xludf.DUMMYFUNCTION("""COMPUTED_VALUE"""),7.89)</f>
        <v>7.89</v>
      </c>
      <c r="V925" s="48">
        <f>IFERROR(__xludf.DUMMYFUNCTION("""COMPUTED_VALUE"""),8.21)</f>
        <v>8.21</v>
      </c>
      <c r="W925" s="14">
        <f>IFERROR(__xludf.DUMMYFUNCTION("""COMPUTED_VALUE"""),7.828)</f>
        <v>7.828</v>
      </c>
      <c r="X925" s="14">
        <f>IFERROR(__xludf.DUMMYFUNCTION("""COMPUTED_VALUE"""),13.3)</f>
        <v>13.3</v>
      </c>
      <c r="Y925" s="14">
        <f>IFERROR(__xludf.DUMMYFUNCTION("""COMPUTED_VALUE"""),13.2)</f>
        <v>13.2</v>
      </c>
      <c r="Z925" s="14">
        <f>IFERROR(__xludf.DUMMYFUNCTION("""COMPUTED_VALUE"""),13.6)</f>
        <v>13.6</v>
      </c>
      <c r="AA925" s="14">
        <f>IFERROR(__xludf.DUMMYFUNCTION("""COMPUTED_VALUE"""),14.1)</f>
        <v>14.1</v>
      </c>
      <c r="AB925" s="14">
        <f>IFERROR(__xludf.DUMMYFUNCTION("""COMPUTED_VALUE"""),15.0)</f>
        <v>15</v>
      </c>
      <c r="AC925" s="14">
        <f>IFERROR(__xludf.DUMMYFUNCTION("""COMPUTED_VALUE"""),13.84)</f>
        <v>13.84</v>
      </c>
      <c r="AD925" s="48">
        <f>IFERROR(__xludf.DUMMYFUNCTION("""COMPUTED_VALUE"""),369.0)</f>
        <v>369</v>
      </c>
      <c r="AE925" s="48">
        <f>IFERROR(__xludf.DUMMYFUNCTION("""COMPUTED_VALUE"""),385.0)</f>
        <v>385</v>
      </c>
      <c r="AF925" s="48">
        <f>IFERROR(__xludf.DUMMYFUNCTION("""COMPUTED_VALUE"""),353.0)</f>
        <v>353</v>
      </c>
      <c r="AG925" s="48">
        <f>IFERROR(__xludf.DUMMYFUNCTION("""COMPUTED_VALUE"""),379.0)</f>
        <v>379</v>
      </c>
      <c r="AH925" s="48">
        <f>IFERROR(__xludf.DUMMYFUNCTION("""COMPUTED_VALUE"""),384.0)</f>
        <v>384</v>
      </c>
      <c r="AI925" s="14">
        <f>IFERROR(__xludf.DUMMYFUNCTION("""COMPUTED_VALUE"""),374.0)</f>
        <v>374</v>
      </c>
      <c r="AJ925" s="14">
        <f>IFERROR(__xludf.DUMMYFUNCTION("""COMPUTED_VALUE"""),1.96)</f>
        <v>1.96</v>
      </c>
      <c r="AK925" s="14">
        <f>IFERROR(__xludf.DUMMYFUNCTION("""COMPUTED_VALUE"""),2.76)</f>
        <v>2.76</v>
      </c>
      <c r="AL925" s="14">
        <f>IFERROR(__xludf.DUMMYFUNCTION("""COMPUTED_VALUE"""),3.85)</f>
        <v>3.85</v>
      </c>
      <c r="AM925" s="14">
        <f>IFERROR(__xludf.DUMMYFUNCTION("""COMPUTED_VALUE"""),4.6)</f>
        <v>4.6</v>
      </c>
      <c r="AN925" s="14">
        <f>IFERROR(__xludf.DUMMYFUNCTION("""COMPUTED_VALUE"""),6.92)</f>
        <v>6.92</v>
      </c>
      <c r="AO925" s="14">
        <f>IFERROR(__xludf.DUMMYFUNCTION("""COMPUTED_VALUE"""),4.018)</f>
        <v>4.018</v>
      </c>
      <c r="AP925" s="14">
        <f>IFERROR(__xludf.DUMMYFUNCTION("""COMPUTED_VALUE"""),13.0)</f>
        <v>13</v>
      </c>
      <c r="AQ925" s="14">
        <f>IFERROR(__xludf.DUMMYFUNCTION("""COMPUTED_VALUE"""),28.0)</f>
        <v>28</v>
      </c>
      <c r="AR925" s="14">
        <f>IFERROR(__xludf.DUMMYFUNCTION("""COMPUTED_VALUE"""),7.0)</f>
        <v>7</v>
      </c>
      <c r="AS925" s="14">
        <f>IFERROR(__xludf.DUMMYFUNCTION("""COMPUTED_VALUE"""),1.1)</f>
        <v>1.1</v>
      </c>
      <c r="AT925" s="14">
        <f>IFERROR(__xludf.DUMMYFUNCTION("""COMPUTED_VALUE"""),0.7)</f>
        <v>0.7</v>
      </c>
      <c r="AU925" s="14">
        <f>IFERROR(__xludf.DUMMYFUNCTION("""COMPUTED_VALUE"""),1.421E8)</f>
        <v>142100000</v>
      </c>
      <c r="AV925" s="14">
        <f>IFERROR(__xludf.DUMMYFUNCTION("""COMPUTED_VALUE"""),1.18)</f>
        <v>1.18</v>
      </c>
      <c r="AW925" s="14">
        <f>IFERROR(__xludf.DUMMYFUNCTION("""COMPUTED_VALUE"""),12.6)</f>
        <v>12.6</v>
      </c>
      <c r="AX925" s="14">
        <f>IFERROR(__xludf.DUMMYFUNCTION("""COMPUTED_VALUE"""),9040000.0)</f>
        <v>9040000</v>
      </c>
      <c r="AY925" s="14">
        <f>IFERROR(__xludf.DUMMYFUNCTION("""COMPUTED_VALUE"""),0.8)</f>
        <v>0.8</v>
      </c>
      <c r="AZ925" s="14">
        <f>IFERROR(__xludf.DUMMYFUNCTION("""COMPUTED_VALUE"""),0.01)</f>
        <v>0.01</v>
      </c>
      <c r="BA925" s="14">
        <f t="shared" si="1"/>
        <v>13.41</v>
      </c>
    </row>
    <row r="926" ht="14.25" customHeight="1">
      <c r="A926" s="10" t="str">
        <f>IFERROR(__xludf.DUMMYFUNCTION("""COMPUTED_VALUE"""),"140923DU03")</f>
        <v>140923DU03</v>
      </c>
      <c r="B926" s="12" t="str">
        <f>IFERROR(__xludf.DUMMYFUNCTION("""COMPUTED_VALUE"""),"COR-Britalia")</f>
        <v>COR-Britalia</v>
      </c>
      <c r="C926" s="12"/>
      <c r="D926" s="12"/>
      <c r="E926" s="44">
        <f>IFERROR(__xludf.DUMMYFUNCTION("""COMPUTED_VALUE"""),45183.0)</f>
        <v>45183</v>
      </c>
      <c r="F926" s="12" t="str">
        <f>IFERROR(__xludf.DUMMYFUNCTION("""COMPUTED_VALUE"""),"TIPO I")</f>
        <v>TIPO I</v>
      </c>
      <c r="G926" s="12" t="str">
        <f>IFERROR(__xludf.DUMMYFUNCTION("""COMPUTED_VALUE"""),"Canal artificial en concreto con estructura trapezoidal, durante el monitoreo se percibe olor, se observa color, residuos sólidos, material flotante y lama en la base del canal. 
Altitud: 2575 msnm. ")</f>
        <v>Canal artificial en concreto con estructura trapezoidal, durante el monitoreo se percibe olor, se observa color, residuos sólidos, material flotante y lama en la base del canal. 
Altitud: 2575 msnm. </v>
      </c>
      <c r="H926" s="45">
        <f>IFERROR(__xludf.DUMMYFUNCTION("""COMPUTED_VALUE"""),0.5833333333321207)</f>
        <v>0.5833333333</v>
      </c>
      <c r="I926" s="45">
        <f>IFERROR(__xludf.DUMMYFUNCTION("""COMPUTED_VALUE"""),0.6666666666678793)</f>
        <v>0.6666666667</v>
      </c>
      <c r="J926" s="12">
        <f>IFERROR(__xludf.DUMMYFUNCTION("""COMPUTED_VALUE"""),3.8)</f>
        <v>3.8</v>
      </c>
      <c r="K926" s="12">
        <f>IFERROR(__xludf.DUMMYFUNCTION("""COMPUTED_VALUE"""),0.06)</f>
        <v>0.06</v>
      </c>
      <c r="L926" s="14">
        <f>IFERROR(__xludf.DUMMYFUNCTION("""COMPUTED_VALUE"""),16.71)</f>
        <v>16.71</v>
      </c>
      <c r="M926" s="14">
        <f>IFERROR(__xludf.DUMMYFUNCTION("""COMPUTED_VALUE"""),18.375)</f>
        <v>18.375</v>
      </c>
      <c r="N926" s="14">
        <f>IFERROR(__xludf.DUMMYFUNCTION("""COMPUTED_VALUE"""),20.591)</f>
        <v>20.591</v>
      </c>
      <c r="O926" s="14">
        <f>IFERROR(__xludf.DUMMYFUNCTION("""COMPUTED_VALUE"""),18.977)</f>
        <v>18.977</v>
      </c>
      <c r="P926" s="14">
        <f>IFERROR(__xludf.DUMMYFUNCTION("""COMPUTED_VALUE"""),19.506)</f>
        <v>19.506</v>
      </c>
      <c r="Q926" s="14">
        <f>IFERROR(__xludf.DUMMYFUNCTION("""COMPUTED_VALUE"""),18.832)</f>
        <v>18.832</v>
      </c>
      <c r="R926" s="48">
        <f>IFERROR(__xludf.DUMMYFUNCTION("""COMPUTED_VALUE"""),7.17)</f>
        <v>7.17</v>
      </c>
      <c r="S926" s="48">
        <f>IFERROR(__xludf.DUMMYFUNCTION("""COMPUTED_VALUE"""),7.14)</f>
        <v>7.14</v>
      </c>
      <c r="T926" s="48">
        <f>IFERROR(__xludf.DUMMYFUNCTION("""COMPUTED_VALUE"""),6.91)</f>
        <v>6.91</v>
      </c>
      <c r="U926" s="48">
        <f>IFERROR(__xludf.DUMMYFUNCTION("""COMPUTED_VALUE"""),7.05)</f>
        <v>7.05</v>
      </c>
      <c r="V926" s="48">
        <f>IFERROR(__xludf.DUMMYFUNCTION("""COMPUTED_VALUE"""),6.83)</f>
        <v>6.83</v>
      </c>
      <c r="W926" s="14">
        <f>IFERROR(__xludf.DUMMYFUNCTION("""COMPUTED_VALUE"""),7.0200000000000005)</f>
        <v>7.02</v>
      </c>
      <c r="X926" s="14">
        <f>IFERROR(__xludf.DUMMYFUNCTION("""COMPUTED_VALUE"""),21.3)</f>
        <v>21.3</v>
      </c>
      <c r="Y926" s="14">
        <f>IFERROR(__xludf.DUMMYFUNCTION("""COMPUTED_VALUE"""),20.7)</f>
        <v>20.7</v>
      </c>
      <c r="Z926" s="14">
        <f>IFERROR(__xludf.DUMMYFUNCTION("""COMPUTED_VALUE"""),21.6)</f>
        <v>21.6</v>
      </c>
      <c r="AA926" s="14">
        <f>IFERROR(__xludf.DUMMYFUNCTION("""COMPUTED_VALUE"""),21.2)</f>
        <v>21.2</v>
      </c>
      <c r="AB926" s="14">
        <f>IFERROR(__xludf.DUMMYFUNCTION("""COMPUTED_VALUE"""),21.4)</f>
        <v>21.4</v>
      </c>
      <c r="AC926" s="14">
        <f>IFERROR(__xludf.DUMMYFUNCTION("""COMPUTED_VALUE"""),21.24)</f>
        <v>21.24</v>
      </c>
      <c r="AD926" s="48">
        <f>IFERROR(__xludf.DUMMYFUNCTION("""COMPUTED_VALUE"""),419.0)</f>
        <v>419</v>
      </c>
      <c r="AE926" s="48">
        <f>IFERROR(__xludf.DUMMYFUNCTION("""COMPUTED_VALUE"""),408.0)</f>
        <v>408</v>
      </c>
      <c r="AF926" s="48">
        <f>IFERROR(__xludf.DUMMYFUNCTION("""COMPUTED_VALUE"""),317.0)</f>
        <v>317</v>
      </c>
      <c r="AG926" s="48">
        <f>IFERROR(__xludf.DUMMYFUNCTION("""COMPUTED_VALUE"""),415.0)</f>
        <v>415</v>
      </c>
      <c r="AH926" s="48">
        <f>IFERROR(__xludf.DUMMYFUNCTION("""COMPUTED_VALUE"""),369.0)</f>
        <v>369</v>
      </c>
      <c r="AI926" s="14">
        <f>IFERROR(__xludf.DUMMYFUNCTION("""COMPUTED_VALUE"""),385.6)</f>
        <v>385.6</v>
      </c>
      <c r="AJ926" s="14">
        <f>IFERROR(__xludf.DUMMYFUNCTION("""COMPUTED_VALUE"""),1.17)</f>
        <v>1.17</v>
      </c>
      <c r="AK926" s="14">
        <f>IFERROR(__xludf.DUMMYFUNCTION("""COMPUTED_VALUE"""),1.11)</f>
        <v>1.11</v>
      </c>
      <c r="AL926" s="14">
        <f>IFERROR(__xludf.DUMMYFUNCTION("""COMPUTED_VALUE"""),1.37)</f>
        <v>1.37</v>
      </c>
      <c r="AM926" s="14">
        <f>IFERROR(__xludf.DUMMYFUNCTION("""COMPUTED_VALUE"""),2.21)</f>
        <v>2.21</v>
      </c>
      <c r="AN926" s="14">
        <f>IFERROR(__xludf.DUMMYFUNCTION("""COMPUTED_VALUE"""),2.34)</f>
        <v>2.34</v>
      </c>
      <c r="AO926" s="14">
        <f>IFERROR(__xludf.DUMMYFUNCTION("""COMPUTED_VALUE"""),1.64)</f>
        <v>1.64</v>
      </c>
      <c r="AP926" s="14">
        <f>IFERROR(__xludf.DUMMYFUNCTION("""COMPUTED_VALUE"""),56.0)</f>
        <v>56</v>
      </c>
      <c r="AQ926" s="14">
        <f>IFERROR(__xludf.DUMMYFUNCTION("""COMPUTED_VALUE"""),89.0)</f>
        <v>89</v>
      </c>
      <c r="AR926" s="14">
        <f>IFERROR(__xludf.DUMMYFUNCTION("""COMPUTED_VALUE"""),41.0)</f>
        <v>41</v>
      </c>
      <c r="AS926" s="14">
        <f>IFERROR(__xludf.DUMMYFUNCTION("""COMPUTED_VALUE"""),1.0)</f>
        <v>1</v>
      </c>
      <c r="AT926" s="14">
        <f>IFERROR(__xludf.DUMMYFUNCTION("""COMPUTED_VALUE"""),1.73)</f>
        <v>1.73</v>
      </c>
      <c r="AU926" s="14">
        <f>IFERROR(__xludf.DUMMYFUNCTION("""COMPUTED_VALUE"""),8860000.0)</f>
        <v>8860000</v>
      </c>
      <c r="AV926" s="14">
        <f>IFERROR(__xludf.DUMMYFUNCTION("""COMPUTED_VALUE"""),2.6)</f>
        <v>2.6</v>
      </c>
      <c r="AW926" s="14">
        <f>IFERROR(__xludf.DUMMYFUNCTION("""COMPUTED_VALUE"""),25.5)</f>
        <v>25.5</v>
      </c>
      <c r="AX926" s="14">
        <f>IFERROR(__xludf.DUMMYFUNCTION("""COMPUTED_VALUE"""),6330000.0)</f>
        <v>6330000</v>
      </c>
      <c r="AY926" s="14">
        <f>IFERROR(__xludf.DUMMYFUNCTION("""COMPUTED_VALUE"""),1.4)</f>
        <v>1.4</v>
      </c>
      <c r="AZ926" s="14">
        <f>IFERROR(__xludf.DUMMYFUNCTION("""COMPUTED_VALUE"""),0.007)</f>
        <v>0.007</v>
      </c>
      <c r="BA926" s="14">
        <f t="shared" si="1"/>
        <v>26.907</v>
      </c>
    </row>
    <row r="927" ht="14.25" customHeight="1">
      <c r="A927" s="10" t="str">
        <f>IFERROR(__xludf.DUMMYFUNCTION("""COMPUTED_VALUE"""),"140923SA02")</f>
        <v>140923SA02</v>
      </c>
      <c r="B927" s="12" t="str">
        <f>IFERROR(__xludf.DUMMYFUNCTION("""COMPUTED_VALUE"""),"COR-Prado Veraniego")</f>
        <v>COR-Prado Veraniego</v>
      </c>
      <c r="C927" s="12"/>
      <c r="D927" s="12"/>
      <c r="E927" s="44">
        <f>IFERROR(__xludf.DUMMYFUNCTION("""COMPUTED_VALUE"""),45183.0)</f>
        <v>45183</v>
      </c>
      <c r="F927" s="12" t="str">
        <f>IFERROR(__xludf.DUMMYFUNCTION("""COMPUTED_VALUE"""),"TIPO I")</f>
        <v>TIPO I</v>
      </c>
      <c r="G927" s="12" t="str">
        <f>IFERROR(__xludf.DUMMYFUNCTION("""COMPUTED_VALUE"""),"Canal artificial en concreto, se percibe olor, se observa color, material flotante, lama y algas en el fondo del canal, en la toma de la tercera y cuarta alícuota se presentan lloviznas leves. Altitud 2565 msnm.")</f>
        <v>Canal artificial en concreto, se percibe olor, se observa color, material flotante, lama y algas en el fondo del canal, en la toma de la tercera y cuarta alícuota se presentan lloviznas leves. Altitud 2565 msnm.</v>
      </c>
      <c r="H927" s="45">
        <f>IFERROR(__xludf.DUMMYFUNCTION("""COMPUTED_VALUE"""),0.5)</f>
        <v>0.5</v>
      </c>
      <c r="I927" s="45">
        <f>IFERROR(__xludf.DUMMYFUNCTION("""COMPUTED_VALUE"""),0.5833333333321207)</f>
        <v>0.5833333333</v>
      </c>
      <c r="J927" s="12">
        <f>IFERROR(__xludf.DUMMYFUNCTION("""COMPUTED_VALUE"""),3.9)</f>
        <v>3.9</v>
      </c>
      <c r="K927" s="12">
        <f>IFERROR(__xludf.DUMMYFUNCTION("""COMPUTED_VALUE"""),0.11)</f>
        <v>0.11</v>
      </c>
      <c r="L927" s="14">
        <f>IFERROR(__xludf.DUMMYFUNCTION("""COMPUTED_VALUE"""),106.054)</f>
        <v>106.054</v>
      </c>
      <c r="M927" s="14">
        <f>IFERROR(__xludf.DUMMYFUNCTION("""COMPUTED_VALUE"""),108.144)</f>
        <v>108.144</v>
      </c>
      <c r="N927" s="14">
        <f>IFERROR(__xludf.DUMMYFUNCTION("""COMPUTED_VALUE"""),110.971)</f>
        <v>110.971</v>
      </c>
      <c r="O927" s="14">
        <f>IFERROR(__xludf.DUMMYFUNCTION("""COMPUTED_VALUE"""),112.764)</f>
        <v>112.764</v>
      </c>
      <c r="P927" s="14">
        <f>IFERROR(__xludf.DUMMYFUNCTION("""COMPUTED_VALUE"""),114.274)</f>
        <v>114.274</v>
      </c>
      <c r="Q927" s="14">
        <f>IFERROR(__xludf.DUMMYFUNCTION("""COMPUTED_VALUE"""),110.441)</f>
        <v>110.441</v>
      </c>
      <c r="R927" s="48">
        <f>IFERROR(__xludf.DUMMYFUNCTION("""COMPUTED_VALUE"""),8.28)</f>
        <v>8.28</v>
      </c>
      <c r="S927" s="48">
        <f>IFERROR(__xludf.DUMMYFUNCTION("""COMPUTED_VALUE"""),8.35)</f>
        <v>8.35</v>
      </c>
      <c r="T927" s="48">
        <f>IFERROR(__xludf.DUMMYFUNCTION("""COMPUTED_VALUE"""),8.3)</f>
        <v>8.3</v>
      </c>
      <c r="U927" s="48">
        <f>IFERROR(__xludf.DUMMYFUNCTION("""COMPUTED_VALUE"""),8.24)</f>
        <v>8.24</v>
      </c>
      <c r="V927" s="48">
        <f>IFERROR(__xludf.DUMMYFUNCTION("""COMPUTED_VALUE"""),8.35)</f>
        <v>8.35</v>
      </c>
      <c r="W927" s="14">
        <f>IFERROR(__xludf.DUMMYFUNCTION("""COMPUTED_VALUE"""),8.304)</f>
        <v>8.304</v>
      </c>
      <c r="X927" s="14">
        <f>IFERROR(__xludf.DUMMYFUNCTION("""COMPUTED_VALUE"""),22.4)</f>
        <v>22.4</v>
      </c>
      <c r="Y927" s="14">
        <f>IFERROR(__xludf.DUMMYFUNCTION("""COMPUTED_VALUE"""),22.5)</f>
        <v>22.5</v>
      </c>
      <c r="Z927" s="14">
        <f>IFERROR(__xludf.DUMMYFUNCTION("""COMPUTED_VALUE"""),22.9)</f>
        <v>22.9</v>
      </c>
      <c r="AA927" s="14">
        <f>IFERROR(__xludf.DUMMYFUNCTION("""COMPUTED_VALUE"""),22.6)</f>
        <v>22.6</v>
      </c>
      <c r="AB927" s="14">
        <f>IFERROR(__xludf.DUMMYFUNCTION("""COMPUTED_VALUE"""),23.0)</f>
        <v>23</v>
      </c>
      <c r="AC927" s="14">
        <f>IFERROR(__xludf.DUMMYFUNCTION("""COMPUTED_VALUE"""),22.68)</f>
        <v>22.68</v>
      </c>
      <c r="AD927" s="48">
        <f>IFERROR(__xludf.DUMMYFUNCTION("""COMPUTED_VALUE"""),491.0)</f>
        <v>491</v>
      </c>
      <c r="AE927" s="48">
        <f>IFERROR(__xludf.DUMMYFUNCTION("""COMPUTED_VALUE"""),510.0)</f>
        <v>510</v>
      </c>
      <c r="AF927" s="48">
        <f>IFERROR(__xludf.DUMMYFUNCTION("""COMPUTED_VALUE"""),488.0)</f>
        <v>488</v>
      </c>
      <c r="AG927" s="48">
        <f>IFERROR(__xludf.DUMMYFUNCTION("""COMPUTED_VALUE"""),451.0)</f>
        <v>451</v>
      </c>
      <c r="AH927" s="48">
        <f>IFERROR(__xludf.DUMMYFUNCTION("""COMPUTED_VALUE"""),461.0)</f>
        <v>461</v>
      </c>
      <c r="AI927" s="14">
        <f>IFERROR(__xludf.DUMMYFUNCTION("""COMPUTED_VALUE"""),480.2)</f>
        <v>480.2</v>
      </c>
      <c r="AJ927" s="14">
        <f>IFERROR(__xludf.DUMMYFUNCTION("""COMPUTED_VALUE"""),4.4)</f>
        <v>4.4</v>
      </c>
      <c r="AK927" s="14">
        <f>IFERROR(__xludf.DUMMYFUNCTION("""COMPUTED_VALUE"""),4.71)</f>
        <v>4.71</v>
      </c>
      <c r="AL927" s="14">
        <f>IFERROR(__xludf.DUMMYFUNCTION("""COMPUTED_VALUE"""),4.94)</f>
        <v>4.94</v>
      </c>
      <c r="AM927" s="14">
        <f>IFERROR(__xludf.DUMMYFUNCTION("""COMPUTED_VALUE"""),4.09)</f>
        <v>4.09</v>
      </c>
      <c r="AN927" s="14">
        <f>IFERROR(__xludf.DUMMYFUNCTION("""COMPUTED_VALUE"""),4.85)</f>
        <v>4.85</v>
      </c>
      <c r="AO927" s="14">
        <f>IFERROR(__xludf.DUMMYFUNCTION("""COMPUTED_VALUE"""),4.598000000000001)</f>
        <v>4.598</v>
      </c>
      <c r="AP927" s="14">
        <f>IFERROR(__xludf.DUMMYFUNCTION("""COMPUTED_VALUE"""),62.0)</f>
        <v>62</v>
      </c>
      <c r="AQ927" s="14">
        <f>IFERROR(__xludf.DUMMYFUNCTION("""COMPUTED_VALUE"""),93.0)</f>
        <v>93</v>
      </c>
      <c r="AR927" s="14">
        <f>IFERROR(__xludf.DUMMYFUNCTION("""COMPUTED_VALUE"""),15.0)</f>
        <v>15</v>
      </c>
      <c r="AS927" s="14">
        <f>IFERROR(__xludf.DUMMYFUNCTION("""COMPUTED_VALUE"""),17.0)</f>
        <v>17</v>
      </c>
      <c r="AT927" s="14">
        <f>IFERROR(__xludf.DUMMYFUNCTION("""COMPUTED_VALUE"""),1.52)</f>
        <v>1.52</v>
      </c>
      <c r="AU927" s="14">
        <f>IFERROR(__xludf.DUMMYFUNCTION("""COMPUTED_VALUE"""),1.198E7)</f>
        <v>11980000</v>
      </c>
      <c r="AV927" s="14">
        <f>IFERROR(__xludf.DUMMYFUNCTION("""COMPUTED_VALUE"""),1.05)</f>
        <v>1.05</v>
      </c>
      <c r="AW927" s="14">
        <f>IFERROR(__xludf.DUMMYFUNCTION("""COMPUTED_VALUE"""),17.9)</f>
        <v>17.9</v>
      </c>
      <c r="AX927" s="14">
        <f>IFERROR(__xludf.DUMMYFUNCTION("""COMPUTED_VALUE"""),1.058E7)</f>
        <v>10580000</v>
      </c>
      <c r="AY927" s="14">
        <f>IFERROR(__xludf.DUMMYFUNCTION("""COMPUTED_VALUE"""),0.9)</f>
        <v>0.9</v>
      </c>
      <c r="AZ927" s="14">
        <f>IFERROR(__xludf.DUMMYFUNCTION("""COMPUTED_VALUE"""),0.01)</f>
        <v>0.01</v>
      </c>
      <c r="BA927" s="14">
        <f t="shared" si="1"/>
        <v>18.81</v>
      </c>
    </row>
    <row r="928" ht="14.25" customHeight="1">
      <c r="A928" s="10" t="str">
        <f>IFERROR(__xludf.DUMMYFUNCTION("""COMPUTED_VALUE"""),"140923SA01")</f>
        <v>140923SA01</v>
      </c>
      <c r="B928" s="12" t="str">
        <f>IFERROR(__xludf.DUMMYFUNCTION("""COMPUTED_VALUE"""),"COR-Humedal Córdoba")</f>
        <v>COR-Humedal Córdoba</v>
      </c>
      <c r="C928" s="12"/>
      <c r="D928" s="12"/>
      <c r="E928" s="44">
        <f>IFERROR(__xludf.DUMMYFUNCTION("""COMPUTED_VALUE"""),45183.0)</f>
        <v>45183</v>
      </c>
      <c r="F928" s="12" t="str">
        <f>IFERROR(__xludf.DUMMYFUNCTION("""COMPUTED_VALUE"""),"TIPO I")</f>
        <v>TIPO I</v>
      </c>
      <c r="G928" s="12" t="str">
        <f>IFERROR(__xludf.DUMMYFUNCTION("""COMPUTED_VALUE"""),"Canal artificial, lecho natural con presencia de lodo en el fondo del canal, presencia arborea y arbustiva, durante el monitoreo se percibe olor, se observa color y material flotante en el canal. Altitud: 2564 msnm. ")</f>
        <v>Canal artificial, lecho natural con presencia de lodo en el fondo del canal, presencia arborea y arbustiva, durante el monitoreo se percibe olor, se observa color y material flotante en el canal. Altitud: 2564 msnm. </v>
      </c>
      <c r="H928" s="45">
        <f>IFERROR(__xludf.DUMMYFUNCTION("""COMPUTED_VALUE"""),0.3333333333321207)</f>
        <v>0.3333333333</v>
      </c>
      <c r="I928" s="45">
        <f>IFERROR(__xludf.DUMMYFUNCTION("""COMPUTED_VALUE"""),0.4166666666678793)</f>
        <v>0.4166666667</v>
      </c>
      <c r="J928" s="12">
        <f>IFERROR(__xludf.DUMMYFUNCTION("""COMPUTED_VALUE"""),7.6)</f>
        <v>7.6</v>
      </c>
      <c r="K928" s="12">
        <f>IFERROR(__xludf.DUMMYFUNCTION("""COMPUTED_VALUE"""),0.68)</f>
        <v>0.68</v>
      </c>
      <c r="L928" s="14">
        <f>IFERROR(__xludf.DUMMYFUNCTION("""COMPUTED_VALUE"""),375.432)</f>
        <v>375.432</v>
      </c>
      <c r="M928" s="14">
        <f>IFERROR(__xludf.DUMMYFUNCTION("""COMPUTED_VALUE"""),395.573)</f>
        <v>395.573</v>
      </c>
      <c r="N928" s="14">
        <f>IFERROR(__xludf.DUMMYFUNCTION("""COMPUTED_VALUE"""),414.51)</f>
        <v>414.51</v>
      </c>
      <c r="O928" s="14">
        <f>IFERROR(__xludf.DUMMYFUNCTION("""COMPUTED_VALUE"""),425.557)</f>
        <v>425.557</v>
      </c>
      <c r="P928" s="14">
        <f>IFERROR(__xludf.DUMMYFUNCTION("""COMPUTED_VALUE"""),446.817)</f>
        <v>446.817</v>
      </c>
      <c r="Q928" s="14">
        <f>IFERROR(__xludf.DUMMYFUNCTION("""COMPUTED_VALUE"""),411.578)</f>
        <v>411.578</v>
      </c>
      <c r="R928" s="48">
        <f>IFERROR(__xludf.DUMMYFUNCTION("""COMPUTED_VALUE"""),7.16)</f>
        <v>7.16</v>
      </c>
      <c r="S928" s="48">
        <f>IFERROR(__xludf.DUMMYFUNCTION("""COMPUTED_VALUE"""),7.21)</f>
        <v>7.21</v>
      </c>
      <c r="T928" s="48">
        <f>IFERROR(__xludf.DUMMYFUNCTION("""COMPUTED_VALUE"""),7.07)</f>
        <v>7.07</v>
      </c>
      <c r="U928" s="48">
        <f>IFERROR(__xludf.DUMMYFUNCTION("""COMPUTED_VALUE"""),7.12)</f>
        <v>7.12</v>
      </c>
      <c r="V928" s="48">
        <f>IFERROR(__xludf.DUMMYFUNCTION("""COMPUTED_VALUE"""),7.14)</f>
        <v>7.14</v>
      </c>
      <c r="W928" s="14">
        <f>IFERROR(__xludf.DUMMYFUNCTION("""COMPUTED_VALUE"""),7.140000000000001)</f>
        <v>7.14</v>
      </c>
      <c r="X928" s="14">
        <f>IFERROR(__xludf.DUMMYFUNCTION("""COMPUTED_VALUE"""),17.2)</f>
        <v>17.2</v>
      </c>
      <c r="Y928" s="14">
        <f>IFERROR(__xludf.DUMMYFUNCTION("""COMPUTED_VALUE"""),17.2)</f>
        <v>17.2</v>
      </c>
      <c r="Z928" s="14">
        <f>IFERROR(__xludf.DUMMYFUNCTION("""COMPUTED_VALUE"""),17.4)</f>
        <v>17.4</v>
      </c>
      <c r="AA928" s="14">
        <f>IFERROR(__xludf.DUMMYFUNCTION("""COMPUTED_VALUE"""),17.5)</f>
        <v>17.5</v>
      </c>
      <c r="AB928" s="14">
        <f>IFERROR(__xludf.DUMMYFUNCTION("""COMPUTED_VALUE"""),17.4)</f>
        <v>17.4</v>
      </c>
      <c r="AC928" s="14">
        <f>IFERROR(__xludf.DUMMYFUNCTION("""COMPUTED_VALUE"""),17.339999999999996)</f>
        <v>17.34</v>
      </c>
      <c r="AD928" s="48">
        <f>IFERROR(__xludf.DUMMYFUNCTION("""COMPUTED_VALUE"""),400.0)</f>
        <v>400</v>
      </c>
      <c r="AE928" s="48">
        <f>IFERROR(__xludf.DUMMYFUNCTION("""COMPUTED_VALUE"""),417.0)</f>
        <v>417</v>
      </c>
      <c r="AF928" s="48">
        <f>IFERROR(__xludf.DUMMYFUNCTION("""COMPUTED_VALUE"""),433.0)</f>
        <v>433</v>
      </c>
      <c r="AG928" s="48">
        <f>IFERROR(__xludf.DUMMYFUNCTION("""COMPUTED_VALUE"""),408.0)</f>
        <v>408</v>
      </c>
      <c r="AH928" s="48">
        <f>IFERROR(__xludf.DUMMYFUNCTION("""COMPUTED_VALUE"""),413.0)</f>
        <v>413</v>
      </c>
      <c r="AI928" s="14">
        <f>IFERROR(__xludf.DUMMYFUNCTION("""COMPUTED_VALUE"""),414.2)</f>
        <v>414.2</v>
      </c>
      <c r="AJ928" s="14">
        <f>IFERROR(__xludf.DUMMYFUNCTION("""COMPUTED_VALUE"""),0.64)</f>
        <v>0.64</v>
      </c>
      <c r="AK928" s="14">
        <f>IFERROR(__xludf.DUMMYFUNCTION("""COMPUTED_VALUE"""),1.07)</f>
        <v>1.07</v>
      </c>
      <c r="AL928" s="14">
        <f>IFERROR(__xludf.DUMMYFUNCTION("""COMPUTED_VALUE"""),0.97)</f>
        <v>0.97</v>
      </c>
      <c r="AM928" s="14">
        <f>IFERROR(__xludf.DUMMYFUNCTION("""COMPUTED_VALUE"""),1.03)</f>
        <v>1.03</v>
      </c>
      <c r="AN928" s="14">
        <f>IFERROR(__xludf.DUMMYFUNCTION("""COMPUTED_VALUE"""),1.16)</f>
        <v>1.16</v>
      </c>
      <c r="AO928" s="14">
        <f>IFERROR(__xludf.DUMMYFUNCTION("""COMPUTED_VALUE"""),0.974)</f>
        <v>0.974</v>
      </c>
      <c r="AP928" s="14">
        <f>IFERROR(__xludf.DUMMYFUNCTION("""COMPUTED_VALUE"""),44.0)</f>
        <v>44</v>
      </c>
      <c r="AQ928" s="14">
        <f>IFERROR(__xludf.DUMMYFUNCTION("""COMPUTED_VALUE"""),69.0)</f>
        <v>69</v>
      </c>
      <c r="AR928" s="14">
        <f>IFERROR(__xludf.DUMMYFUNCTION("""COMPUTED_VALUE"""),36.0)</f>
        <v>36</v>
      </c>
      <c r="AS928" s="14">
        <f>IFERROR(__xludf.DUMMYFUNCTION("""COMPUTED_VALUE"""),31.0)</f>
        <v>31</v>
      </c>
      <c r="AT928" s="14">
        <f>IFERROR(__xludf.DUMMYFUNCTION("""COMPUTED_VALUE"""),1.86)</f>
        <v>1.86</v>
      </c>
      <c r="AU928" s="14">
        <f>IFERROR(__xludf.DUMMYFUNCTION("""COMPUTED_VALUE"""),1.379E7)</f>
        <v>13790000</v>
      </c>
      <c r="AV928" s="14">
        <f>IFERROR(__xludf.DUMMYFUNCTION("""COMPUTED_VALUE"""),1.99)</f>
        <v>1.99</v>
      </c>
      <c r="AW928" s="14">
        <f>IFERROR(__xludf.DUMMYFUNCTION("""COMPUTED_VALUE"""),14.3)</f>
        <v>14.3</v>
      </c>
      <c r="AX928" s="14">
        <f>IFERROR(__xludf.DUMMYFUNCTION("""COMPUTED_VALUE"""),1.126E7)</f>
        <v>11260000</v>
      </c>
      <c r="AY928" s="14">
        <f>IFERROR(__xludf.DUMMYFUNCTION("""COMPUTED_VALUE"""),0.9)</f>
        <v>0.9</v>
      </c>
      <c r="AZ928" s="14">
        <f>IFERROR(__xludf.DUMMYFUNCTION("""COMPUTED_VALUE"""),0.007)</f>
        <v>0.007</v>
      </c>
      <c r="BA928" s="14">
        <f t="shared" si="1"/>
        <v>15.207</v>
      </c>
    </row>
    <row r="929" ht="14.25" customHeight="1">
      <c r="A929" s="10" t="str">
        <f>IFERROR(__xludf.DUMMYFUNCTION("""COMPUTED_VALUE"""),"190923SA01")</f>
        <v>190923SA01</v>
      </c>
      <c r="B929" s="12" t="str">
        <f>IFERROR(__xludf.DUMMYFUNCTION("""COMPUTED_VALUE"""),"QZA-Meissen")</f>
        <v>QZA-Meissen</v>
      </c>
      <c r="C929" s="12"/>
      <c r="D929" s="12"/>
      <c r="E929" s="44">
        <f>IFERROR(__xludf.DUMMYFUNCTION("""COMPUTED_VALUE"""),45188.0)</f>
        <v>45188</v>
      </c>
      <c r="F929" s="12" t="str">
        <f>IFERROR(__xludf.DUMMYFUNCTION("""COMPUTED_VALUE"""),"TIPO I")</f>
        <v>TIPO I</v>
      </c>
      <c r="G929" s="12" t="str">
        <f>IFERROR(__xludf.DUMMYFUNCTION("""COMPUTED_VALUE"""),"Canal en concreto, se percibe olor,  se observa color y residuos sólidos alrededor del punto. Altitud 2575 msnm.")</f>
        <v>Canal en concreto, se percibe olor,  se observa color y residuos sólidos alrededor del punto. Altitud 2575 msnm.</v>
      </c>
      <c r="H929" s="45">
        <f>IFERROR(__xludf.DUMMYFUNCTION("""COMPUTED_VALUE"""),0.25)</f>
        <v>0.25</v>
      </c>
      <c r="I929" s="45">
        <f>IFERROR(__xludf.DUMMYFUNCTION("""COMPUTED_VALUE"""),0.3333333333321207)</f>
        <v>0.3333333333</v>
      </c>
      <c r="J929" s="12">
        <f>IFERROR(__xludf.DUMMYFUNCTION("""COMPUTED_VALUE"""),7.9)</f>
        <v>7.9</v>
      </c>
      <c r="K929" s="12">
        <f>IFERROR(__xludf.DUMMYFUNCTION("""COMPUTED_VALUE"""),0.17)</f>
        <v>0.17</v>
      </c>
      <c r="L929" s="14">
        <f>IFERROR(__xludf.DUMMYFUNCTION("""COMPUTED_VALUE"""),362.921)</f>
        <v>362.921</v>
      </c>
      <c r="M929" s="14">
        <f>IFERROR(__xludf.DUMMYFUNCTION("""COMPUTED_VALUE"""),365.224)</f>
        <v>365.224</v>
      </c>
      <c r="N929" s="14">
        <f>IFERROR(__xludf.DUMMYFUNCTION("""COMPUTED_VALUE"""),372.204)</f>
        <v>372.204</v>
      </c>
      <c r="O929" s="14">
        <f>IFERROR(__xludf.DUMMYFUNCTION("""COMPUTED_VALUE"""),370.487)</f>
        <v>370.487</v>
      </c>
      <c r="P929" s="14">
        <f>IFERROR(__xludf.DUMMYFUNCTION("""COMPUTED_VALUE"""),370.929)</f>
        <v>370.929</v>
      </c>
      <c r="Q929" s="14">
        <f>IFERROR(__xludf.DUMMYFUNCTION("""COMPUTED_VALUE"""),368.353)</f>
        <v>368.353</v>
      </c>
      <c r="R929" s="48">
        <f>IFERROR(__xludf.DUMMYFUNCTION("""COMPUTED_VALUE"""),7.76)</f>
        <v>7.76</v>
      </c>
      <c r="S929" s="48">
        <f>IFERROR(__xludf.DUMMYFUNCTION("""COMPUTED_VALUE"""),7.81)</f>
        <v>7.81</v>
      </c>
      <c r="T929" s="48">
        <f>IFERROR(__xludf.DUMMYFUNCTION("""COMPUTED_VALUE"""),7.93)</f>
        <v>7.93</v>
      </c>
      <c r="U929" s="48">
        <f>IFERROR(__xludf.DUMMYFUNCTION("""COMPUTED_VALUE"""),7.9)</f>
        <v>7.9</v>
      </c>
      <c r="V929" s="48">
        <f>IFERROR(__xludf.DUMMYFUNCTION("""COMPUTED_VALUE"""),7.75)</f>
        <v>7.75</v>
      </c>
      <c r="W929" s="14">
        <f>IFERROR(__xludf.DUMMYFUNCTION("""COMPUTED_VALUE"""),7.83)</f>
        <v>7.83</v>
      </c>
      <c r="X929" s="14">
        <f>IFERROR(__xludf.DUMMYFUNCTION("""COMPUTED_VALUE"""),14.7)</f>
        <v>14.7</v>
      </c>
      <c r="Y929" s="14">
        <f>IFERROR(__xludf.DUMMYFUNCTION("""COMPUTED_VALUE"""),15.3)</f>
        <v>15.3</v>
      </c>
      <c r="Z929" s="14">
        <f>IFERROR(__xludf.DUMMYFUNCTION("""COMPUTED_VALUE"""),16.1)</f>
        <v>16.1</v>
      </c>
      <c r="AA929" s="14">
        <f>IFERROR(__xludf.DUMMYFUNCTION("""COMPUTED_VALUE"""),16.0)</f>
        <v>16</v>
      </c>
      <c r="AB929" s="14">
        <f>IFERROR(__xludf.DUMMYFUNCTION("""COMPUTED_VALUE"""),16.6)</f>
        <v>16.6</v>
      </c>
      <c r="AC929" s="14">
        <f>IFERROR(__xludf.DUMMYFUNCTION("""COMPUTED_VALUE"""),15.74)</f>
        <v>15.74</v>
      </c>
      <c r="AD929" s="48">
        <f>IFERROR(__xludf.DUMMYFUNCTION("""COMPUTED_VALUE"""),542.0)</f>
        <v>542</v>
      </c>
      <c r="AE929" s="48">
        <f>IFERROR(__xludf.DUMMYFUNCTION("""COMPUTED_VALUE"""),599.0)</f>
        <v>599</v>
      </c>
      <c r="AF929" s="48">
        <f>IFERROR(__xludf.DUMMYFUNCTION("""COMPUTED_VALUE"""),623.0)</f>
        <v>623</v>
      </c>
      <c r="AG929" s="48">
        <f>IFERROR(__xludf.DUMMYFUNCTION("""COMPUTED_VALUE"""),628.0)</f>
        <v>628</v>
      </c>
      <c r="AH929" s="48">
        <f>IFERROR(__xludf.DUMMYFUNCTION("""COMPUTED_VALUE"""),607.0)</f>
        <v>607</v>
      </c>
      <c r="AI929" s="14">
        <f>IFERROR(__xludf.DUMMYFUNCTION("""COMPUTED_VALUE"""),599.8)</f>
        <v>599.8</v>
      </c>
      <c r="AJ929" s="14">
        <f>IFERROR(__xludf.DUMMYFUNCTION("""COMPUTED_VALUE"""),6.37)</f>
        <v>6.37</v>
      </c>
      <c r="AK929" s="14">
        <f>IFERROR(__xludf.DUMMYFUNCTION("""COMPUTED_VALUE"""),5.25)</f>
        <v>5.25</v>
      </c>
      <c r="AL929" s="14">
        <f>IFERROR(__xludf.DUMMYFUNCTION("""COMPUTED_VALUE"""),4.95)</f>
        <v>4.95</v>
      </c>
      <c r="AM929" s="14">
        <f>IFERROR(__xludf.DUMMYFUNCTION("""COMPUTED_VALUE"""),5.08)</f>
        <v>5.08</v>
      </c>
      <c r="AN929" s="14">
        <f>IFERROR(__xludf.DUMMYFUNCTION("""COMPUTED_VALUE"""),3.77)</f>
        <v>3.77</v>
      </c>
      <c r="AO929" s="14">
        <f>IFERROR(__xludf.DUMMYFUNCTION("""COMPUTED_VALUE"""),5.084)</f>
        <v>5.084</v>
      </c>
      <c r="AP929" s="14">
        <f>IFERROR(__xludf.DUMMYFUNCTION("""COMPUTED_VALUE"""),112.0)</f>
        <v>112</v>
      </c>
      <c r="AQ929" s="14">
        <f>IFERROR(__xludf.DUMMYFUNCTION("""COMPUTED_VALUE"""),165.0)</f>
        <v>165</v>
      </c>
      <c r="AR929" s="14">
        <f>IFERROR(__xludf.DUMMYFUNCTION("""COMPUTED_VALUE"""),59.0)</f>
        <v>59</v>
      </c>
      <c r="AS929" s="14">
        <f>IFERROR(__xludf.DUMMYFUNCTION("""COMPUTED_VALUE"""),26.0)</f>
        <v>26</v>
      </c>
      <c r="AT929" s="14">
        <f>IFERROR(__xludf.DUMMYFUNCTION("""COMPUTED_VALUE"""),3.08)</f>
        <v>3.08</v>
      </c>
      <c r="AU929" s="14">
        <f>IFERROR(__xludf.DUMMYFUNCTION("""COMPUTED_VALUE"""),1.421E7)</f>
        <v>14210000</v>
      </c>
      <c r="AV929" s="14">
        <f>IFERROR(__xludf.DUMMYFUNCTION("""COMPUTED_VALUE"""),4.75)</f>
        <v>4.75</v>
      </c>
      <c r="AW929" s="14">
        <f>IFERROR(__xludf.DUMMYFUNCTION("""COMPUTED_VALUE"""),35.6)</f>
        <v>35.6</v>
      </c>
      <c r="AX929" s="14">
        <f>IFERROR(__xludf.DUMMYFUNCTION("""COMPUTED_VALUE"""),9320000.0)</f>
        <v>9320000</v>
      </c>
      <c r="AY929" s="14">
        <f>IFERROR(__xludf.DUMMYFUNCTION("""COMPUTED_VALUE"""),1.6)</f>
        <v>1.6</v>
      </c>
      <c r="AZ929" s="14">
        <f>IFERROR(__xludf.DUMMYFUNCTION("""COMPUTED_VALUE"""),0.007)</f>
        <v>0.007</v>
      </c>
      <c r="BA929" s="14">
        <f t="shared" si="1"/>
        <v>37.207</v>
      </c>
    </row>
    <row r="930" ht="14.25" customHeight="1">
      <c r="A930" s="10" t="str">
        <f>IFERROR(__xludf.DUMMYFUNCTION("""COMPUTED_VALUE"""),"190923LA02")</f>
        <v>190923LA02</v>
      </c>
      <c r="B930" s="12" t="str">
        <f>IFERROR(__xludf.DUMMYFUNCTION("""COMPUTED_VALUE"""),"QYO-Monte Blanco")</f>
        <v>QYO-Monte Blanco</v>
      </c>
      <c r="C930" s="12"/>
      <c r="D930" s="12"/>
      <c r="E930" s="44">
        <f>IFERROR(__xludf.DUMMYFUNCTION("""COMPUTED_VALUE"""),45188.0)</f>
        <v>45188</v>
      </c>
      <c r="F930" s="12" t="str">
        <f>IFERROR(__xludf.DUMMYFUNCTION("""COMPUTED_VALUE"""),"TIPO I")</f>
        <v>TIPO I</v>
      </c>
      <c r="G930" s="12" t="str">
        <f>IFERROR(__xludf.DUMMYFUNCTION("""COMPUTED_VALUE"""),"Canal natural con lecho rocoso , se observan residuos sólidos en el margen del canal, durante el monitoreo se presentan lluvias leves. Altitud 2649 msnm.")</f>
        <v>Canal natural con lecho rocoso , se observan residuos sólidos en el margen del canal, durante el monitoreo se presentan lluvias leves. Altitud 2649 msnm.</v>
      </c>
      <c r="H930" s="45">
        <f>IFERROR(__xludf.DUMMYFUNCTION("""COMPUTED_VALUE"""),0.4166666666678793)</f>
        <v>0.4166666667</v>
      </c>
      <c r="I930" s="45">
        <f>IFERROR(__xludf.DUMMYFUNCTION("""COMPUTED_VALUE"""),0.5)</f>
        <v>0.5</v>
      </c>
      <c r="J930" s="12">
        <f>IFERROR(__xludf.DUMMYFUNCTION("""COMPUTED_VALUE"""),4.5)</f>
        <v>4.5</v>
      </c>
      <c r="K930" s="12">
        <f>IFERROR(__xludf.DUMMYFUNCTION("""COMPUTED_VALUE"""),0.4)</f>
        <v>0.4</v>
      </c>
      <c r="L930" s="14">
        <f>IFERROR(__xludf.DUMMYFUNCTION("""COMPUTED_VALUE"""),423.457)</f>
        <v>423.457</v>
      </c>
      <c r="M930" s="14">
        <f>IFERROR(__xludf.DUMMYFUNCTION("""COMPUTED_VALUE"""),434.819)</f>
        <v>434.819</v>
      </c>
      <c r="N930" s="14">
        <f>IFERROR(__xludf.DUMMYFUNCTION("""COMPUTED_VALUE"""),440.666)</f>
        <v>440.666</v>
      </c>
      <c r="O930" s="14">
        <f>IFERROR(__xludf.DUMMYFUNCTION("""COMPUTED_VALUE"""),442.509)</f>
        <v>442.509</v>
      </c>
      <c r="P930" s="14">
        <f>IFERROR(__xludf.DUMMYFUNCTION("""COMPUTED_VALUE"""),451.176)</f>
        <v>451.176</v>
      </c>
      <c r="Q930" s="14">
        <f>IFERROR(__xludf.DUMMYFUNCTION("""COMPUTED_VALUE"""),438.525)</f>
        <v>438.525</v>
      </c>
      <c r="R930" s="48">
        <f>IFERROR(__xludf.DUMMYFUNCTION("""COMPUTED_VALUE"""),7.54)</f>
        <v>7.54</v>
      </c>
      <c r="S930" s="48">
        <f>IFERROR(__xludf.DUMMYFUNCTION("""COMPUTED_VALUE"""),7.46)</f>
        <v>7.46</v>
      </c>
      <c r="T930" s="48">
        <f>IFERROR(__xludf.DUMMYFUNCTION("""COMPUTED_VALUE"""),7.51)</f>
        <v>7.51</v>
      </c>
      <c r="U930" s="48">
        <f>IFERROR(__xludf.DUMMYFUNCTION("""COMPUTED_VALUE"""),7.48)</f>
        <v>7.48</v>
      </c>
      <c r="V930" s="48">
        <f>IFERROR(__xludf.DUMMYFUNCTION("""COMPUTED_VALUE"""),7.4)</f>
        <v>7.4</v>
      </c>
      <c r="W930" s="14">
        <f>IFERROR(__xludf.DUMMYFUNCTION("""COMPUTED_VALUE"""),7.478)</f>
        <v>7.478</v>
      </c>
      <c r="X930" s="14">
        <f>IFERROR(__xludf.DUMMYFUNCTION("""COMPUTED_VALUE"""),14.3)</f>
        <v>14.3</v>
      </c>
      <c r="Y930" s="14">
        <f>IFERROR(__xludf.DUMMYFUNCTION("""COMPUTED_VALUE"""),14.4)</f>
        <v>14.4</v>
      </c>
      <c r="Z930" s="14">
        <f>IFERROR(__xludf.DUMMYFUNCTION("""COMPUTED_VALUE"""),14.7)</f>
        <v>14.7</v>
      </c>
      <c r="AA930" s="14">
        <f>IFERROR(__xludf.DUMMYFUNCTION("""COMPUTED_VALUE"""),14.6)</f>
        <v>14.6</v>
      </c>
      <c r="AB930" s="14">
        <f>IFERROR(__xludf.DUMMYFUNCTION("""COMPUTED_VALUE"""),14.8)</f>
        <v>14.8</v>
      </c>
      <c r="AC930" s="14">
        <f>IFERROR(__xludf.DUMMYFUNCTION("""COMPUTED_VALUE"""),14.560000000000002)</f>
        <v>14.56</v>
      </c>
      <c r="AD930" s="48">
        <f>IFERROR(__xludf.DUMMYFUNCTION("""COMPUTED_VALUE"""),168.1)</f>
        <v>168.1</v>
      </c>
      <c r="AE930" s="48">
        <f>IFERROR(__xludf.DUMMYFUNCTION("""COMPUTED_VALUE"""),172.9)</f>
        <v>172.9</v>
      </c>
      <c r="AF930" s="48">
        <f>IFERROR(__xludf.DUMMYFUNCTION("""COMPUTED_VALUE"""),161.2)</f>
        <v>161.2</v>
      </c>
      <c r="AG930" s="48">
        <f>IFERROR(__xludf.DUMMYFUNCTION("""COMPUTED_VALUE"""),173.8)</f>
        <v>173.8</v>
      </c>
      <c r="AH930" s="48">
        <f>IFERROR(__xludf.DUMMYFUNCTION("""COMPUTED_VALUE"""),180.8)</f>
        <v>180.8</v>
      </c>
      <c r="AI930" s="14">
        <f>IFERROR(__xludf.DUMMYFUNCTION("""COMPUTED_VALUE"""),171.35999999999999)</f>
        <v>171.36</v>
      </c>
      <c r="AJ930" s="14">
        <f>IFERROR(__xludf.DUMMYFUNCTION("""COMPUTED_VALUE"""),5.62)</f>
        <v>5.62</v>
      </c>
      <c r="AK930" s="14">
        <f>IFERROR(__xludf.DUMMYFUNCTION("""COMPUTED_VALUE"""),5.48)</f>
        <v>5.48</v>
      </c>
      <c r="AL930" s="14">
        <f>IFERROR(__xludf.DUMMYFUNCTION("""COMPUTED_VALUE"""),6.01)</f>
        <v>6.01</v>
      </c>
      <c r="AM930" s="14">
        <f>IFERROR(__xludf.DUMMYFUNCTION("""COMPUTED_VALUE"""),5.38)</f>
        <v>5.38</v>
      </c>
      <c r="AN930" s="14">
        <f>IFERROR(__xludf.DUMMYFUNCTION("""COMPUTED_VALUE"""),5.57)</f>
        <v>5.57</v>
      </c>
      <c r="AO930" s="14">
        <f>IFERROR(__xludf.DUMMYFUNCTION("""COMPUTED_VALUE"""),5.612)</f>
        <v>5.612</v>
      </c>
      <c r="AP930" s="14">
        <f>IFERROR(__xludf.DUMMYFUNCTION("""COMPUTED_VALUE"""),30.0)</f>
        <v>30</v>
      </c>
      <c r="AQ930" s="14">
        <f>IFERROR(__xludf.DUMMYFUNCTION("""COMPUTED_VALUE"""),46.0)</f>
        <v>46</v>
      </c>
      <c r="AR930" s="14">
        <f>IFERROR(__xludf.DUMMYFUNCTION("""COMPUTED_VALUE"""),26.0)</f>
        <v>26</v>
      </c>
      <c r="AS930" s="14">
        <f>IFERROR(__xludf.DUMMYFUNCTION("""COMPUTED_VALUE"""),1.0)</f>
        <v>1</v>
      </c>
      <c r="AT930" s="14">
        <f>IFERROR(__xludf.DUMMYFUNCTION("""COMPUTED_VALUE"""),0.16)</f>
        <v>0.16</v>
      </c>
      <c r="AU930" s="14">
        <f>IFERROR(__xludf.DUMMYFUNCTION("""COMPUTED_VALUE"""),1.124E7)</f>
        <v>11240000</v>
      </c>
      <c r="AV930" s="14">
        <f>IFERROR(__xludf.DUMMYFUNCTION("""COMPUTED_VALUE"""),0.86)</f>
        <v>0.86</v>
      </c>
      <c r="AW930" s="14">
        <f>IFERROR(__xludf.DUMMYFUNCTION("""COMPUTED_VALUE"""),9.2)</f>
        <v>9.2</v>
      </c>
      <c r="AX930" s="14">
        <f>IFERROR(__xludf.DUMMYFUNCTION("""COMPUTED_VALUE"""),9110000.0)</f>
        <v>9110000</v>
      </c>
      <c r="AY930" s="14">
        <f>IFERROR(__xludf.DUMMYFUNCTION("""COMPUTED_VALUE"""),1.1)</f>
        <v>1.1</v>
      </c>
      <c r="AZ930" s="14">
        <f>IFERROR(__xludf.DUMMYFUNCTION("""COMPUTED_VALUE"""),0.153)</f>
        <v>0.153</v>
      </c>
      <c r="BA930" s="14">
        <f t="shared" si="1"/>
        <v>10.453</v>
      </c>
    </row>
    <row r="931" ht="14.25" customHeight="1">
      <c r="A931" s="10" t="str">
        <f>IFERROR(__xludf.DUMMYFUNCTION("""COMPUTED_VALUE"""),"190923FM03")</f>
        <v>190923FM03</v>
      </c>
      <c r="B931" s="12" t="str">
        <f>IFERROR(__xludf.DUMMYFUNCTION("""COMPUTED_VALUE"""),"QZA-Quindío")</f>
        <v>QZA-Quindío</v>
      </c>
      <c r="C931" s="12"/>
      <c r="D931" s="12"/>
      <c r="E931" s="44">
        <f>IFERROR(__xludf.DUMMYFUNCTION("""COMPUTED_VALUE"""),45188.0)</f>
        <v>45188</v>
      </c>
      <c r="F931" s="12" t="str">
        <f>IFERROR(__xludf.DUMMYFUNCTION("""COMPUTED_VALUE"""),"TIPO I")</f>
        <v>TIPO I</v>
      </c>
      <c r="G931" s="12" t="str">
        <f>IFERROR(__xludf.DUMMYFUNCTION("""COMPUTED_VALUE"""),"Canala natural con lecho rocoso, no se percibe olor y no se observa color, se observan residuos sólido en las márgenes del canal. Altitud  2949 msnm")</f>
        <v>Canala natural con lecho rocoso, no se percibe olor y no se observa color, se observan residuos sólido en las márgenes del canal. Altitud  2949 msnm</v>
      </c>
      <c r="H931" s="45">
        <f>IFERROR(__xludf.DUMMYFUNCTION("""COMPUTED_VALUE"""),0.6666666666678793)</f>
        <v>0.6666666667</v>
      </c>
      <c r="I931" s="45">
        <f>IFERROR(__xludf.DUMMYFUNCTION("""COMPUTED_VALUE"""),0.75)</f>
        <v>0.75</v>
      </c>
      <c r="J931" s="12">
        <f>IFERROR(__xludf.DUMMYFUNCTION("""COMPUTED_VALUE"""),0.6)</f>
        <v>0.6</v>
      </c>
      <c r="K931" s="12">
        <f>IFERROR(__xludf.DUMMYFUNCTION("""COMPUTED_VALUE"""),0.33)</f>
        <v>0.33</v>
      </c>
      <c r="L931" s="14">
        <f>IFERROR(__xludf.DUMMYFUNCTION("""COMPUTED_VALUE"""),22.842)</f>
        <v>22.842</v>
      </c>
      <c r="M931" s="14">
        <f>IFERROR(__xludf.DUMMYFUNCTION("""COMPUTED_VALUE"""),22.836)</f>
        <v>22.836</v>
      </c>
      <c r="N931" s="14">
        <f>IFERROR(__xludf.DUMMYFUNCTION("""COMPUTED_VALUE"""),22.118)</f>
        <v>22.118</v>
      </c>
      <c r="O931" s="14">
        <f>IFERROR(__xludf.DUMMYFUNCTION("""COMPUTED_VALUE"""),23.551)</f>
        <v>23.551</v>
      </c>
      <c r="P931" s="14">
        <f>IFERROR(__xludf.DUMMYFUNCTION("""COMPUTED_VALUE"""),22.691)</f>
        <v>22.691</v>
      </c>
      <c r="Q931" s="14">
        <f>IFERROR(__xludf.DUMMYFUNCTION("""COMPUTED_VALUE"""),22.808)</f>
        <v>22.808</v>
      </c>
      <c r="R931" s="48">
        <f>IFERROR(__xludf.DUMMYFUNCTION("""COMPUTED_VALUE"""),7.65)</f>
        <v>7.65</v>
      </c>
      <c r="S931" s="48">
        <f>IFERROR(__xludf.DUMMYFUNCTION("""COMPUTED_VALUE"""),7.18)</f>
        <v>7.18</v>
      </c>
      <c r="T931" s="48">
        <f>IFERROR(__xludf.DUMMYFUNCTION("""COMPUTED_VALUE"""),6.63)</f>
        <v>6.63</v>
      </c>
      <c r="U931" s="48">
        <f>IFERROR(__xludf.DUMMYFUNCTION("""COMPUTED_VALUE"""),7.21)</f>
        <v>7.21</v>
      </c>
      <c r="V931" s="48">
        <f>IFERROR(__xludf.DUMMYFUNCTION("""COMPUTED_VALUE"""),7.09)</f>
        <v>7.09</v>
      </c>
      <c r="W931" s="14">
        <f>IFERROR(__xludf.DUMMYFUNCTION("""COMPUTED_VALUE"""),7.152000000000001)</f>
        <v>7.152</v>
      </c>
      <c r="X931" s="14">
        <f>IFERROR(__xludf.DUMMYFUNCTION("""COMPUTED_VALUE"""),11.8)</f>
        <v>11.8</v>
      </c>
      <c r="Y931" s="14">
        <f>IFERROR(__xludf.DUMMYFUNCTION("""COMPUTED_VALUE"""),11.4)</f>
        <v>11.4</v>
      </c>
      <c r="Z931" s="14">
        <f>IFERROR(__xludf.DUMMYFUNCTION("""COMPUTED_VALUE"""),11.5)</f>
        <v>11.5</v>
      </c>
      <c r="AA931" s="14">
        <f>IFERROR(__xludf.DUMMYFUNCTION("""COMPUTED_VALUE"""),11.4)</f>
        <v>11.4</v>
      </c>
      <c r="AB931" s="14">
        <f>IFERROR(__xludf.DUMMYFUNCTION("""COMPUTED_VALUE"""),11.4)</f>
        <v>11.4</v>
      </c>
      <c r="AC931" s="14">
        <f>IFERROR(__xludf.DUMMYFUNCTION("""COMPUTED_VALUE"""),11.5)</f>
        <v>11.5</v>
      </c>
      <c r="AD931" s="48">
        <f>IFERROR(__xludf.DUMMYFUNCTION("""COMPUTED_VALUE"""),36.3)</f>
        <v>36.3</v>
      </c>
      <c r="AE931" s="48">
        <f>IFERROR(__xludf.DUMMYFUNCTION("""COMPUTED_VALUE"""),31.0)</f>
        <v>31</v>
      </c>
      <c r="AF931" s="48">
        <f>IFERROR(__xludf.DUMMYFUNCTION("""COMPUTED_VALUE"""),25.2)</f>
        <v>25.2</v>
      </c>
      <c r="AG931" s="48">
        <f>IFERROR(__xludf.DUMMYFUNCTION("""COMPUTED_VALUE"""),26.3)</f>
        <v>26.3</v>
      </c>
      <c r="AH931" s="48">
        <f>IFERROR(__xludf.DUMMYFUNCTION("""COMPUTED_VALUE"""),27.0)</f>
        <v>27</v>
      </c>
      <c r="AI931" s="14">
        <f>IFERROR(__xludf.DUMMYFUNCTION("""COMPUTED_VALUE"""),29.160000000000004)</f>
        <v>29.16</v>
      </c>
      <c r="AJ931" s="14">
        <f>IFERROR(__xludf.DUMMYFUNCTION("""COMPUTED_VALUE"""),5.74)</f>
        <v>5.74</v>
      </c>
      <c r="AK931" s="14">
        <f>IFERROR(__xludf.DUMMYFUNCTION("""COMPUTED_VALUE"""),5.33)</f>
        <v>5.33</v>
      </c>
      <c r="AL931" s="14">
        <f>IFERROR(__xludf.DUMMYFUNCTION("""COMPUTED_VALUE"""),5.57)</f>
        <v>5.57</v>
      </c>
      <c r="AM931" s="14">
        <f>IFERROR(__xludf.DUMMYFUNCTION("""COMPUTED_VALUE"""),5.27)</f>
        <v>5.27</v>
      </c>
      <c r="AN931" s="14">
        <f>IFERROR(__xludf.DUMMYFUNCTION("""COMPUTED_VALUE"""),5.2)</f>
        <v>5.2</v>
      </c>
      <c r="AO931" s="14">
        <f>IFERROR(__xludf.DUMMYFUNCTION("""COMPUTED_VALUE"""),5.422)</f>
        <v>5.422</v>
      </c>
      <c r="AP931" s="14">
        <f>IFERROR(__xludf.DUMMYFUNCTION("""COMPUTED_VALUE"""),8.0)</f>
        <v>8</v>
      </c>
      <c r="AQ931" s="14">
        <f>IFERROR(__xludf.DUMMYFUNCTION("""COMPUTED_VALUE"""),12.0)</f>
        <v>12</v>
      </c>
      <c r="AR931" s="14">
        <f>IFERROR(__xludf.DUMMYFUNCTION("""COMPUTED_VALUE"""),5.0)</f>
        <v>5</v>
      </c>
      <c r="AS931" s="14">
        <f>IFERROR(__xludf.DUMMYFUNCTION("""COMPUTED_VALUE"""),1.0)</f>
        <v>1</v>
      </c>
      <c r="AT931" s="14">
        <f>IFERROR(__xludf.DUMMYFUNCTION("""COMPUTED_VALUE"""),0.07)</f>
        <v>0.07</v>
      </c>
      <c r="AU931" s="14">
        <f>IFERROR(__xludf.DUMMYFUNCTION("""COMPUTED_VALUE"""),1267000.0)</f>
        <v>1267000</v>
      </c>
      <c r="AV931" s="14">
        <f>IFERROR(__xludf.DUMMYFUNCTION("""COMPUTED_VALUE"""),0.05)</f>
        <v>0.05</v>
      </c>
      <c r="AW931" s="14">
        <f>IFERROR(__xludf.DUMMYFUNCTION("""COMPUTED_VALUE"""),1.0)</f>
        <v>1</v>
      </c>
      <c r="AX931" s="14">
        <f>IFERROR(__xludf.DUMMYFUNCTION("""COMPUTED_VALUE"""),839000.0)</f>
        <v>839000</v>
      </c>
      <c r="AY931" s="14">
        <f>IFERROR(__xludf.DUMMYFUNCTION("""COMPUTED_VALUE"""),1.6)</f>
        <v>1.6</v>
      </c>
      <c r="AZ931" s="14">
        <f>IFERROR(__xludf.DUMMYFUNCTION("""COMPUTED_VALUE"""),0.007)</f>
        <v>0.007</v>
      </c>
      <c r="BA931" s="14">
        <f t="shared" si="1"/>
        <v>2.607</v>
      </c>
    </row>
    <row r="932" ht="14.25" customHeight="1">
      <c r="A932" s="10" t="str">
        <f>IFERROR(__xludf.DUMMYFUNCTION("""COMPUTED_VALUE"""),"190923SA02")</f>
        <v>190923SA02</v>
      </c>
      <c r="B932" s="12" t="str">
        <f>IFERROR(__xludf.DUMMYFUNCTION("""COMPUTED_VALUE"""),"QZA-Molinos")</f>
        <v>QZA-Molinos</v>
      </c>
      <c r="C932" s="12"/>
      <c r="D932" s="12"/>
      <c r="E932" s="44">
        <f>IFERROR(__xludf.DUMMYFUNCTION("""COMPUTED_VALUE"""),45188.0)</f>
        <v>45188</v>
      </c>
      <c r="F932" s="12" t="str">
        <f>IFERROR(__xludf.DUMMYFUNCTION("""COMPUTED_VALUE"""),"TIPO I")</f>
        <v>TIPO I</v>
      </c>
      <c r="G932" s="12" t="str">
        <f>IFERROR(__xludf.DUMMYFUNCTION("""COMPUTED_VALUE"""),"Canal natural de estructura irregular, lecho rocoso, durante el procedimiento de toma de muestra se percibe olor, se observa color, residuos solidos alrededor del punto y material flotante en el cauce del canal.")</f>
        <v>Canal natural de estructura irregular, lecho rocoso, durante el procedimiento de toma de muestra se percibe olor, se observa color, residuos solidos alrededor del punto y material flotante en el cauce del canal.</v>
      </c>
      <c r="H932" s="45">
        <f>IFERROR(__xludf.DUMMYFUNCTION("""COMPUTED_VALUE"""),0.4166666666678793)</f>
        <v>0.4166666667</v>
      </c>
      <c r="I932" s="45">
        <f>IFERROR(__xludf.DUMMYFUNCTION("""COMPUTED_VALUE"""),0.5)</f>
        <v>0.5</v>
      </c>
      <c r="J932" s="12">
        <f>IFERROR(__xludf.DUMMYFUNCTION("""COMPUTED_VALUE"""),4.75)</f>
        <v>4.75</v>
      </c>
      <c r="K932" s="12">
        <f>IFERROR(__xludf.DUMMYFUNCTION("""COMPUTED_VALUE"""),0.25)</f>
        <v>0.25</v>
      </c>
      <c r="L932" s="14">
        <f>IFERROR(__xludf.DUMMYFUNCTION("""COMPUTED_VALUE"""),240.691)</f>
        <v>240.691</v>
      </c>
      <c r="M932" s="14">
        <f>IFERROR(__xludf.DUMMYFUNCTION("""COMPUTED_VALUE"""),248.331)</f>
        <v>248.331</v>
      </c>
      <c r="N932" s="14">
        <f>IFERROR(__xludf.DUMMYFUNCTION("""COMPUTED_VALUE"""),244.668)</f>
        <v>244.668</v>
      </c>
      <c r="O932" s="14">
        <f>IFERROR(__xludf.DUMMYFUNCTION("""COMPUTED_VALUE"""),239.31)</f>
        <v>239.31</v>
      </c>
      <c r="P932" s="14">
        <f>IFERROR(__xludf.DUMMYFUNCTION("""COMPUTED_VALUE"""),237.8)</f>
        <v>237.8</v>
      </c>
      <c r="Q932" s="14">
        <f>IFERROR(__xludf.DUMMYFUNCTION("""COMPUTED_VALUE"""),242.16)</f>
        <v>242.16</v>
      </c>
      <c r="R932" s="48">
        <f>IFERROR(__xludf.DUMMYFUNCTION("""COMPUTED_VALUE"""),7.78)</f>
        <v>7.78</v>
      </c>
      <c r="S932" s="48">
        <f>IFERROR(__xludf.DUMMYFUNCTION("""COMPUTED_VALUE"""),7.7)</f>
        <v>7.7</v>
      </c>
      <c r="T932" s="48">
        <f>IFERROR(__xludf.DUMMYFUNCTION("""COMPUTED_VALUE"""),7.66)</f>
        <v>7.66</v>
      </c>
      <c r="U932" s="48">
        <f>IFERROR(__xludf.DUMMYFUNCTION("""COMPUTED_VALUE"""),7.53)</f>
        <v>7.53</v>
      </c>
      <c r="V932" s="48">
        <f>IFERROR(__xludf.DUMMYFUNCTION("""COMPUTED_VALUE"""),7.49)</f>
        <v>7.49</v>
      </c>
      <c r="W932" s="14">
        <f>IFERROR(__xludf.DUMMYFUNCTION("""COMPUTED_VALUE"""),7.632000000000001)</f>
        <v>7.632</v>
      </c>
      <c r="X932" s="14">
        <f>IFERROR(__xludf.DUMMYFUNCTION("""COMPUTED_VALUE"""),16.6)</f>
        <v>16.6</v>
      </c>
      <c r="Y932" s="14">
        <f>IFERROR(__xludf.DUMMYFUNCTION("""COMPUTED_VALUE"""),17.0)</f>
        <v>17</v>
      </c>
      <c r="Z932" s="14">
        <f>IFERROR(__xludf.DUMMYFUNCTION("""COMPUTED_VALUE"""),17.1)</f>
        <v>17.1</v>
      </c>
      <c r="AA932" s="14">
        <f>IFERROR(__xludf.DUMMYFUNCTION("""COMPUTED_VALUE"""),16.9)</f>
        <v>16.9</v>
      </c>
      <c r="AB932" s="14">
        <f>IFERROR(__xludf.DUMMYFUNCTION("""COMPUTED_VALUE"""),17.1)</f>
        <v>17.1</v>
      </c>
      <c r="AC932" s="14">
        <f>IFERROR(__xludf.DUMMYFUNCTION("""COMPUTED_VALUE"""),16.939999999999998)</f>
        <v>16.94</v>
      </c>
      <c r="AD932" s="48">
        <f>IFERROR(__xludf.DUMMYFUNCTION("""COMPUTED_VALUE"""),662.0)</f>
        <v>662</v>
      </c>
      <c r="AE932" s="48">
        <f>IFERROR(__xludf.DUMMYFUNCTION("""COMPUTED_VALUE"""),681.0)</f>
        <v>681</v>
      </c>
      <c r="AF932" s="48">
        <f>IFERROR(__xludf.DUMMYFUNCTION("""COMPUTED_VALUE"""),671.0)</f>
        <v>671</v>
      </c>
      <c r="AG932" s="48">
        <f>IFERROR(__xludf.DUMMYFUNCTION("""COMPUTED_VALUE"""),609.0)</f>
        <v>609</v>
      </c>
      <c r="AH932" s="48">
        <f>IFERROR(__xludf.DUMMYFUNCTION("""COMPUTED_VALUE"""),597.0)</f>
        <v>597</v>
      </c>
      <c r="AI932" s="14">
        <f>IFERROR(__xludf.DUMMYFUNCTION("""COMPUTED_VALUE"""),644.0)</f>
        <v>644</v>
      </c>
      <c r="AJ932" s="14">
        <f>IFERROR(__xludf.DUMMYFUNCTION("""COMPUTED_VALUE"""),2.07)</f>
        <v>2.07</v>
      </c>
      <c r="AK932" s="14">
        <f>IFERROR(__xludf.DUMMYFUNCTION("""COMPUTED_VALUE"""),2.15)</f>
        <v>2.15</v>
      </c>
      <c r="AL932" s="14">
        <f>IFERROR(__xludf.DUMMYFUNCTION("""COMPUTED_VALUE"""),1.89)</f>
        <v>1.89</v>
      </c>
      <c r="AM932" s="14">
        <f>IFERROR(__xludf.DUMMYFUNCTION("""COMPUTED_VALUE"""),2.24)</f>
        <v>2.24</v>
      </c>
      <c r="AN932" s="14">
        <f>IFERROR(__xludf.DUMMYFUNCTION("""COMPUTED_VALUE"""),1.64)</f>
        <v>1.64</v>
      </c>
      <c r="AO932" s="14">
        <f>IFERROR(__xludf.DUMMYFUNCTION("""COMPUTED_VALUE"""),1.998)</f>
        <v>1.998</v>
      </c>
      <c r="AP932" s="14">
        <f>IFERROR(__xludf.DUMMYFUNCTION("""COMPUTED_VALUE"""),135.0)</f>
        <v>135</v>
      </c>
      <c r="AQ932" s="14">
        <f>IFERROR(__xludf.DUMMYFUNCTION("""COMPUTED_VALUE"""),202.0)</f>
        <v>202</v>
      </c>
      <c r="AR932" s="14">
        <f>IFERROR(__xludf.DUMMYFUNCTION("""COMPUTED_VALUE"""),165.0)</f>
        <v>165</v>
      </c>
      <c r="AS932" s="14">
        <f>IFERROR(__xludf.DUMMYFUNCTION("""COMPUTED_VALUE"""),37.0)</f>
        <v>37</v>
      </c>
      <c r="AT932" s="14">
        <f>IFERROR(__xludf.DUMMYFUNCTION("""COMPUTED_VALUE"""),4.52)</f>
        <v>4.52</v>
      </c>
      <c r="AU932" s="14">
        <f>IFERROR(__xludf.DUMMYFUNCTION("""COMPUTED_VALUE"""),1.396E7)</f>
        <v>13960000</v>
      </c>
      <c r="AV932" s="14">
        <f>IFERROR(__xludf.DUMMYFUNCTION("""COMPUTED_VALUE"""),5.04)</f>
        <v>5.04</v>
      </c>
      <c r="AW932" s="14">
        <f>IFERROR(__xludf.DUMMYFUNCTION("""COMPUTED_VALUE"""),40.9)</f>
        <v>40.9</v>
      </c>
      <c r="AX932" s="14">
        <f>IFERROR(__xludf.DUMMYFUNCTION("""COMPUTED_VALUE"""),9600000.0)</f>
        <v>9600000</v>
      </c>
      <c r="AY932" s="14">
        <f>IFERROR(__xludf.DUMMYFUNCTION("""COMPUTED_VALUE"""),2.0)</f>
        <v>2</v>
      </c>
      <c r="AZ932" s="14">
        <f>IFERROR(__xludf.DUMMYFUNCTION("""COMPUTED_VALUE"""),0.007)</f>
        <v>0.007</v>
      </c>
      <c r="BA932" s="14">
        <f t="shared" si="1"/>
        <v>42.907</v>
      </c>
    </row>
    <row r="933" ht="14.25" customHeight="1">
      <c r="A933" s="10" t="str">
        <f>IFERROR(__xludf.DUMMYFUNCTION("""COMPUTED_VALUE"""),"190923LA01")</f>
        <v>190923LA01</v>
      </c>
      <c r="B933" s="12" t="str">
        <f>IFERROR(__xludf.DUMMYFUNCTION("""COMPUTED_VALUE"""),"QYO-Bolonia")</f>
        <v>QYO-Bolonia</v>
      </c>
      <c r="C933" s="12"/>
      <c r="D933" s="12"/>
      <c r="E933" s="44">
        <f>IFERROR(__xludf.DUMMYFUNCTION("""COMPUTED_VALUE"""),45188.0)</f>
        <v>45188</v>
      </c>
      <c r="F933" s="12" t="str">
        <f>IFERROR(__xludf.DUMMYFUNCTION("""COMPUTED_VALUE"""),"TIPO I")</f>
        <v>TIPO I</v>
      </c>
      <c r="G933" s="12" t="str">
        <f>IFERROR(__xludf.DUMMYFUNCTION("""COMPUTED_VALUE"""),"Canal natural, lecho rocoso, durante el monitoreo no se observa color, no se percibe olor, se observan residuos solidos al margen del canal.")</f>
        <v>Canal natural, lecho rocoso, durante el monitoreo no se observa color, no se percibe olor, se observan residuos solidos al margen del canal.</v>
      </c>
      <c r="H933" s="45">
        <f>IFERROR(__xludf.DUMMYFUNCTION("""COMPUTED_VALUE"""),0.25)</f>
        <v>0.25</v>
      </c>
      <c r="I933" s="45">
        <f>IFERROR(__xludf.DUMMYFUNCTION("""COMPUTED_VALUE"""),0.3333333333321207)</f>
        <v>0.3333333333</v>
      </c>
      <c r="J933" s="12">
        <f>IFERROR(__xludf.DUMMYFUNCTION("""COMPUTED_VALUE"""),3.69)</f>
        <v>3.69</v>
      </c>
      <c r="K933" s="12">
        <f>IFERROR(__xludf.DUMMYFUNCTION("""COMPUTED_VALUE"""),0.46)</f>
        <v>0.46</v>
      </c>
      <c r="L933" s="14">
        <f>IFERROR(__xludf.DUMMYFUNCTION("""COMPUTED_VALUE"""),431.028)</f>
        <v>431.028</v>
      </c>
      <c r="M933" s="14">
        <f>IFERROR(__xludf.DUMMYFUNCTION("""COMPUTED_VALUE"""),435.821)</f>
        <v>435.821</v>
      </c>
      <c r="N933" s="14">
        <f>IFERROR(__xludf.DUMMYFUNCTION("""COMPUTED_VALUE"""),427.564)</f>
        <v>427.564</v>
      </c>
      <c r="O933" s="14">
        <f>IFERROR(__xludf.DUMMYFUNCTION("""COMPUTED_VALUE"""),408.525)</f>
        <v>408.525</v>
      </c>
      <c r="P933" s="14">
        <f>IFERROR(__xludf.DUMMYFUNCTION("""COMPUTED_VALUE"""),394.323)</f>
        <v>394.323</v>
      </c>
      <c r="Q933" s="14">
        <f>IFERROR(__xludf.DUMMYFUNCTION("""COMPUTED_VALUE"""),419.452)</f>
        <v>419.452</v>
      </c>
      <c r="R933" s="48">
        <f>IFERROR(__xludf.DUMMYFUNCTION("""COMPUTED_VALUE"""),7.57)</f>
        <v>7.57</v>
      </c>
      <c r="S933" s="48">
        <f>IFERROR(__xludf.DUMMYFUNCTION("""COMPUTED_VALUE"""),7.4)</f>
        <v>7.4</v>
      </c>
      <c r="T933" s="48">
        <f>IFERROR(__xludf.DUMMYFUNCTION("""COMPUTED_VALUE"""),7.52)</f>
        <v>7.52</v>
      </c>
      <c r="U933" s="48">
        <f>IFERROR(__xludf.DUMMYFUNCTION("""COMPUTED_VALUE"""),7.47)</f>
        <v>7.47</v>
      </c>
      <c r="V933" s="48">
        <f>IFERROR(__xludf.DUMMYFUNCTION("""COMPUTED_VALUE"""),7.66)</f>
        <v>7.66</v>
      </c>
      <c r="W933" s="14">
        <f>IFERROR(__xludf.DUMMYFUNCTION("""COMPUTED_VALUE"""),7.524000000000001)</f>
        <v>7.524</v>
      </c>
      <c r="X933" s="14">
        <f>IFERROR(__xludf.DUMMYFUNCTION("""COMPUTED_VALUE"""),11.9)</f>
        <v>11.9</v>
      </c>
      <c r="Y933" s="14">
        <f>IFERROR(__xludf.DUMMYFUNCTION("""COMPUTED_VALUE"""),11.8)</f>
        <v>11.8</v>
      </c>
      <c r="Z933" s="14">
        <f>IFERROR(__xludf.DUMMYFUNCTION("""COMPUTED_VALUE"""),11.8)</f>
        <v>11.8</v>
      </c>
      <c r="AA933" s="14">
        <f>IFERROR(__xludf.DUMMYFUNCTION("""COMPUTED_VALUE"""),11.9)</f>
        <v>11.9</v>
      </c>
      <c r="AB933" s="14">
        <f>IFERROR(__xludf.DUMMYFUNCTION("""COMPUTED_VALUE"""),12.0)</f>
        <v>12</v>
      </c>
      <c r="AC933" s="14">
        <f>IFERROR(__xludf.DUMMYFUNCTION("""COMPUTED_VALUE"""),11.879999999999999)</f>
        <v>11.88</v>
      </c>
      <c r="AD933" s="48">
        <f>IFERROR(__xludf.DUMMYFUNCTION("""COMPUTED_VALUE"""),86.3)</f>
        <v>86.3</v>
      </c>
      <c r="AE933" s="48">
        <f>IFERROR(__xludf.DUMMYFUNCTION("""COMPUTED_VALUE"""),82.5)</f>
        <v>82.5</v>
      </c>
      <c r="AF933" s="48">
        <f>IFERROR(__xludf.DUMMYFUNCTION("""COMPUTED_VALUE"""),77.5)</f>
        <v>77.5</v>
      </c>
      <c r="AG933" s="48">
        <f>IFERROR(__xludf.DUMMYFUNCTION("""COMPUTED_VALUE"""),84.8)</f>
        <v>84.8</v>
      </c>
      <c r="AH933" s="48">
        <f>IFERROR(__xludf.DUMMYFUNCTION("""COMPUTED_VALUE"""),83.9)</f>
        <v>83.9</v>
      </c>
      <c r="AI933" s="14">
        <f>IFERROR(__xludf.DUMMYFUNCTION("""COMPUTED_VALUE"""),83.0)</f>
        <v>83</v>
      </c>
      <c r="AJ933" s="14">
        <f>IFERROR(__xludf.DUMMYFUNCTION("""COMPUTED_VALUE"""),6.74)</f>
        <v>6.74</v>
      </c>
      <c r="AK933" s="14">
        <f>IFERROR(__xludf.DUMMYFUNCTION("""COMPUTED_VALUE"""),6.54)</f>
        <v>6.54</v>
      </c>
      <c r="AL933" s="14">
        <f>IFERROR(__xludf.DUMMYFUNCTION("""COMPUTED_VALUE"""),6.62)</f>
        <v>6.62</v>
      </c>
      <c r="AM933" s="14">
        <f>IFERROR(__xludf.DUMMYFUNCTION("""COMPUTED_VALUE"""),6.54)</f>
        <v>6.54</v>
      </c>
      <c r="AN933" s="14">
        <f>IFERROR(__xludf.DUMMYFUNCTION("""COMPUTED_VALUE"""),6.35)</f>
        <v>6.35</v>
      </c>
      <c r="AO933" s="14">
        <f>IFERROR(__xludf.DUMMYFUNCTION("""COMPUTED_VALUE"""),6.558)</f>
        <v>6.558</v>
      </c>
      <c r="AP933" s="14">
        <f>IFERROR(__xludf.DUMMYFUNCTION("""COMPUTED_VALUE"""),13.0)</f>
        <v>13</v>
      </c>
      <c r="AQ933" s="14">
        <f>IFERROR(__xludf.DUMMYFUNCTION("""COMPUTED_VALUE"""),21.0)</f>
        <v>21</v>
      </c>
      <c r="AR933" s="14">
        <f>IFERROR(__xludf.DUMMYFUNCTION("""COMPUTED_VALUE"""),9.0)</f>
        <v>9</v>
      </c>
      <c r="AS933" s="14">
        <f>IFERROR(__xludf.DUMMYFUNCTION("""COMPUTED_VALUE"""),1.0)</f>
        <v>1</v>
      </c>
      <c r="AT933" s="14">
        <f>IFERROR(__xludf.DUMMYFUNCTION("""COMPUTED_VALUE"""),0.21)</f>
        <v>0.21</v>
      </c>
      <c r="AU933" s="14">
        <f>IFERROR(__xludf.DUMMYFUNCTION("""COMPUTED_VALUE"""),1211000.0)</f>
        <v>1211000</v>
      </c>
      <c r="AV933" s="14">
        <f>IFERROR(__xludf.DUMMYFUNCTION("""COMPUTED_VALUE"""),0.27)</f>
        <v>0.27</v>
      </c>
      <c r="AW933" s="14">
        <f>IFERROR(__xludf.DUMMYFUNCTION("""COMPUTED_VALUE"""),2.2)</f>
        <v>2.2</v>
      </c>
      <c r="AX933" s="14">
        <f>IFERROR(__xludf.DUMMYFUNCTION("""COMPUTED_VALUE"""),58100.0)</f>
        <v>58100</v>
      </c>
      <c r="AY933" s="14">
        <f>IFERROR(__xludf.DUMMYFUNCTION("""COMPUTED_VALUE"""),1.5)</f>
        <v>1.5</v>
      </c>
      <c r="AZ933" s="14">
        <f>IFERROR(__xludf.DUMMYFUNCTION("""COMPUTED_VALUE"""),0.054)</f>
        <v>0.054</v>
      </c>
      <c r="BA933" s="14">
        <f t="shared" si="1"/>
        <v>3.754</v>
      </c>
    </row>
    <row r="934" ht="14.25" customHeight="1">
      <c r="A934" s="10" t="str">
        <f>IFERROR(__xludf.DUMMYFUNCTION("""COMPUTED_VALUE"""),"190923LA03")</f>
        <v>190923LA03</v>
      </c>
      <c r="B934" s="12" t="str">
        <f>IFERROR(__xludf.DUMMYFUNCTION("""COMPUTED_VALUE"""),"QYO-Arrayanal")</f>
        <v>QYO-Arrayanal</v>
      </c>
      <c r="C934" s="12"/>
      <c r="D934" s="12"/>
      <c r="E934" s="44">
        <f>IFERROR(__xludf.DUMMYFUNCTION("""COMPUTED_VALUE"""),45188.0)</f>
        <v>45188</v>
      </c>
      <c r="F934" s="12" t="str">
        <f>IFERROR(__xludf.DUMMYFUNCTION("""COMPUTED_VALUE"""),"TIPO I")</f>
        <v>TIPO I</v>
      </c>
      <c r="G934" s="12" t="str">
        <f>IFERROR(__xludf.DUMMYFUNCTION("""COMPUTED_VALUE"""),"Canal natural, lecho rocoso, se observan residuos solidos de gran tamaño en el cauce, durante el monitoreo no se observa color ni se percibe olor, altitud 2529 msnm")</f>
        <v>Canal natural, lecho rocoso, se observan residuos solidos de gran tamaño en el cauce, durante el monitoreo no se observa color ni se percibe olor, altitud 2529 msnm</v>
      </c>
      <c r="H934" s="45">
        <f>IFERROR(__xludf.DUMMYFUNCTION("""COMPUTED_VALUE"""),0.5833333333321207)</f>
        <v>0.5833333333</v>
      </c>
      <c r="I934" s="45">
        <f>IFERROR(__xludf.DUMMYFUNCTION("""COMPUTED_VALUE"""),0.6666666666678793)</f>
        <v>0.6666666667</v>
      </c>
      <c r="J934" s="12">
        <f>IFERROR(__xludf.DUMMYFUNCTION("""COMPUTED_VALUE"""),2.55)</f>
        <v>2.55</v>
      </c>
      <c r="K934" s="12">
        <f>IFERROR(__xludf.DUMMYFUNCTION("""COMPUTED_VALUE"""),0.38)</f>
        <v>0.38</v>
      </c>
      <c r="L934" s="14">
        <f>IFERROR(__xludf.DUMMYFUNCTION("""COMPUTED_VALUE"""),279.558)</f>
        <v>279.558</v>
      </c>
      <c r="M934" s="14">
        <f>IFERROR(__xludf.DUMMYFUNCTION("""COMPUTED_VALUE"""),281.072)</f>
        <v>281.072</v>
      </c>
      <c r="N934" s="14">
        <f>IFERROR(__xludf.DUMMYFUNCTION("""COMPUTED_VALUE"""),283.688)</f>
        <v>283.688</v>
      </c>
      <c r="O934" s="14">
        <f>IFERROR(__xludf.DUMMYFUNCTION("""COMPUTED_VALUE"""),278.792)</f>
        <v>278.792</v>
      </c>
      <c r="P934" s="14">
        <f>IFERROR(__xludf.DUMMYFUNCTION("""COMPUTED_VALUE"""),276.171)</f>
        <v>276.171</v>
      </c>
      <c r="Q934" s="14">
        <f>IFERROR(__xludf.DUMMYFUNCTION("""COMPUTED_VALUE"""),279.856)</f>
        <v>279.856</v>
      </c>
      <c r="R934" s="48">
        <f>IFERROR(__xludf.DUMMYFUNCTION("""COMPUTED_VALUE"""),7.2)</f>
        <v>7.2</v>
      </c>
      <c r="S934" s="48">
        <f>IFERROR(__xludf.DUMMYFUNCTION("""COMPUTED_VALUE"""),7.16)</f>
        <v>7.16</v>
      </c>
      <c r="T934" s="48">
        <f>IFERROR(__xludf.DUMMYFUNCTION("""COMPUTED_VALUE"""),7.26)</f>
        <v>7.26</v>
      </c>
      <c r="U934" s="48">
        <f>IFERROR(__xludf.DUMMYFUNCTION("""COMPUTED_VALUE"""),7.2)</f>
        <v>7.2</v>
      </c>
      <c r="V934" s="48">
        <f>IFERROR(__xludf.DUMMYFUNCTION("""COMPUTED_VALUE"""),7.13)</f>
        <v>7.13</v>
      </c>
      <c r="W934" s="14">
        <f>IFERROR(__xludf.DUMMYFUNCTION("""COMPUTED_VALUE"""),7.1899999999999995)</f>
        <v>7.19</v>
      </c>
      <c r="X934" s="14">
        <f>IFERROR(__xludf.DUMMYFUNCTION("""COMPUTED_VALUE"""),12.9)</f>
        <v>12.9</v>
      </c>
      <c r="Y934" s="14">
        <f>IFERROR(__xludf.DUMMYFUNCTION("""COMPUTED_VALUE"""),13.9)</f>
        <v>13.9</v>
      </c>
      <c r="Z934" s="14">
        <f>IFERROR(__xludf.DUMMYFUNCTION("""COMPUTED_VALUE"""),13.3)</f>
        <v>13.3</v>
      </c>
      <c r="AA934" s="14">
        <f>IFERROR(__xludf.DUMMYFUNCTION("""COMPUTED_VALUE"""),12.3)</f>
        <v>12.3</v>
      </c>
      <c r="AB934" s="14">
        <f>IFERROR(__xludf.DUMMYFUNCTION("""COMPUTED_VALUE"""),12.1)</f>
        <v>12.1</v>
      </c>
      <c r="AC934" s="14">
        <f>IFERROR(__xludf.DUMMYFUNCTION("""COMPUTED_VALUE"""),12.9)</f>
        <v>12.9</v>
      </c>
      <c r="AD934" s="48">
        <f>IFERROR(__xludf.DUMMYFUNCTION("""COMPUTED_VALUE"""),79.7)</f>
        <v>79.7</v>
      </c>
      <c r="AE934" s="48">
        <f>IFERROR(__xludf.DUMMYFUNCTION("""COMPUTED_VALUE"""),72.1)</f>
        <v>72.1</v>
      </c>
      <c r="AF934" s="48">
        <f>IFERROR(__xludf.DUMMYFUNCTION("""COMPUTED_VALUE"""),70.8)</f>
        <v>70.8</v>
      </c>
      <c r="AG934" s="48">
        <f>IFERROR(__xludf.DUMMYFUNCTION("""COMPUTED_VALUE"""),68.8)</f>
        <v>68.8</v>
      </c>
      <c r="AH934" s="48">
        <f>IFERROR(__xludf.DUMMYFUNCTION("""COMPUTED_VALUE"""),71.3)</f>
        <v>71.3</v>
      </c>
      <c r="AI934" s="14">
        <f>IFERROR(__xludf.DUMMYFUNCTION("""COMPUTED_VALUE"""),72.54)</f>
        <v>72.54</v>
      </c>
      <c r="AJ934" s="14">
        <f>IFERROR(__xludf.DUMMYFUNCTION("""COMPUTED_VALUE"""),6.82)</f>
        <v>6.82</v>
      </c>
      <c r="AK934" s="14">
        <f>IFERROR(__xludf.DUMMYFUNCTION("""COMPUTED_VALUE"""),6.95)</f>
        <v>6.95</v>
      </c>
      <c r="AL934" s="14">
        <f>IFERROR(__xludf.DUMMYFUNCTION("""COMPUTED_VALUE"""),6.86)</f>
        <v>6.86</v>
      </c>
      <c r="AM934" s="14">
        <f>IFERROR(__xludf.DUMMYFUNCTION("""COMPUTED_VALUE"""),6.7)</f>
        <v>6.7</v>
      </c>
      <c r="AN934" s="14">
        <f>IFERROR(__xludf.DUMMYFUNCTION("""COMPUTED_VALUE"""),6.49)</f>
        <v>6.49</v>
      </c>
      <c r="AO934" s="14">
        <f>IFERROR(__xludf.DUMMYFUNCTION("""COMPUTED_VALUE"""),6.764)</f>
        <v>6.764</v>
      </c>
      <c r="AP934" s="14">
        <f>IFERROR(__xludf.DUMMYFUNCTION("""COMPUTED_VALUE"""),15.0)</f>
        <v>15</v>
      </c>
      <c r="AQ934" s="14">
        <f>IFERROR(__xludf.DUMMYFUNCTION("""COMPUTED_VALUE"""),24.0)</f>
        <v>24</v>
      </c>
      <c r="AR934" s="14">
        <f>IFERROR(__xludf.DUMMYFUNCTION("""COMPUTED_VALUE"""),8.0)</f>
        <v>8</v>
      </c>
      <c r="AS934" s="14">
        <f>IFERROR(__xludf.DUMMYFUNCTION("""COMPUTED_VALUE"""),1.0)</f>
        <v>1</v>
      </c>
      <c r="AT934" s="14">
        <f>IFERROR(__xludf.DUMMYFUNCTION("""COMPUTED_VALUE"""),0.07)</f>
        <v>0.07</v>
      </c>
      <c r="AU934" s="14">
        <f>IFERROR(__xludf.DUMMYFUNCTION("""COMPUTED_VALUE"""),1012000.0)</f>
        <v>1012000</v>
      </c>
      <c r="AV934" s="14">
        <f>IFERROR(__xludf.DUMMYFUNCTION("""COMPUTED_VALUE"""),0.2)</f>
        <v>0.2</v>
      </c>
      <c r="AW934" s="14">
        <f>IFERROR(__xludf.DUMMYFUNCTION("""COMPUTED_VALUE"""),2.0)</f>
        <v>2</v>
      </c>
      <c r="AX934" s="14">
        <f>IFERROR(__xludf.DUMMYFUNCTION("""COMPUTED_VALUE"""),638000.0)</f>
        <v>638000</v>
      </c>
      <c r="AY934" s="14">
        <f>IFERROR(__xludf.DUMMYFUNCTION("""COMPUTED_VALUE"""),1.2)</f>
        <v>1.2</v>
      </c>
      <c r="AZ934" s="14">
        <f>IFERROR(__xludf.DUMMYFUNCTION("""COMPUTED_VALUE"""),0.036)</f>
        <v>0.036</v>
      </c>
      <c r="BA934" s="14">
        <f t="shared" si="1"/>
        <v>3.236</v>
      </c>
    </row>
    <row r="935" ht="14.25" customHeight="1">
      <c r="A935" s="10" t="str">
        <f>IFERROR(__xludf.DUMMYFUNCTION("""COMPUTED_VALUE"""),"190923FM02")</f>
        <v>190923FM02</v>
      </c>
      <c r="B935" s="12" t="str">
        <f>IFERROR(__xludf.DUMMYFUNCTION("""COMPUTED_VALUE"""),"QZA-Entre Nubes")</f>
        <v>QZA-Entre Nubes</v>
      </c>
      <c r="C935" s="12"/>
      <c r="D935" s="12"/>
      <c r="E935" s="44">
        <f>IFERROR(__xludf.DUMMYFUNCTION("""COMPUTED_VALUE"""),45188.0)</f>
        <v>45188</v>
      </c>
      <c r="F935" s="12" t="str">
        <f>IFERROR(__xludf.DUMMYFUNCTION("""COMPUTED_VALUE"""),"TIPO I")</f>
        <v>TIPO I</v>
      </c>
      <c r="G935" s="12" t="str">
        <f>IFERROR(__xludf.DUMMYFUNCTION("""COMPUTED_VALUE"""),"Lecho artificial en concreto con sedimento, no se percibe olor, se observa color, espumas y residuos en las márgenes del rio, altitud 2694 msnm.")</f>
        <v>Lecho artificial en concreto con sedimento, no se percibe olor, se observa color, espumas y residuos en las márgenes del rio, altitud 2694 msnm.</v>
      </c>
      <c r="H935" s="45">
        <f>IFERROR(__xludf.DUMMYFUNCTION("""COMPUTED_VALUE"""),0.5)</f>
        <v>0.5</v>
      </c>
      <c r="I935" s="45">
        <f>IFERROR(__xludf.DUMMYFUNCTION("""COMPUTED_VALUE"""),0.5833333333321207)</f>
        <v>0.5833333333</v>
      </c>
      <c r="J935" s="12">
        <f>IFERROR(__xludf.DUMMYFUNCTION("""COMPUTED_VALUE"""),5.2)</f>
        <v>5.2</v>
      </c>
      <c r="K935" s="12">
        <f>IFERROR(__xludf.DUMMYFUNCTION("""COMPUTED_VALUE"""),0.11)</f>
        <v>0.11</v>
      </c>
      <c r="L935" s="14">
        <f>IFERROR(__xludf.DUMMYFUNCTION("""COMPUTED_VALUE"""),112.617)</f>
        <v>112.617</v>
      </c>
      <c r="M935" s="14">
        <f>IFERROR(__xludf.DUMMYFUNCTION("""COMPUTED_VALUE"""),111.477)</f>
        <v>111.477</v>
      </c>
      <c r="N935" s="14">
        <f>IFERROR(__xludf.DUMMYFUNCTION("""COMPUTED_VALUE"""),110.337)</f>
        <v>110.337</v>
      </c>
      <c r="O935" s="14">
        <f>IFERROR(__xludf.DUMMYFUNCTION("""COMPUTED_VALUE"""),113.088)</f>
        <v>113.088</v>
      </c>
      <c r="P935" s="14">
        <f>IFERROR(__xludf.DUMMYFUNCTION("""COMPUTED_VALUE"""),111.883)</f>
        <v>111.883</v>
      </c>
      <c r="Q935" s="14">
        <f>IFERROR(__xludf.DUMMYFUNCTION("""COMPUTED_VALUE"""),111.88)</f>
        <v>111.88</v>
      </c>
      <c r="R935" s="48">
        <f>IFERROR(__xludf.DUMMYFUNCTION("""COMPUTED_VALUE"""),7.92)</f>
        <v>7.92</v>
      </c>
      <c r="S935" s="48">
        <f>IFERROR(__xludf.DUMMYFUNCTION("""COMPUTED_VALUE"""),7.69)</f>
        <v>7.69</v>
      </c>
      <c r="T935" s="48">
        <f>IFERROR(__xludf.DUMMYFUNCTION("""COMPUTED_VALUE"""),7.61)</f>
        <v>7.61</v>
      </c>
      <c r="U935" s="48">
        <f>IFERROR(__xludf.DUMMYFUNCTION("""COMPUTED_VALUE"""),7.44)</f>
        <v>7.44</v>
      </c>
      <c r="V935" s="48">
        <f>IFERROR(__xludf.DUMMYFUNCTION("""COMPUTED_VALUE"""),7.57)</f>
        <v>7.57</v>
      </c>
      <c r="W935" s="14">
        <f>IFERROR(__xludf.DUMMYFUNCTION("""COMPUTED_VALUE"""),7.646000000000001)</f>
        <v>7.646</v>
      </c>
      <c r="X935" s="14">
        <f>IFERROR(__xludf.DUMMYFUNCTION("""COMPUTED_VALUE"""),15.8)</f>
        <v>15.8</v>
      </c>
      <c r="Y935" s="14">
        <f>IFERROR(__xludf.DUMMYFUNCTION("""COMPUTED_VALUE"""),15.9)</f>
        <v>15.9</v>
      </c>
      <c r="Z935" s="14">
        <f>IFERROR(__xludf.DUMMYFUNCTION("""COMPUTED_VALUE"""),16.2)</f>
        <v>16.2</v>
      </c>
      <c r="AA935" s="14">
        <f>IFERROR(__xludf.DUMMYFUNCTION("""COMPUTED_VALUE"""),16.0)</f>
        <v>16</v>
      </c>
      <c r="AB935" s="14">
        <f>IFERROR(__xludf.DUMMYFUNCTION("""COMPUTED_VALUE"""),16.2)</f>
        <v>16.2</v>
      </c>
      <c r="AC935" s="14">
        <f>IFERROR(__xludf.DUMMYFUNCTION("""COMPUTED_VALUE"""),16.020000000000003)</f>
        <v>16.02</v>
      </c>
      <c r="AD935" s="48">
        <f>IFERROR(__xludf.DUMMYFUNCTION("""COMPUTED_VALUE"""),537.0)</f>
        <v>537</v>
      </c>
      <c r="AE935" s="48">
        <f>IFERROR(__xludf.DUMMYFUNCTION("""COMPUTED_VALUE"""),524.0)</f>
        <v>524</v>
      </c>
      <c r="AF935" s="48">
        <f>IFERROR(__xludf.DUMMYFUNCTION("""COMPUTED_VALUE"""),507.0)</f>
        <v>507</v>
      </c>
      <c r="AG935" s="48">
        <f>IFERROR(__xludf.DUMMYFUNCTION("""COMPUTED_VALUE"""),499.0)</f>
        <v>499</v>
      </c>
      <c r="AH935" s="48">
        <f>IFERROR(__xludf.DUMMYFUNCTION("""COMPUTED_VALUE"""),458.0)</f>
        <v>458</v>
      </c>
      <c r="AI935" s="14">
        <f>IFERROR(__xludf.DUMMYFUNCTION("""COMPUTED_VALUE"""),505.0)</f>
        <v>505</v>
      </c>
      <c r="AJ935" s="14">
        <f>IFERROR(__xludf.DUMMYFUNCTION("""COMPUTED_VALUE"""),3.92)</f>
        <v>3.92</v>
      </c>
      <c r="AK935" s="14">
        <f>IFERROR(__xludf.DUMMYFUNCTION("""COMPUTED_VALUE"""),4.09)</f>
        <v>4.09</v>
      </c>
      <c r="AL935" s="14">
        <f>IFERROR(__xludf.DUMMYFUNCTION("""COMPUTED_VALUE"""),3.88)</f>
        <v>3.88</v>
      </c>
      <c r="AM935" s="14">
        <f>IFERROR(__xludf.DUMMYFUNCTION("""COMPUTED_VALUE"""),4.03)</f>
        <v>4.03</v>
      </c>
      <c r="AN935" s="14">
        <f>IFERROR(__xludf.DUMMYFUNCTION("""COMPUTED_VALUE"""),3.95)</f>
        <v>3.95</v>
      </c>
      <c r="AO935" s="14">
        <f>IFERROR(__xludf.DUMMYFUNCTION("""COMPUTED_VALUE"""),3.974)</f>
        <v>3.974</v>
      </c>
      <c r="AP935" s="14">
        <f>IFERROR(__xludf.DUMMYFUNCTION("""COMPUTED_VALUE"""),147.0)</f>
        <v>147</v>
      </c>
      <c r="AQ935" s="14">
        <f>IFERROR(__xludf.DUMMYFUNCTION("""COMPUTED_VALUE"""),214.0)</f>
        <v>214</v>
      </c>
      <c r="AR935" s="14">
        <f>IFERROR(__xludf.DUMMYFUNCTION("""COMPUTED_VALUE"""),136.0)</f>
        <v>136</v>
      </c>
      <c r="AS935" s="14">
        <f>IFERROR(__xludf.DUMMYFUNCTION("""COMPUTED_VALUE"""),44.0)</f>
        <v>44</v>
      </c>
      <c r="AT935" s="14">
        <f>IFERROR(__xludf.DUMMYFUNCTION("""COMPUTED_VALUE"""),5.03)</f>
        <v>5.03</v>
      </c>
      <c r="AU935" s="14">
        <f>IFERROR(__xludf.DUMMYFUNCTION("""COMPUTED_VALUE"""),8.01E7)</f>
        <v>80100000</v>
      </c>
      <c r="AV935" s="14">
        <f>IFERROR(__xludf.DUMMYFUNCTION("""COMPUTED_VALUE"""),2.78)</f>
        <v>2.78</v>
      </c>
      <c r="AW935" s="14">
        <f>IFERROR(__xludf.DUMMYFUNCTION("""COMPUTED_VALUE"""),20.4)</f>
        <v>20.4</v>
      </c>
      <c r="AX935" s="14">
        <f>IFERROR(__xludf.DUMMYFUNCTION("""COMPUTED_VALUE"""),5120000.0)</f>
        <v>5120000</v>
      </c>
      <c r="AY935" s="14">
        <f>IFERROR(__xludf.DUMMYFUNCTION("""COMPUTED_VALUE"""),2.0)</f>
        <v>2</v>
      </c>
      <c r="AZ935" s="14">
        <f>IFERROR(__xludf.DUMMYFUNCTION("""COMPUTED_VALUE"""),0.007)</f>
        <v>0.007</v>
      </c>
      <c r="BA935" s="14">
        <f t="shared" si="1"/>
        <v>22.407</v>
      </c>
    </row>
    <row r="936" ht="14.25" customHeight="1">
      <c r="A936" s="10" t="str">
        <f>IFERROR(__xludf.DUMMYFUNCTION("""COMPUTED_VALUE"""),"260923FE02")</f>
        <v>260923FE02</v>
      </c>
      <c r="B936" s="12" t="str">
        <f>IFERROR(__xludf.DUMMYFUNCTION("""COMPUTED_VALUE"""),"CON-Camino del Contador")</f>
        <v>CON-Camino del Contador</v>
      </c>
      <c r="C936" s="12"/>
      <c r="D936" s="12"/>
      <c r="E936" s="44">
        <f>IFERROR(__xludf.DUMMYFUNCTION("""COMPUTED_VALUE"""),45195.0)</f>
        <v>45195</v>
      </c>
      <c r="F936" s="12" t="str">
        <f>IFERROR(__xludf.DUMMYFUNCTION("""COMPUTED_VALUE"""),"TIPO I")</f>
        <v>TIPO I</v>
      </c>
      <c r="G936" s="12" t="str">
        <f>IFERROR(__xludf.DUMMYFUNCTION("""COMPUTED_VALUE"""),"Canal en concreto, se observa color y se percibe olor.")</f>
        <v>Canal en concreto, se observa color y se percibe olor.</v>
      </c>
      <c r="H936" s="45">
        <f>IFERROR(__xludf.DUMMYFUNCTION("""COMPUTED_VALUE"""),0.6666666666678793)</f>
        <v>0.6666666667</v>
      </c>
      <c r="I936" s="45">
        <f>IFERROR(__xludf.DUMMYFUNCTION("""COMPUTED_VALUE"""),0.75)</f>
        <v>0.75</v>
      </c>
      <c r="J936" s="12">
        <f>IFERROR(__xludf.DUMMYFUNCTION("""COMPUTED_VALUE"""),3.8)</f>
        <v>3.8</v>
      </c>
      <c r="K936" s="12">
        <f>IFERROR(__xludf.DUMMYFUNCTION("""COMPUTED_VALUE"""),0.08)</f>
        <v>0.08</v>
      </c>
      <c r="L936" s="14">
        <f>IFERROR(__xludf.DUMMYFUNCTION("""COMPUTED_VALUE"""),39.072)</f>
        <v>39.072</v>
      </c>
      <c r="M936" s="14">
        <f>IFERROR(__xludf.DUMMYFUNCTION("""COMPUTED_VALUE"""),40.718)</f>
        <v>40.718</v>
      </c>
      <c r="N936" s="14">
        <f>IFERROR(__xludf.DUMMYFUNCTION("""COMPUTED_VALUE"""),40.601)</f>
        <v>40.601</v>
      </c>
      <c r="O936" s="14">
        <f>IFERROR(__xludf.DUMMYFUNCTION("""COMPUTED_VALUE"""),42.156)</f>
        <v>42.156</v>
      </c>
      <c r="P936" s="14">
        <f>IFERROR(__xludf.DUMMYFUNCTION("""COMPUTED_VALUE"""),43.45)</f>
        <v>43.45</v>
      </c>
      <c r="Q936" s="14">
        <f>IFERROR(__xludf.DUMMYFUNCTION("""COMPUTED_VALUE"""),41.2)</f>
        <v>41.2</v>
      </c>
      <c r="R936" s="48">
        <f>IFERROR(__xludf.DUMMYFUNCTION("""COMPUTED_VALUE"""),8.03)</f>
        <v>8.03</v>
      </c>
      <c r="S936" s="48">
        <f>IFERROR(__xludf.DUMMYFUNCTION("""COMPUTED_VALUE"""),7.9)</f>
        <v>7.9</v>
      </c>
      <c r="T936" s="48">
        <f>IFERROR(__xludf.DUMMYFUNCTION("""COMPUTED_VALUE"""),7.85)</f>
        <v>7.85</v>
      </c>
      <c r="U936" s="48">
        <f>IFERROR(__xludf.DUMMYFUNCTION("""COMPUTED_VALUE"""),7.66)</f>
        <v>7.66</v>
      </c>
      <c r="V936" s="48">
        <f>IFERROR(__xludf.DUMMYFUNCTION("""COMPUTED_VALUE"""),7.87)</f>
        <v>7.87</v>
      </c>
      <c r="W936" s="14">
        <f>IFERROR(__xludf.DUMMYFUNCTION("""COMPUTED_VALUE"""),7.862)</f>
        <v>7.862</v>
      </c>
      <c r="X936" s="14">
        <f>IFERROR(__xludf.DUMMYFUNCTION("""COMPUTED_VALUE"""),23.7)</f>
        <v>23.7</v>
      </c>
      <c r="Y936" s="14">
        <f>IFERROR(__xludf.DUMMYFUNCTION("""COMPUTED_VALUE"""),21.4)</f>
        <v>21.4</v>
      </c>
      <c r="Z936" s="14">
        <f>IFERROR(__xludf.DUMMYFUNCTION("""COMPUTED_VALUE"""),21.3)</f>
        <v>21.3</v>
      </c>
      <c r="AA936" s="14">
        <f>IFERROR(__xludf.DUMMYFUNCTION("""COMPUTED_VALUE"""),20.6)</f>
        <v>20.6</v>
      </c>
      <c r="AB936" s="14">
        <f>IFERROR(__xludf.DUMMYFUNCTION("""COMPUTED_VALUE"""),20.9)</f>
        <v>20.9</v>
      </c>
      <c r="AC936" s="14">
        <f>IFERROR(__xludf.DUMMYFUNCTION("""COMPUTED_VALUE"""),21.580000000000002)</f>
        <v>21.58</v>
      </c>
      <c r="AD936" s="48">
        <f>IFERROR(__xludf.DUMMYFUNCTION("""COMPUTED_VALUE"""),592.0)</f>
        <v>592</v>
      </c>
      <c r="AE936" s="48">
        <f>IFERROR(__xludf.DUMMYFUNCTION("""COMPUTED_VALUE"""),556.0)</f>
        <v>556</v>
      </c>
      <c r="AF936" s="48">
        <f>IFERROR(__xludf.DUMMYFUNCTION("""COMPUTED_VALUE"""),588.0)</f>
        <v>588</v>
      </c>
      <c r="AG936" s="48">
        <f>IFERROR(__xludf.DUMMYFUNCTION("""COMPUTED_VALUE"""),552.0)</f>
        <v>552</v>
      </c>
      <c r="AH936" s="48">
        <f>IFERROR(__xludf.DUMMYFUNCTION("""COMPUTED_VALUE"""),498.0)</f>
        <v>498</v>
      </c>
      <c r="AI936" s="14">
        <f>IFERROR(__xludf.DUMMYFUNCTION("""COMPUTED_VALUE"""),557.2)</f>
        <v>557.2</v>
      </c>
      <c r="AJ936" s="14">
        <f>IFERROR(__xludf.DUMMYFUNCTION("""COMPUTED_VALUE"""),1.91)</f>
        <v>1.91</v>
      </c>
      <c r="AK936" s="14">
        <f>IFERROR(__xludf.DUMMYFUNCTION("""COMPUTED_VALUE"""),1.27)</f>
        <v>1.27</v>
      </c>
      <c r="AL936" s="14">
        <f>IFERROR(__xludf.DUMMYFUNCTION("""COMPUTED_VALUE"""),1.98)</f>
        <v>1.98</v>
      </c>
      <c r="AM936" s="14">
        <f>IFERROR(__xludf.DUMMYFUNCTION("""COMPUTED_VALUE"""),2.11)</f>
        <v>2.11</v>
      </c>
      <c r="AN936" s="14">
        <f>IFERROR(__xludf.DUMMYFUNCTION("""COMPUTED_VALUE"""),1.74)</f>
        <v>1.74</v>
      </c>
      <c r="AO936" s="14">
        <f>IFERROR(__xludf.DUMMYFUNCTION("""COMPUTED_VALUE"""),1.802)</f>
        <v>1.802</v>
      </c>
      <c r="AP936" s="14">
        <f>IFERROR(__xludf.DUMMYFUNCTION("""COMPUTED_VALUE"""),60.0)</f>
        <v>60</v>
      </c>
      <c r="AQ936" s="14">
        <f>IFERROR(__xludf.DUMMYFUNCTION("""COMPUTED_VALUE"""),90.0)</f>
        <v>90</v>
      </c>
      <c r="AR936" s="14">
        <f>IFERROR(__xludf.DUMMYFUNCTION("""COMPUTED_VALUE"""),44.0)</f>
        <v>44</v>
      </c>
      <c r="AS936" s="14">
        <f>IFERROR(__xludf.DUMMYFUNCTION("""COMPUTED_VALUE"""),28.0)</f>
        <v>28</v>
      </c>
      <c r="AT936" s="14">
        <f>IFERROR(__xludf.DUMMYFUNCTION("""COMPUTED_VALUE"""),1.24)</f>
        <v>1.24</v>
      </c>
      <c r="AU936" s="14">
        <f>IFERROR(__xludf.DUMMYFUNCTION("""COMPUTED_VALUE"""),1.691E8)</f>
        <v>169100000</v>
      </c>
      <c r="AV936" s="14">
        <f>IFERROR(__xludf.DUMMYFUNCTION("""COMPUTED_VALUE"""),3.81)</f>
        <v>3.81</v>
      </c>
      <c r="AW936" s="14">
        <f>IFERROR(__xludf.DUMMYFUNCTION("""COMPUTED_VALUE"""),25.5)</f>
        <v>25.5</v>
      </c>
      <c r="AX936" s="14">
        <f>IFERROR(__xludf.DUMMYFUNCTION("""COMPUTED_VALUE"""),1.382E8)</f>
        <v>138200000</v>
      </c>
      <c r="AY936" s="14">
        <f>IFERROR(__xludf.DUMMYFUNCTION("""COMPUTED_VALUE"""),1.8)</f>
        <v>1.8</v>
      </c>
      <c r="AZ936" s="14">
        <f>IFERROR(__xludf.DUMMYFUNCTION("""COMPUTED_VALUE"""),0.007)</f>
        <v>0.007</v>
      </c>
      <c r="BA936" s="14">
        <f t="shared" si="1"/>
        <v>27.307</v>
      </c>
    </row>
    <row r="937" ht="14.25" customHeight="1">
      <c r="A937" s="10" t="str">
        <f>IFERROR(__xludf.DUMMYFUNCTION("""COMPUTED_VALUE"""),"280923LA01")</f>
        <v>280923LA01</v>
      </c>
      <c r="B937" s="12" t="str">
        <f>IFERROR(__xludf.DUMMYFUNCTION("""COMPUTED_VALUE"""),"QLI-Bella Flor")</f>
        <v>QLI-Bella Flor</v>
      </c>
      <c r="C937" s="12"/>
      <c r="D937" s="12"/>
      <c r="E937" s="44">
        <f>IFERROR(__xludf.DUMMYFUNCTION("""COMPUTED_VALUE"""),45197.0)</f>
        <v>45197</v>
      </c>
      <c r="F937" s="12" t="str">
        <f>IFERROR(__xludf.DUMMYFUNCTION("""COMPUTED_VALUE"""),"TIPO I")</f>
        <v>TIPO I</v>
      </c>
      <c r="G937" s="12" t="str">
        <f>IFERROR(__xludf.DUMMYFUNCTION("""COMPUTED_VALUE"""),"Lecho rocoso, arenoso")</f>
        <v>Lecho rocoso, arenoso</v>
      </c>
      <c r="H937" s="45">
        <f>IFERROR(__xludf.DUMMYFUNCTION("""COMPUTED_VALUE"""),0.3333333333321207)</f>
        <v>0.3333333333</v>
      </c>
      <c r="I937" s="45">
        <f>IFERROR(__xludf.DUMMYFUNCTION("""COMPUTED_VALUE"""),0.4166666666678793)</f>
        <v>0.4166666667</v>
      </c>
      <c r="J937" s="12">
        <f>IFERROR(__xludf.DUMMYFUNCTION("""COMPUTED_VALUE"""),0.9)</f>
        <v>0.9</v>
      </c>
      <c r="K937" s="12">
        <f>IFERROR(__xludf.DUMMYFUNCTION("""COMPUTED_VALUE"""),0.2)</f>
        <v>0.2</v>
      </c>
      <c r="L937" s="14">
        <f>IFERROR(__xludf.DUMMYFUNCTION("""COMPUTED_VALUE"""),20.299)</f>
        <v>20.299</v>
      </c>
      <c r="M937" s="14">
        <f>IFERROR(__xludf.DUMMYFUNCTION("""COMPUTED_VALUE"""),20.473)</f>
        <v>20.473</v>
      </c>
      <c r="N937" s="14">
        <f>IFERROR(__xludf.DUMMYFUNCTION("""COMPUTED_VALUE"""),20.505)</f>
        <v>20.505</v>
      </c>
      <c r="O937" s="14">
        <f>IFERROR(__xludf.DUMMYFUNCTION("""COMPUTED_VALUE"""),20.523)</f>
        <v>20.523</v>
      </c>
      <c r="P937" s="14">
        <f>IFERROR(__xludf.DUMMYFUNCTION("""COMPUTED_VALUE"""),20.526)</f>
        <v>20.526</v>
      </c>
      <c r="Q937" s="14">
        <f>IFERROR(__xludf.DUMMYFUNCTION("""COMPUTED_VALUE"""),20.465)</f>
        <v>20.465</v>
      </c>
      <c r="R937" s="48">
        <f>IFERROR(__xludf.DUMMYFUNCTION("""COMPUTED_VALUE"""),7.64)</f>
        <v>7.64</v>
      </c>
      <c r="S937" s="48">
        <f>IFERROR(__xludf.DUMMYFUNCTION("""COMPUTED_VALUE"""),7.57)</f>
        <v>7.57</v>
      </c>
      <c r="T937" s="48">
        <f>IFERROR(__xludf.DUMMYFUNCTION("""COMPUTED_VALUE"""),7.59)</f>
        <v>7.59</v>
      </c>
      <c r="U937" s="48">
        <f>IFERROR(__xludf.DUMMYFUNCTION("""COMPUTED_VALUE"""),7.61)</f>
        <v>7.61</v>
      </c>
      <c r="V937" s="48">
        <f>IFERROR(__xludf.DUMMYFUNCTION("""COMPUTED_VALUE"""),7.56)</f>
        <v>7.56</v>
      </c>
      <c r="W937" s="14">
        <f>IFERROR(__xludf.DUMMYFUNCTION("""COMPUTED_VALUE"""),7.593999999999999)</f>
        <v>7.594</v>
      </c>
      <c r="X937" s="14">
        <f>IFERROR(__xludf.DUMMYFUNCTION("""COMPUTED_VALUE"""),15.2)</f>
        <v>15.2</v>
      </c>
      <c r="Y937" s="14">
        <f>IFERROR(__xludf.DUMMYFUNCTION("""COMPUTED_VALUE"""),15.4)</f>
        <v>15.4</v>
      </c>
      <c r="Z937" s="14">
        <f>IFERROR(__xludf.DUMMYFUNCTION("""COMPUTED_VALUE"""),16.4)</f>
        <v>16.4</v>
      </c>
      <c r="AA937" s="14">
        <f>IFERROR(__xludf.DUMMYFUNCTION("""COMPUTED_VALUE"""),17.2)</f>
        <v>17.2</v>
      </c>
      <c r="AB937" s="14">
        <f>IFERROR(__xludf.DUMMYFUNCTION("""COMPUTED_VALUE"""),16.6)</f>
        <v>16.6</v>
      </c>
      <c r="AC937" s="14">
        <f>IFERROR(__xludf.DUMMYFUNCTION("""COMPUTED_VALUE"""),16.160000000000004)</f>
        <v>16.16</v>
      </c>
      <c r="AD937" s="48">
        <f>IFERROR(__xludf.DUMMYFUNCTION("""COMPUTED_VALUE"""),441.0)</f>
        <v>441</v>
      </c>
      <c r="AE937" s="48">
        <f>IFERROR(__xludf.DUMMYFUNCTION("""COMPUTED_VALUE"""),488.0)</f>
        <v>488</v>
      </c>
      <c r="AF937" s="48">
        <f>IFERROR(__xludf.DUMMYFUNCTION("""COMPUTED_VALUE"""),485.0)</f>
        <v>485</v>
      </c>
      <c r="AG937" s="48">
        <f>IFERROR(__xludf.DUMMYFUNCTION("""COMPUTED_VALUE"""),527.0)</f>
        <v>527</v>
      </c>
      <c r="AH937" s="48">
        <f>IFERROR(__xludf.DUMMYFUNCTION("""COMPUTED_VALUE"""),502.0)</f>
        <v>502</v>
      </c>
      <c r="AI937" s="14">
        <f>IFERROR(__xludf.DUMMYFUNCTION("""COMPUTED_VALUE"""),488.6)</f>
        <v>488.6</v>
      </c>
      <c r="AJ937" s="14">
        <f>IFERROR(__xludf.DUMMYFUNCTION("""COMPUTED_VALUE"""),4.42)</f>
        <v>4.42</v>
      </c>
      <c r="AK937" s="14">
        <f>IFERROR(__xludf.DUMMYFUNCTION("""COMPUTED_VALUE"""),4.37)</f>
        <v>4.37</v>
      </c>
      <c r="AL937" s="14">
        <f>IFERROR(__xludf.DUMMYFUNCTION("""COMPUTED_VALUE"""),4.27)</f>
        <v>4.27</v>
      </c>
      <c r="AM937" s="14">
        <f>IFERROR(__xludf.DUMMYFUNCTION("""COMPUTED_VALUE"""),3.83)</f>
        <v>3.83</v>
      </c>
      <c r="AN937" s="14">
        <f>IFERROR(__xludf.DUMMYFUNCTION("""COMPUTED_VALUE"""),4.32)</f>
        <v>4.32</v>
      </c>
      <c r="AO937" s="14">
        <f>IFERROR(__xludf.DUMMYFUNCTION("""COMPUTED_VALUE"""),4.242)</f>
        <v>4.242</v>
      </c>
      <c r="AP937" s="14">
        <f>IFERROR(__xludf.DUMMYFUNCTION("""COMPUTED_VALUE"""),53.0)</f>
        <v>53</v>
      </c>
      <c r="AQ937" s="14">
        <f>IFERROR(__xludf.DUMMYFUNCTION("""COMPUTED_VALUE"""),79.0)</f>
        <v>79</v>
      </c>
      <c r="AR937" s="14">
        <f>IFERROR(__xludf.DUMMYFUNCTION("""COMPUTED_VALUE"""),30.0)</f>
        <v>30</v>
      </c>
      <c r="AS937" s="14">
        <f>IFERROR(__xludf.DUMMYFUNCTION("""COMPUTED_VALUE"""),1.0)</f>
        <v>1</v>
      </c>
      <c r="AT937" s="14">
        <f>IFERROR(__xludf.DUMMYFUNCTION("""COMPUTED_VALUE"""),0.31)</f>
        <v>0.31</v>
      </c>
      <c r="AU937" s="14">
        <f>IFERROR(__xludf.DUMMYFUNCTION("""COMPUTED_VALUE"""),136700.0)</f>
        <v>136700</v>
      </c>
      <c r="AV937" s="14">
        <f>IFERROR(__xludf.DUMMYFUNCTION("""COMPUTED_VALUE"""),1.86)</f>
        <v>1.86</v>
      </c>
      <c r="AW937" s="14">
        <f>IFERROR(__xludf.DUMMYFUNCTION("""COMPUTED_VALUE"""),27.7)</f>
        <v>27.7</v>
      </c>
      <c r="AX937" s="14">
        <f>IFERROR(__xludf.DUMMYFUNCTION("""COMPUTED_VALUE"""),116400.0)</f>
        <v>116400</v>
      </c>
      <c r="AY937" s="14">
        <f>IFERROR(__xludf.DUMMYFUNCTION("""COMPUTED_VALUE"""),0.8)</f>
        <v>0.8</v>
      </c>
      <c r="AZ937" s="14">
        <f>IFERROR(__xludf.DUMMYFUNCTION("""COMPUTED_VALUE"""),0.007)</f>
        <v>0.007</v>
      </c>
      <c r="BA937" s="14">
        <f t="shared" si="1"/>
        <v>28.507</v>
      </c>
    </row>
    <row r="938" ht="14.25" customHeight="1">
      <c r="A938" s="10" t="str">
        <f>IFERROR(__xludf.DUMMYFUNCTION("""COMPUTED_VALUE"""),"031023HA02")</f>
        <v>031023HA02</v>
      </c>
      <c r="B938" s="12" t="str">
        <f>IFERROR(__xludf.DUMMYFUNCTION("""COMPUTED_VALUE"""),"QTR-Mochuelo Bajo")</f>
        <v>QTR-Mochuelo Bajo</v>
      </c>
      <c r="C938" s="12"/>
      <c r="D938" s="12"/>
      <c r="E938" s="44">
        <f>IFERROR(__xludf.DUMMYFUNCTION("""COMPUTED_VALUE"""),45202.0)</f>
        <v>45202</v>
      </c>
      <c r="F938" s="12" t="str">
        <f>IFERROR(__xludf.DUMMYFUNCTION("""COMPUTED_VALUE"""),"TIPO I")</f>
        <v>TIPO I</v>
      </c>
      <c r="G938" s="12" t="str">
        <f>IFERROR(__xludf.DUMMYFUNCTION("""COMPUTED_VALUE"""),"Monitoreo realizado en cuerpo de cuerpo de agua con lecho rocoso, se observa cobertura vegetal arbórea con presencia de pastizales en las laderas del cauce. Durante las toma de muestra se percibe olor, se observa color y espuma. ")</f>
        <v>Monitoreo realizado en cuerpo de cuerpo de agua con lecho rocoso, se observa cobertura vegetal arbórea con presencia de pastizales en las laderas del cauce. Durante las toma de muestra se percibe olor, se observa color y espuma. </v>
      </c>
      <c r="H938" s="45">
        <f>IFERROR(__xludf.DUMMYFUNCTION("""COMPUTED_VALUE"""),0.5)</f>
        <v>0.5</v>
      </c>
      <c r="I938" s="45">
        <f>IFERROR(__xludf.DUMMYFUNCTION("""COMPUTED_VALUE"""),0.5833333333321207)</f>
        <v>0.5833333333</v>
      </c>
      <c r="J938" s="12">
        <f>IFERROR(__xludf.DUMMYFUNCTION("""COMPUTED_VALUE"""),1.1)</f>
        <v>1.1</v>
      </c>
      <c r="K938" s="12">
        <f>IFERROR(__xludf.DUMMYFUNCTION("""COMPUTED_VALUE"""),0.15)</f>
        <v>0.15</v>
      </c>
      <c r="L938" s="14">
        <f>IFERROR(__xludf.DUMMYFUNCTION("""COMPUTED_VALUE"""),11.882)</f>
        <v>11.882</v>
      </c>
      <c r="M938" s="14">
        <f>IFERROR(__xludf.DUMMYFUNCTION("""COMPUTED_VALUE"""),11.941)</f>
        <v>11.941</v>
      </c>
      <c r="N938" s="14">
        <f>IFERROR(__xludf.DUMMYFUNCTION("""COMPUTED_VALUE"""),11.903)</f>
        <v>11.903</v>
      </c>
      <c r="O938" s="14">
        <f>IFERROR(__xludf.DUMMYFUNCTION("""COMPUTED_VALUE"""),12.096)</f>
        <v>12.096</v>
      </c>
      <c r="P938" s="14">
        <f>IFERROR(__xludf.DUMMYFUNCTION("""COMPUTED_VALUE"""),11.972)</f>
        <v>11.972</v>
      </c>
      <c r="Q938" s="14">
        <f>IFERROR(__xludf.DUMMYFUNCTION("""COMPUTED_VALUE"""),11.959)</f>
        <v>11.959</v>
      </c>
      <c r="R938" s="48">
        <f>IFERROR(__xludf.DUMMYFUNCTION("""COMPUTED_VALUE"""),8.06)</f>
        <v>8.06</v>
      </c>
      <c r="S938" s="48">
        <f>IFERROR(__xludf.DUMMYFUNCTION("""COMPUTED_VALUE"""),8.02)</f>
        <v>8.02</v>
      </c>
      <c r="T938" s="48">
        <f>IFERROR(__xludf.DUMMYFUNCTION("""COMPUTED_VALUE"""),7.95)</f>
        <v>7.95</v>
      </c>
      <c r="U938" s="48">
        <f>IFERROR(__xludf.DUMMYFUNCTION("""COMPUTED_VALUE"""),7.97)</f>
        <v>7.97</v>
      </c>
      <c r="V938" s="48">
        <f>IFERROR(__xludf.DUMMYFUNCTION("""COMPUTED_VALUE"""),8.0)</f>
        <v>8</v>
      </c>
      <c r="W938" s="14">
        <f>IFERROR(__xludf.DUMMYFUNCTION("""COMPUTED_VALUE"""),8.0)</f>
        <v>8</v>
      </c>
      <c r="X938" s="14">
        <f>IFERROR(__xludf.DUMMYFUNCTION("""COMPUTED_VALUE"""),19.4)</f>
        <v>19.4</v>
      </c>
      <c r="Y938" s="14">
        <f>IFERROR(__xludf.DUMMYFUNCTION("""COMPUTED_VALUE"""),19.5)</f>
        <v>19.5</v>
      </c>
      <c r="Z938" s="14">
        <f>IFERROR(__xludf.DUMMYFUNCTION("""COMPUTED_VALUE"""),19.9)</f>
        <v>19.9</v>
      </c>
      <c r="AA938" s="14">
        <f>IFERROR(__xludf.DUMMYFUNCTION("""COMPUTED_VALUE"""),20.3)</f>
        <v>20.3</v>
      </c>
      <c r="AB938" s="14">
        <f>IFERROR(__xludf.DUMMYFUNCTION("""COMPUTED_VALUE"""),20.2)</f>
        <v>20.2</v>
      </c>
      <c r="AC938" s="14">
        <f>IFERROR(__xludf.DUMMYFUNCTION("""COMPUTED_VALUE"""),19.86)</f>
        <v>19.86</v>
      </c>
      <c r="AD938" s="48">
        <f>IFERROR(__xludf.DUMMYFUNCTION("""COMPUTED_VALUE"""),585.0)</f>
        <v>585</v>
      </c>
      <c r="AE938" s="48">
        <f>IFERROR(__xludf.DUMMYFUNCTION("""COMPUTED_VALUE"""),582.0)</f>
        <v>582</v>
      </c>
      <c r="AF938" s="48">
        <f>IFERROR(__xludf.DUMMYFUNCTION("""COMPUTED_VALUE"""),531.0)</f>
        <v>531</v>
      </c>
      <c r="AG938" s="48">
        <f>IFERROR(__xludf.DUMMYFUNCTION("""COMPUTED_VALUE"""),532.0)</f>
        <v>532</v>
      </c>
      <c r="AH938" s="48">
        <f>IFERROR(__xludf.DUMMYFUNCTION("""COMPUTED_VALUE"""),552.0)</f>
        <v>552</v>
      </c>
      <c r="AI938" s="14">
        <f>IFERROR(__xludf.DUMMYFUNCTION("""COMPUTED_VALUE"""),556.4)</f>
        <v>556.4</v>
      </c>
      <c r="AJ938" s="14">
        <f>IFERROR(__xludf.DUMMYFUNCTION("""COMPUTED_VALUE"""),3.51)</f>
        <v>3.51</v>
      </c>
      <c r="AK938" s="14">
        <f>IFERROR(__xludf.DUMMYFUNCTION("""COMPUTED_VALUE"""),3.63)</f>
        <v>3.63</v>
      </c>
      <c r="AL938" s="14">
        <f>IFERROR(__xludf.DUMMYFUNCTION("""COMPUTED_VALUE"""),3.84)</f>
        <v>3.84</v>
      </c>
      <c r="AM938" s="14">
        <f>IFERROR(__xludf.DUMMYFUNCTION("""COMPUTED_VALUE"""),3.76)</f>
        <v>3.76</v>
      </c>
      <c r="AN938" s="14">
        <f>IFERROR(__xludf.DUMMYFUNCTION("""COMPUTED_VALUE"""),3.67)</f>
        <v>3.67</v>
      </c>
      <c r="AO938" s="14">
        <f>IFERROR(__xludf.DUMMYFUNCTION("""COMPUTED_VALUE"""),3.682)</f>
        <v>3.682</v>
      </c>
      <c r="AP938" s="14">
        <f>IFERROR(__xludf.DUMMYFUNCTION("""COMPUTED_VALUE"""),94.0)</f>
        <v>94</v>
      </c>
      <c r="AQ938" s="14">
        <f>IFERROR(__xludf.DUMMYFUNCTION("""COMPUTED_VALUE"""),125.0)</f>
        <v>125</v>
      </c>
      <c r="AR938" s="14">
        <f>IFERROR(__xludf.DUMMYFUNCTION("""COMPUTED_VALUE"""),230.0)</f>
        <v>230</v>
      </c>
      <c r="AS938" s="14">
        <f>IFERROR(__xludf.DUMMYFUNCTION("""COMPUTED_VALUE"""),1.0)</f>
        <v>1</v>
      </c>
      <c r="AT938" s="14">
        <f>IFERROR(__xludf.DUMMYFUNCTION("""COMPUTED_VALUE"""),1.37)</f>
        <v>1.37</v>
      </c>
      <c r="AU938" s="14">
        <f>IFERROR(__xludf.DUMMYFUNCTION("""COMPUTED_VALUE"""),1.137E7)</f>
        <v>11370000</v>
      </c>
      <c r="AV938" s="14">
        <f>IFERROR(__xludf.DUMMYFUNCTION("""COMPUTED_VALUE"""),3.15)</f>
        <v>3.15</v>
      </c>
      <c r="AW938" s="14">
        <f>IFERROR(__xludf.DUMMYFUNCTION("""COMPUTED_VALUE"""),11.8)</f>
        <v>11.8</v>
      </c>
      <c r="AX938" s="14">
        <f>IFERROR(__xludf.DUMMYFUNCTION("""COMPUTED_VALUE"""),8650000.0)</f>
        <v>8650000</v>
      </c>
      <c r="AY938" s="14">
        <f>IFERROR(__xludf.DUMMYFUNCTION("""COMPUTED_VALUE"""),1.4)</f>
        <v>1.4</v>
      </c>
      <c r="AZ938" s="14">
        <f>IFERROR(__xludf.DUMMYFUNCTION("""COMPUTED_VALUE"""),0.007)</f>
        <v>0.007</v>
      </c>
      <c r="BA938" s="14">
        <f t="shared" si="1"/>
        <v>13.207</v>
      </c>
    </row>
    <row r="939" ht="14.25" customHeight="1">
      <c r="A939" s="10" t="str">
        <f>IFERROR(__xludf.DUMMYFUNCTION("""COMPUTED_VALUE"""),"031023HA03")</f>
        <v>031023HA03</v>
      </c>
      <c r="B939" s="12" t="str">
        <f>IFERROR(__xludf.DUMMYFUNCTION("""COMPUTED_VALUE"""),"QTR-Acapulco")</f>
        <v>QTR-Acapulco</v>
      </c>
      <c r="C939" s="12"/>
      <c r="D939" s="12"/>
      <c r="E939" s="44">
        <f>IFERROR(__xludf.DUMMYFUNCTION("""COMPUTED_VALUE"""),45202.0)</f>
        <v>45202</v>
      </c>
      <c r="F939" s="12" t="str">
        <f>IFERROR(__xludf.DUMMYFUNCTION("""COMPUTED_VALUE"""),"TIPO I")</f>
        <v>TIPO I</v>
      </c>
      <c r="G939" s="12" t="str">
        <f>IFERROR(__xludf.DUMMYFUNCTION("""COMPUTED_VALUE"""),"Monitoreo realizado en cuerpo de agua con lecho rocoso, se observa presencia de pastizales en las laderas del cauce. Durante las toma de muestra se observa color, ademas en su superficie presentaba espuma. se percibe olor. Altitud: 2665 msnm. ")</f>
        <v>Monitoreo realizado en cuerpo de agua con lecho rocoso, se observa presencia de pastizales en las laderas del cauce. Durante las toma de muestra se observa color, ademas en su superficie presentaba espuma. se percibe olor. Altitud: 2665 msnm. </v>
      </c>
      <c r="H939" s="45">
        <f>IFERROR(__xludf.DUMMYFUNCTION("""COMPUTED_VALUE"""),0.6666666666678793)</f>
        <v>0.6666666667</v>
      </c>
      <c r="I939" s="45">
        <f>IFERROR(__xludf.DUMMYFUNCTION("""COMPUTED_VALUE"""),0.75)</f>
        <v>0.75</v>
      </c>
      <c r="J939" s="12">
        <f>IFERROR(__xludf.DUMMYFUNCTION("""COMPUTED_VALUE"""),1.3)</f>
        <v>1.3</v>
      </c>
      <c r="K939" s="12">
        <f>IFERROR(__xludf.DUMMYFUNCTION("""COMPUTED_VALUE"""),0.16)</f>
        <v>0.16</v>
      </c>
      <c r="L939" s="14">
        <f>IFERROR(__xludf.DUMMYFUNCTION("""COMPUTED_VALUE"""),43.702)</f>
        <v>43.702</v>
      </c>
      <c r="M939" s="14">
        <f>IFERROR(__xludf.DUMMYFUNCTION("""COMPUTED_VALUE"""),43.437)</f>
        <v>43.437</v>
      </c>
      <c r="N939" s="14">
        <f>IFERROR(__xludf.DUMMYFUNCTION("""COMPUTED_VALUE"""),43.643)</f>
        <v>43.643</v>
      </c>
      <c r="O939" s="14">
        <f>IFERROR(__xludf.DUMMYFUNCTION("""COMPUTED_VALUE"""),43.173)</f>
        <v>43.173</v>
      </c>
      <c r="P939" s="14">
        <f>IFERROR(__xludf.DUMMYFUNCTION("""COMPUTED_VALUE"""),42.67)</f>
        <v>42.67</v>
      </c>
      <c r="Q939" s="14">
        <f>IFERROR(__xludf.DUMMYFUNCTION("""COMPUTED_VALUE"""),43.325)</f>
        <v>43.325</v>
      </c>
      <c r="R939" s="48">
        <f>IFERROR(__xludf.DUMMYFUNCTION("""COMPUTED_VALUE"""),9.01)</f>
        <v>9.01</v>
      </c>
      <c r="S939" s="48">
        <f>IFERROR(__xludf.DUMMYFUNCTION("""COMPUTED_VALUE"""),9.11)</f>
        <v>9.11</v>
      </c>
      <c r="T939" s="48">
        <f>IFERROR(__xludf.DUMMYFUNCTION("""COMPUTED_VALUE"""),9.36)</f>
        <v>9.36</v>
      </c>
      <c r="U939" s="48">
        <f>IFERROR(__xludf.DUMMYFUNCTION("""COMPUTED_VALUE"""),9.68)</f>
        <v>9.68</v>
      </c>
      <c r="V939" s="48">
        <f>IFERROR(__xludf.DUMMYFUNCTION("""COMPUTED_VALUE"""),9.73)</f>
        <v>9.73</v>
      </c>
      <c r="W939" s="14">
        <f>IFERROR(__xludf.DUMMYFUNCTION("""COMPUTED_VALUE"""),9.378)</f>
        <v>9.378</v>
      </c>
      <c r="X939" s="14">
        <f>IFERROR(__xludf.DUMMYFUNCTION("""COMPUTED_VALUE"""),20.4)</f>
        <v>20.4</v>
      </c>
      <c r="Y939" s="14">
        <f>IFERROR(__xludf.DUMMYFUNCTION("""COMPUTED_VALUE"""),19.7)</f>
        <v>19.7</v>
      </c>
      <c r="Z939" s="14">
        <f>IFERROR(__xludf.DUMMYFUNCTION("""COMPUTED_VALUE"""),18.8)</f>
        <v>18.8</v>
      </c>
      <c r="AA939" s="14">
        <f>IFERROR(__xludf.DUMMYFUNCTION("""COMPUTED_VALUE"""),18.4)</f>
        <v>18.4</v>
      </c>
      <c r="AB939" s="14">
        <f>IFERROR(__xludf.DUMMYFUNCTION("""COMPUTED_VALUE"""),17.9)</f>
        <v>17.9</v>
      </c>
      <c r="AC939" s="14">
        <f>IFERROR(__xludf.DUMMYFUNCTION("""COMPUTED_VALUE"""),19.04)</f>
        <v>19.04</v>
      </c>
      <c r="AD939" s="48">
        <f>IFERROR(__xludf.DUMMYFUNCTION("""COMPUTED_VALUE"""),483.0)</f>
        <v>483</v>
      </c>
      <c r="AE939" s="48">
        <f>IFERROR(__xludf.DUMMYFUNCTION("""COMPUTED_VALUE"""),472.0)</f>
        <v>472</v>
      </c>
      <c r="AF939" s="48">
        <f>IFERROR(__xludf.DUMMYFUNCTION("""COMPUTED_VALUE"""),464.0)</f>
        <v>464</v>
      </c>
      <c r="AG939" s="48">
        <f>IFERROR(__xludf.DUMMYFUNCTION("""COMPUTED_VALUE"""),488.0)</f>
        <v>488</v>
      </c>
      <c r="AH939" s="48">
        <f>IFERROR(__xludf.DUMMYFUNCTION("""COMPUTED_VALUE"""),472.0)</f>
        <v>472</v>
      </c>
      <c r="AI939" s="14">
        <f>IFERROR(__xludf.DUMMYFUNCTION("""COMPUTED_VALUE"""),475.8)</f>
        <v>475.8</v>
      </c>
      <c r="AJ939" s="14">
        <f>IFERROR(__xludf.DUMMYFUNCTION("""COMPUTED_VALUE"""),3.94)</f>
        <v>3.94</v>
      </c>
      <c r="AK939" s="14">
        <f>IFERROR(__xludf.DUMMYFUNCTION("""COMPUTED_VALUE"""),4.2)</f>
        <v>4.2</v>
      </c>
      <c r="AL939" s="14">
        <f>IFERROR(__xludf.DUMMYFUNCTION("""COMPUTED_VALUE"""),4.6)</f>
        <v>4.6</v>
      </c>
      <c r="AM939" s="14">
        <f>IFERROR(__xludf.DUMMYFUNCTION("""COMPUTED_VALUE"""),4.54)</f>
        <v>4.54</v>
      </c>
      <c r="AN939" s="14">
        <f>IFERROR(__xludf.DUMMYFUNCTION("""COMPUTED_VALUE"""),4.49)</f>
        <v>4.49</v>
      </c>
      <c r="AO939" s="14">
        <f>IFERROR(__xludf.DUMMYFUNCTION("""COMPUTED_VALUE"""),4.354000000000001)</f>
        <v>4.354</v>
      </c>
      <c r="AP939" s="14">
        <f>IFERROR(__xludf.DUMMYFUNCTION("""COMPUTED_VALUE"""),58.0)</f>
        <v>58</v>
      </c>
      <c r="AQ939" s="14">
        <f>IFERROR(__xludf.DUMMYFUNCTION("""COMPUTED_VALUE"""),86.0)</f>
        <v>86</v>
      </c>
      <c r="AR939" s="14">
        <f>IFERROR(__xludf.DUMMYFUNCTION("""COMPUTED_VALUE"""),920.0)</f>
        <v>920</v>
      </c>
      <c r="AS939" s="14">
        <f>IFERROR(__xludf.DUMMYFUNCTION("""COMPUTED_VALUE"""),1.0)</f>
        <v>1</v>
      </c>
      <c r="AT939" s="14">
        <f>IFERROR(__xludf.DUMMYFUNCTION("""COMPUTED_VALUE"""),1.75)</f>
        <v>1.75</v>
      </c>
      <c r="AU939" s="14">
        <f>IFERROR(__xludf.DUMMYFUNCTION("""COMPUTED_VALUE"""),9100000.0)</f>
        <v>9100000</v>
      </c>
      <c r="AV939" s="14">
        <f>IFERROR(__xludf.DUMMYFUNCTION("""COMPUTED_VALUE"""),1.47)</f>
        <v>1.47</v>
      </c>
      <c r="AW939" s="14">
        <f>IFERROR(__xludf.DUMMYFUNCTION("""COMPUTED_VALUE"""),17.9)</f>
        <v>17.9</v>
      </c>
      <c r="AX939" s="14">
        <f>IFERROR(__xludf.DUMMYFUNCTION("""COMPUTED_VALUE"""),4880000.0)</f>
        <v>4880000</v>
      </c>
      <c r="AY939" s="14">
        <f>IFERROR(__xludf.DUMMYFUNCTION("""COMPUTED_VALUE"""),0.8)</f>
        <v>0.8</v>
      </c>
      <c r="AZ939" s="14">
        <f>IFERROR(__xludf.DUMMYFUNCTION("""COMPUTED_VALUE"""),0.007)</f>
        <v>0.007</v>
      </c>
      <c r="BA939" s="14">
        <f t="shared" si="1"/>
        <v>18.707</v>
      </c>
    </row>
    <row r="940" ht="14.25" customHeight="1">
      <c r="A940" s="10" t="str">
        <f>IFERROR(__xludf.DUMMYFUNCTION("""COMPUTED_VALUE"""),"260923FE01")</f>
        <v>260923FE01</v>
      </c>
      <c r="B940" s="12" t="str">
        <f>IFERROR(__xludf.DUMMYFUNCTION("""COMPUTED_VALUE"""),"CON-Callejas")</f>
        <v>CON-Callejas</v>
      </c>
      <c r="C940" s="12"/>
      <c r="D940" s="12"/>
      <c r="E940" s="44">
        <f>IFERROR(__xludf.DUMMYFUNCTION("""COMPUTED_VALUE"""),45195.0)</f>
        <v>45195</v>
      </c>
      <c r="F940" s="12" t="str">
        <f>IFERROR(__xludf.DUMMYFUNCTION("""COMPUTED_VALUE"""),"TIPO I")</f>
        <v>TIPO I</v>
      </c>
      <c r="G940" s="12" t="str">
        <f>IFERROR(__xludf.DUMMYFUNCTION("""COMPUTED_VALUE"""),"Estructura del canal en concreto, durante el monitoreo se observa color, no se percibe olor.
Altitud: 2576 msnm. ")</f>
        <v>Estructura del canal en concreto, durante el monitoreo se observa color, no se percibe olor.
Altitud: 2576 msnm. </v>
      </c>
      <c r="H940" s="45">
        <f>IFERROR(__xludf.DUMMYFUNCTION("""COMPUTED_VALUE"""),0.5)</f>
        <v>0.5</v>
      </c>
      <c r="I940" s="45">
        <f>IFERROR(__xludf.DUMMYFUNCTION("""COMPUTED_VALUE"""),0.5833333333321207)</f>
        <v>0.5833333333</v>
      </c>
      <c r="J940" s="12">
        <f>IFERROR(__xludf.DUMMYFUNCTION("""COMPUTED_VALUE"""),3.9)</f>
        <v>3.9</v>
      </c>
      <c r="K940" s="12">
        <f>IFERROR(__xludf.DUMMYFUNCTION("""COMPUTED_VALUE"""),0.12)</f>
        <v>0.12</v>
      </c>
      <c r="L940" s="14">
        <f>IFERROR(__xludf.DUMMYFUNCTION("""COMPUTED_VALUE"""),20.961)</f>
        <v>20.961</v>
      </c>
      <c r="M940" s="14">
        <f>IFERROR(__xludf.DUMMYFUNCTION("""COMPUTED_VALUE"""),21.439)</f>
        <v>21.439</v>
      </c>
      <c r="N940" s="14">
        <f>IFERROR(__xludf.DUMMYFUNCTION("""COMPUTED_VALUE"""),19.872)</f>
        <v>19.872</v>
      </c>
      <c r="O940" s="14">
        <f>IFERROR(__xludf.DUMMYFUNCTION("""COMPUTED_VALUE"""),20.828)</f>
        <v>20.828</v>
      </c>
      <c r="P940" s="14">
        <f>IFERROR(__xludf.DUMMYFUNCTION("""COMPUTED_VALUE"""),21.245)</f>
        <v>21.245</v>
      </c>
      <c r="Q940" s="14">
        <f>IFERROR(__xludf.DUMMYFUNCTION("""COMPUTED_VALUE"""),20.869)</f>
        <v>20.869</v>
      </c>
      <c r="R940" s="48">
        <f>IFERROR(__xludf.DUMMYFUNCTION("""COMPUTED_VALUE"""),7.88)</f>
        <v>7.88</v>
      </c>
      <c r="S940" s="48">
        <f>IFERROR(__xludf.DUMMYFUNCTION("""COMPUTED_VALUE"""),7.69)</f>
        <v>7.69</v>
      </c>
      <c r="T940" s="48">
        <f>IFERROR(__xludf.DUMMYFUNCTION("""COMPUTED_VALUE"""),7.73)</f>
        <v>7.73</v>
      </c>
      <c r="U940" s="48">
        <f>IFERROR(__xludf.DUMMYFUNCTION("""COMPUTED_VALUE"""),7.02)</f>
        <v>7.02</v>
      </c>
      <c r="V940" s="48">
        <f>IFERROR(__xludf.DUMMYFUNCTION("""COMPUTED_VALUE"""),7.39)</f>
        <v>7.39</v>
      </c>
      <c r="W940" s="14">
        <f>IFERROR(__xludf.DUMMYFUNCTION("""COMPUTED_VALUE"""),7.542)</f>
        <v>7.542</v>
      </c>
      <c r="X940" s="14">
        <f>IFERROR(__xludf.DUMMYFUNCTION("""COMPUTED_VALUE"""),25.9)</f>
        <v>25.9</v>
      </c>
      <c r="Y940" s="14">
        <f>IFERROR(__xludf.DUMMYFUNCTION("""COMPUTED_VALUE"""),24.3)</f>
        <v>24.3</v>
      </c>
      <c r="Z940" s="14">
        <f>IFERROR(__xludf.DUMMYFUNCTION("""COMPUTED_VALUE"""),24.9)</f>
        <v>24.9</v>
      </c>
      <c r="AA940" s="14">
        <f>IFERROR(__xludf.DUMMYFUNCTION("""COMPUTED_VALUE"""),24.7)</f>
        <v>24.7</v>
      </c>
      <c r="AB940" s="14">
        <f>IFERROR(__xludf.DUMMYFUNCTION("""COMPUTED_VALUE"""),25.0)</f>
        <v>25</v>
      </c>
      <c r="AC940" s="14">
        <f>IFERROR(__xludf.DUMMYFUNCTION("""COMPUTED_VALUE"""),24.96)</f>
        <v>24.96</v>
      </c>
      <c r="AD940" s="48">
        <f>IFERROR(__xludf.DUMMYFUNCTION("""COMPUTED_VALUE"""),362.0)</f>
        <v>362</v>
      </c>
      <c r="AE940" s="48">
        <f>IFERROR(__xludf.DUMMYFUNCTION("""COMPUTED_VALUE"""),338.0)</f>
        <v>338</v>
      </c>
      <c r="AF940" s="48">
        <f>IFERROR(__xludf.DUMMYFUNCTION("""COMPUTED_VALUE"""),342.0)</f>
        <v>342</v>
      </c>
      <c r="AG940" s="48">
        <f>IFERROR(__xludf.DUMMYFUNCTION("""COMPUTED_VALUE"""),307.0)</f>
        <v>307</v>
      </c>
      <c r="AH940" s="48">
        <f>IFERROR(__xludf.DUMMYFUNCTION("""COMPUTED_VALUE"""),343.0)</f>
        <v>343</v>
      </c>
      <c r="AI940" s="14">
        <f>IFERROR(__xludf.DUMMYFUNCTION("""COMPUTED_VALUE"""),338.4)</f>
        <v>338.4</v>
      </c>
      <c r="AJ940" s="14">
        <f>IFERROR(__xludf.DUMMYFUNCTION("""COMPUTED_VALUE"""),3.46)</f>
        <v>3.46</v>
      </c>
      <c r="AK940" s="14">
        <f>IFERROR(__xludf.DUMMYFUNCTION("""COMPUTED_VALUE"""),3.37)</f>
        <v>3.37</v>
      </c>
      <c r="AL940" s="14">
        <f>IFERROR(__xludf.DUMMYFUNCTION("""COMPUTED_VALUE"""),3.23)</f>
        <v>3.23</v>
      </c>
      <c r="AM940" s="14">
        <f>IFERROR(__xludf.DUMMYFUNCTION("""COMPUTED_VALUE"""),3.14)</f>
        <v>3.14</v>
      </c>
      <c r="AN940" s="14">
        <f>IFERROR(__xludf.DUMMYFUNCTION("""COMPUTED_VALUE"""),3.56)</f>
        <v>3.56</v>
      </c>
      <c r="AO940" s="14">
        <f>IFERROR(__xludf.DUMMYFUNCTION("""COMPUTED_VALUE"""),3.3520000000000003)</f>
        <v>3.352</v>
      </c>
      <c r="AP940" s="14">
        <f>IFERROR(__xludf.DUMMYFUNCTION("""COMPUTED_VALUE"""),25.0)</f>
        <v>25</v>
      </c>
      <c r="AQ940" s="14">
        <f>IFERROR(__xludf.DUMMYFUNCTION("""COMPUTED_VALUE"""),36.0)</f>
        <v>36</v>
      </c>
      <c r="AR940" s="14">
        <f>IFERROR(__xludf.DUMMYFUNCTION("""COMPUTED_VALUE"""),10.0)</f>
        <v>10</v>
      </c>
      <c r="AS940" s="14">
        <f>IFERROR(__xludf.DUMMYFUNCTION("""COMPUTED_VALUE"""),1.0)</f>
        <v>1</v>
      </c>
      <c r="AT940" s="14">
        <f>IFERROR(__xludf.DUMMYFUNCTION("""COMPUTED_VALUE"""),0.61)</f>
        <v>0.61</v>
      </c>
      <c r="AU940" s="14">
        <f>IFERROR(__xludf.DUMMYFUNCTION("""COMPUTED_VALUE"""),9850.0)</f>
        <v>9850</v>
      </c>
      <c r="AV940" s="14">
        <f>IFERROR(__xludf.DUMMYFUNCTION("""COMPUTED_VALUE"""),0.58)</f>
        <v>0.58</v>
      </c>
      <c r="AW940" s="14">
        <f>IFERROR(__xludf.DUMMYFUNCTION("""COMPUTED_VALUE"""),5.9)</f>
        <v>5.9</v>
      </c>
      <c r="AX940" s="14">
        <f>IFERROR(__xludf.DUMMYFUNCTION("""COMPUTED_VALUE"""),111.2)</f>
        <v>111.2</v>
      </c>
      <c r="AY940" s="14">
        <f>IFERROR(__xludf.DUMMYFUNCTION("""COMPUTED_VALUE"""),1.5)</f>
        <v>1.5</v>
      </c>
      <c r="AZ940" s="14">
        <f>IFERROR(__xludf.DUMMYFUNCTION("""COMPUTED_VALUE"""),0.288)</f>
        <v>0.288</v>
      </c>
      <c r="BA940" s="14">
        <f t="shared" si="1"/>
        <v>7.688</v>
      </c>
    </row>
    <row r="941" ht="14.25" customHeight="1">
      <c r="A941" s="10" t="str">
        <f>IFERROR(__xludf.DUMMYFUNCTION("""COMPUTED_VALUE"""),"280923AN01")</f>
        <v>280923AN01</v>
      </c>
      <c r="B941" s="12" t="str">
        <f>IFERROR(__xludf.DUMMYFUNCTION("""COMPUTED_VALUE"""),"QLI-El Satélite")</f>
        <v>QLI-El Satélite</v>
      </c>
      <c r="C941" s="12"/>
      <c r="D941" s="12"/>
      <c r="E941" s="44">
        <f>IFERROR(__xludf.DUMMYFUNCTION("""COMPUTED_VALUE"""),45197.0)</f>
        <v>45197</v>
      </c>
      <c r="F941" s="12" t="str">
        <f>IFERROR(__xludf.DUMMYFUNCTION("""COMPUTED_VALUE"""),"TIPO I")</f>
        <v>TIPO I</v>
      </c>
      <c r="G941" s="12" t="str">
        <f>IFERROR(__xludf.DUMMYFUNCTION("""COMPUTED_VALUE"""),"Canala natural con lecho rocoso, durante el monitoreo se observa color y se percibe olor, se observa una variación en la conductividad durante el monitoreo.
Altitud: 2573 msnm.  ")</f>
        <v>Canala natural con lecho rocoso, durante el monitoreo se observa color y se percibe olor, se observa una variación en la conductividad durante el monitoreo.
Altitud: 2573 msnm.  </v>
      </c>
      <c r="H941" s="45">
        <f>IFERROR(__xludf.DUMMYFUNCTION("""COMPUTED_VALUE"""),0.3333333333321207)</f>
        <v>0.3333333333</v>
      </c>
      <c r="I941" s="45">
        <f>IFERROR(__xludf.DUMMYFUNCTION("""COMPUTED_VALUE"""),0.4166666666678793)</f>
        <v>0.4166666667</v>
      </c>
      <c r="J941" s="12">
        <f>IFERROR(__xludf.DUMMYFUNCTION("""COMPUTED_VALUE"""),2.5)</f>
        <v>2.5</v>
      </c>
      <c r="K941" s="12">
        <f>IFERROR(__xludf.DUMMYFUNCTION("""COMPUTED_VALUE"""),0.18)</f>
        <v>0.18</v>
      </c>
      <c r="L941" s="14">
        <f>IFERROR(__xludf.DUMMYFUNCTION("""COMPUTED_VALUE"""),125.367)</f>
        <v>125.367</v>
      </c>
      <c r="M941" s="14">
        <f>IFERROR(__xludf.DUMMYFUNCTION("""COMPUTED_VALUE"""),126.188)</f>
        <v>126.188</v>
      </c>
      <c r="N941" s="14">
        <f>IFERROR(__xludf.DUMMYFUNCTION("""COMPUTED_VALUE"""),127.328)</f>
        <v>127.328</v>
      </c>
      <c r="O941" s="14">
        <f>IFERROR(__xludf.DUMMYFUNCTION("""COMPUTED_VALUE"""),129.374)</f>
        <v>129.374</v>
      </c>
      <c r="P941" s="14">
        <f>IFERROR(__xludf.DUMMYFUNCTION("""COMPUTED_VALUE"""),130.207)</f>
        <v>130.207</v>
      </c>
      <c r="Q941" s="14">
        <f>IFERROR(__xludf.DUMMYFUNCTION("""COMPUTED_VALUE"""),127.693)</f>
        <v>127.693</v>
      </c>
      <c r="R941" s="48">
        <f>IFERROR(__xludf.DUMMYFUNCTION("""COMPUTED_VALUE"""),7.8)</f>
        <v>7.8</v>
      </c>
      <c r="S941" s="48">
        <f>IFERROR(__xludf.DUMMYFUNCTION("""COMPUTED_VALUE"""),7.86)</f>
        <v>7.86</v>
      </c>
      <c r="T941" s="48">
        <f>IFERROR(__xludf.DUMMYFUNCTION("""COMPUTED_VALUE"""),7.88)</f>
        <v>7.88</v>
      </c>
      <c r="U941" s="48">
        <f>IFERROR(__xludf.DUMMYFUNCTION("""COMPUTED_VALUE"""),7.97)</f>
        <v>7.97</v>
      </c>
      <c r="V941" s="48">
        <f>IFERROR(__xludf.DUMMYFUNCTION("""COMPUTED_VALUE"""),7.99)</f>
        <v>7.99</v>
      </c>
      <c r="W941" s="14">
        <f>IFERROR(__xludf.DUMMYFUNCTION("""COMPUTED_VALUE"""),7.9)</f>
        <v>7.9</v>
      </c>
      <c r="X941" s="14">
        <f>IFERROR(__xludf.DUMMYFUNCTION("""COMPUTED_VALUE"""),15.1)</f>
        <v>15.1</v>
      </c>
      <c r="Y941" s="14">
        <f>IFERROR(__xludf.DUMMYFUNCTION("""COMPUTED_VALUE"""),15.1)</f>
        <v>15.1</v>
      </c>
      <c r="Z941" s="14">
        <f>IFERROR(__xludf.DUMMYFUNCTION("""COMPUTED_VALUE"""),17.0)</f>
        <v>17</v>
      </c>
      <c r="AA941" s="14">
        <f>IFERROR(__xludf.DUMMYFUNCTION("""COMPUTED_VALUE"""),16.8)</f>
        <v>16.8</v>
      </c>
      <c r="AB941" s="14">
        <f>IFERROR(__xludf.DUMMYFUNCTION("""COMPUTED_VALUE"""),17.4)</f>
        <v>17.4</v>
      </c>
      <c r="AC941" s="14">
        <f>IFERROR(__xludf.DUMMYFUNCTION("""COMPUTED_VALUE"""),16.28)</f>
        <v>16.28</v>
      </c>
      <c r="AD941" s="48">
        <f>IFERROR(__xludf.DUMMYFUNCTION("""COMPUTED_VALUE"""),753.0)</f>
        <v>753</v>
      </c>
      <c r="AE941" s="48">
        <f>IFERROR(__xludf.DUMMYFUNCTION("""COMPUTED_VALUE"""),475.0)</f>
        <v>475</v>
      </c>
      <c r="AF941" s="48">
        <f>IFERROR(__xludf.DUMMYFUNCTION("""COMPUTED_VALUE"""),595.0)</f>
        <v>595</v>
      </c>
      <c r="AG941" s="48">
        <f>IFERROR(__xludf.DUMMYFUNCTION("""COMPUTED_VALUE"""),727.0)</f>
        <v>727</v>
      </c>
      <c r="AH941" s="48">
        <f>IFERROR(__xludf.DUMMYFUNCTION("""COMPUTED_VALUE"""),780.0)</f>
        <v>780</v>
      </c>
      <c r="AI941" s="14">
        <f>IFERROR(__xludf.DUMMYFUNCTION("""COMPUTED_VALUE"""),666.0)</f>
        <v>666</v>
      </c>
      <c r="AJ941" s="14">
        <f>IFERROR(__xludf.DUMMYFUNCTION("""COMPUTED_VALUE"""),4.35)</f>
        <v>4.35</v>
      </c>
      <c r="AK941" s="14">
        <f>IFERROR(__xludf.DUMMYFUNCTION("""COMPUTED_VALUE"""),4.08)</f>
        <v>4.08</v>
      </c>
      <c r="AL941" s="14">
        <f>IFERROR(__xludf.DUMMYFUNCTION("""COMPUTED_VALUE"""),4.36)</f>
        <v>4.36</v>
      </c>
      <c r="AM941" s="14">
        <f>IFERROR(__xludf.DUMMYFUNCTION("""COMPUTED_VALUE"""),3.71)</f>
        <v>3.71</v>
      </c>
      <c r="AN941" s="14">
        <f>IFERROR(__xludf.DUMMYFUNCTION("""COMPUTED_VALUE"""),3.09)</f>
        <v>3.09</v>
      </c>
      <c r="AO941" s="14">
        <f>IFERROR(__xludf.DUMMYFUNCTION("""COMPUTED_VALUE"""),3.918)</f>
        <v>3.918</v>
      </c>
      <c r="AP941" s="14">
        <f>IFERROR(__xludf.DUMMYFUNCTION("""COMPUTED_VALUE"""),46.0)</f>
        <v>46</v>
      </c>
      <c r="AQ941" s="14">
        <f>IFERROR(__xludf.DUMMYFUNCTION("""COMPUTED_VALUE"""),70.0)</f>
        <v>70</v>
      </c>
      <c r="AR941" s="14">
        <f>IFERROR(__xludf.DUMMYFUNCTION("""COMPUTED_VALUE"""),43.0)</f>
        <v>43</v>
      </c>
      <c r="AS941" s="14">
        <f>IFERROR(__xludf.DUMMYFUNCTION("""COMPUTED_VALUE"""),10.0)</f>
        <v>10</v>
      </c>
      <c r="AT941" s="14">
        <f>IFERROR(__xludf.DUMMYFUNCTION("""COMPUTED_VALUE"""),2.22)</f>
        <v>2.22</v>
      </c>
      <c r="AU941" s="14">
        <f>IFERROR(__xludf.DUMMYFUNCTION("""COMPUTED_VALUE"""),1442000.0)</f>
        <v>1442000</v>
      </c>
      <c r="AV941" s="14">
        <f>IFERROR(__xludf.DUMMYFUNCTION("""COMPUTED_VALUE"""),3.24)</f>
        <v>3.24</v>
      </c>
      <c r="AW941" s="14">
        <f>IFERROR(__xludf.DUMMYFUNCTION("""COMPUTED_VALUE"""),30.8)</f>
        <v>30.8</v>
      </c>
      <c r="AX941" s="14">
        <f>IFERROR(__xludf.DUMMYFUNCTION("""COMPUTED_VALUE"""),1273000.0)</f>
        <v>1273000</v>
      </c>
      <c r="AY941" s="14">
        <f>IFERROR(__xludf.DUMMYFUNCTION("""COMPUTED_VALUE"""),1.0)</f>
        <v>1</v>
      </c>
      <c r="AZ941" s="14">
        <f>IFERROR(__xludf.DUMMYFUNCTION("""COMPUTED_VALUE"""),0.007)</f>
        <v>0.007</v>
      </c>
      <c r="BA941" s="14">
        <f t="shared" si="1"/>
        <v>31.807</v>
      </c>
    </row>
    <row r="942" ht="14.25" customHeight="1">
      <c r="A942" s="10" t="str">
        <f>IFERROR(__xludf.DUMMYFUNCTION("""COMPUTED_VALUE"""),"280923AN02")</f>
        <v>280923AN02</v>
      </c>
      <c r="B942" s="12" t="str">
        <f>IFERROR(__xludf.DUMMYFUNCTION("""COMPUTED_VALUE"""),"QLI-San Francisco")</f>
        <v>QLI-San Francisco</v>
      </c>
      <c r="C942" s="12"/>
      <c r="D942" s="12"/>
      <c r="E942" s="44">
        <f>IFERROR(__xludf.DUMMYFUNCTION("""COMPUTED_VALUE"""),45197.0)</f>
        <v>45197</v>
      </c>
      <c r="F942" s="12" t="str">
        <f>IFERROR(__xludf.DUMMYFUNCTION("""COMPUTED_VALUE"""),"TIPO I")</f>
        <v>TIPO I</v>
      </c>
      <c r="G942" s="12" t="str">
        <f>IFERROR(__xludf.DUMMYFUNCTION("""COMPUTED_VALUE"""),"Canal natural, lecho rocoso con presencia arbórea y arbustiva, durante el monitoreo se percibe olor, se observa color y residuos sólidos al margen del canal.
Altitud: 2594 msnm. ")</f>
        <v>Canal natural, lecho rocoso con presencia arbórea y arbustiva, durante el monitoreo se percibe olor, se observa color y residuos sólidos al margen del canal.
Altitud: 2594 msnm. </v>
      </c>
      <c r="H942" s="45">
        <f>IFERROR(__xludf.DUMMYFUNCTION("""COMPUTED_VALUE"""),0.5)</f>
        <v>0.5</v>
      </c>
      <c r="I942" s="45">
        <f>IFERROR(__xludf.DUMMYFUNCTION("""COMPUTED_VALUE"""),0.5833333333321207)</f>
        <v>0.5833333333</v>
      </c>
      <c r="J942" s="12">
        <f>IFERROR(__xludf.DUMMYFUNCTION("""COMPUTED_VALUE"""),1.4)</f>
        <v>1.4</v>
      </c>
      <c r="K942" s="12">
        <f>IFERROR(__xludf.DUMMYFUNCTION("""COMPUTED_VALUE"""),0.2)</f>
        <v>0.2</v>
      </c>
      <c r="L942" s="14">
        <f>IFERROR(__xludf.DUMMYFUNCTION("""COMPUTED_VALUE"""),52.842)</f>
        <v>52.842</v>
      </c>
      <c r="M942" s="14">
        <f>IFERROR(__xludf.DUMMYFUNCTION("""COMPUTED_VALUE"""),53.621)</f>
        <v>53.621</v>
      </c>
      <c r="N942" s="14">
        <f>IFERROR(__xludf.DUMMYFUNCTION("""COMPUTED_VALUE"""),53.719)</f>
        <v>53.719</v>
      </c>
      <c r="O942" s="14">
        <f>IFERROR(__xludf.DUMMYFUNCTION("""COMPUTED_VALUE"""),53.307)</f>
        <v>53.307</v>
      </c>
      <c r="P942" s="14">
        <f>IFERROR(__xludf.DUMMYFUNCTION("""COMPUTED_VALUE"""),51.061)</f>
        <v>51.061</v>
      </c>
      <c r="Q942" s="14">
        <f>IFERROR(__xludf.DUMMYFUNCTION("""COMPUTED_VALUE"""),52.91)</f>
        <v>52.91</v>
      </c>
      <c r="R942" s="48">
        <f>IFERROR(__xludf.DUMMYFUNCTION("""COMPUTED_VALUE"""),7.91)</f>
        <v>7.91</v>
      </c>
      <c r="S942" s="48">
        <f>IFERROR(__xludf.DUMMYFUNCTION("""COMPUTED_VALUE"""),7.9)</f>
        <v>7.9</v>
      </c>
      <c r="T942" s="48">
        <f>IFERROR(__xludf.DUMMYFUNCTION("""COMPUTED_VALUE"""),7.93)</f>
        <v>7.93</v>
      </c>
      <c r="U942" s="48">
        <f>IFERROR(__xludf.DUMMYFUNCTION("""COMPUTED_VALUE"""),7.89)</f>
        <v>7.89</v>
      </c>
      <c r="V942" s="48">
        <f>IFERROR(__xludf.DUMMYFUNCTION("""COMPUTED_VALUE"""),7.88)</f>
        <v>7.88</v>
      </c>
      <c r="W942" s="14">
        <f>IFERROR(__xludf.DUMMYFUNCTION("""COMPUTED_VALUE"""),7.902000000000001)</f>
        <v>7.902</v>
      </c>
      <c r="X942" s="14">
        <f>IFERROR(__xludf.DUMMYFUNCTION("""COMPUTED_VALUE"""),17.9)</f>
        <v>17.9</v>
      </c>
      <c r="Y942" s="14">
        <f>IFERROR(__xludf.DUMMYFUNCTION("""COMPUTED_VALUE"""),17.4)</f>
        <v>17.4</v>
      </c>
      <c r="Z942" s="14">
        <f>IFERROR(__xludf.DUMMYFUNCTION("""COMPUTED_VALUE"""),17.9)</f>
        <v>17.9</v>
      </c>
      <c r="AA942" s="14">
        <f>IFERROR(__xludf.DUMMYFUNCTION("""COMPUTED_VALUE"""),17.7)</f>
        <v>17.7</v>
      </c>
      <c r="AB942" s="14">
        <f>IFERROR(__xludf.DUMMYFUNCTION("""COMPUTED_VALUE"""),17.7)</f>
        <v>17.7</v>
      </c>
      <c r="AC942" s="14">
        <f>IFERROR(__xludf.DUMMYFUNCTION("""COMPUTED_VALUE"""),17.72)</f>
        <v>17.72</v>
      </c>
      <c r="AD942" s="48">
        <f>IFERROR(__xludf.DUMMYFUNCTION("""COMPUTED_VALUE"""),426.0)</f>
        <v>426</v>
      </c>
      <c r="AE942" s="48">
        <f>IFERROR(__xludf.DUMMYFUNCTION("""COMPUTED_VALUE"""),403.0)</f>
        <v>403</v>
      </c>
      <c r="AF942" s="48">
        <f>IFERROR(__xludf.DUMMYFUNCTION("""COMPUTED_VALUE"""),410.0)</f>
        <v>410</v>
      </c>
      <c r="AG942" s="48">
        <f>IFERROR(__xludf.DUMMYFUNCTION("""COMPUTED_VALUE"""),396.0)</f>
        <v>396</v>
      </c>
      <c r="AH942" s="48">
        <f>IFERROR(__xludf.DUMMYFUNCTION("""COMPUTED_VALUE"""),379.0)</f>
        <v>379</v>
      </c>
      <c r="AI942" s="14">
        <f>IFERROR(__xludf.DUMMYFUNCTION("""COMPUTED_VALUE"""),402.8)</f>
        <v>402.8</v>
      </c>
      <c r="AJ942" s="14">
        <f>IFERROR(__xludf.DUMMYFUNCTION("""COMPUTED_VALUE"""),5.48)</f>
        <v>5.48</v>
      </c>
      <c r="AK942" s="14">
        <f>IFERROR(__xludf.DUMMYFUNCTION("""COMPUTED_VALUE"""),4.77)</f>
        <v>4.77</v>
      </c>
      <c r="AL942" s="14">
        <f>IFERROR(__xludf.DUMMYFUNCTION("""COMPUTED_VALUE"""),4.7)</f>
        <v>4.7</v>
      </c>
      <c r="AM942" s="14">
        <f>IFERROR(__xludf.DUMMYFUNCTION("""COMPUTED_VALUE"""),4.84)</f>
        <v>4.84</v>
      </c>
      <c r="AN942" s="14">
        <f>IFERROR(__xludf.DUMMYFUNCTION("""COMPUTED_VALUE"""),4.76)</f>
        <v>4.76</v>
      </c>
      <c r="AO942" s="14">
        <f>IFERROR(__xludf.DUMMYFUNCTION("""COMPUTED_VALUE"""),4.909999999999999)</f>
        <v>4.91</v>
      </c>
      <c r="AP942" s="14">
        <f>IFERROR(__xludf.DUMMYFUNCTION("""COMPUTED_VALUE"""),36.0)</f>
        <v>36</v>
      </c>
      <c r="AQ942" s="14">
        <f>IFERROR(__xludf.DUMMYFUNCTION("""COMPUTED_VALUE"""),54.0)</f>
        <v>54</v>
      </c>
      <c r="AR942" s="14">
        <f>IFERROR(__xludf.DUMMYFUNCTION("""COMPUTED_VALUE"""),35.0)</f>
        <v>35</v>
      </c>
      <c r="AS942" s="14">
        <f>IFERROR(__xludf.DUMMYFUNCTION("""COMPUTED_VALUE"""),1.4)</f>
        <v>1.4</v>
      </c>
      <c r="AT942" s="14">
        <f>IFERROR(__xludf.DUMMYFUNCTION("""COMPUTED_VALUE"""),0.55)</f>
        <v>0.55</v>
      </c>
      <c r="AU942" s="14">
        <f>IFERROR(__xludf.DUMMYFUNCTION("""COMPUTED_VALUE"""),113500.0)</f>
        <v>113500</v>
      </c>
      <c r="AV942" s="14">
        <f>IFERROR(__xludf.DUMMYFUNCTION("""COMPUTED_VALUE"""),1.45)</f>
        <v>1.45</v>
      </c>
      <c r="AW942" s="14">
        <f>IFERROR(__xludf.DUMMYFUNCTION("""COMPUTED_VALUE"""),12.6)</f>
        <v>12.6</v>
      </c>
      <c r="AX942" s="14">
        <f>IFERROR(__xludf.DUMMYFUNCTION("""COMPUTED_VALUE"""),106300.0)</f>
        <v>106300</v>
      </c>
      <c r="AY942" s="14">
        <f>IFERROR(__xludf.DUMMYFUNCTION("""COMPUTED_VALUE"""),1.1)</f>
        <v>1.1</v>
      </c>
      <c r="AZ942" s="14">
        <f>IFERROR(__xludf.DUMMYFUNCTION("""COMPUTED_VALUE"""),0.433)</f>
        <v>0.433</v>
      </c>
      <c r="BA942" s="14">
        <f t="shared" si="1"/>
        <v>14.133</v>
      </c>
    </row>
    <row r="943" ht="14.25" customHeight="1">
      <c r="A943" s="10" t="str">
        <f>IFERROR(__xludf.DUMMYFUNCTION("""COMPUTED_VALUE"""),"280923LA02")</f>
        <v>280923LA02</v>
      </c>
      <c r="B943" s="12" t="str">
        <f>IFERROR(__xludf.DUMMYFUNCTION("""COMPUTED_VALUE"""),"QLI-Villa del Diamante")</f>
        <v>QLI-Villa del Diamante</v>
      </c>
      <c r="C943" s="12"/>
      <c r="D943" s="12"/>
      <c r="E943" s="44">
        <f>IFERROR(__xludf.DUMMYFUNCTION("""COMPUTED_VALUE"""),45197.0)</f>
        <v>45197</v>
      </c>
      <c r="F943" s="12" t="str">
        <f>IFERROR(__xludf.DUMMYFUNCTION("""COMPUTED_VALUE"""),"TIPO I")</f>
        <v>TIPO I</v>
      </c>
      <c r="G943" s="12" t="str">
        <f>IFERROR(__xludf.DUMMYFUNCTION("""COMPUTED_VALUE"""),"Canal natural con lecho rocoso, arenoso, durante el monitoreo se percibe olor, se observa color y espumas en el cauce.
Altitud: 2639 msnm. ")</f>
        <v>Canal natural con lecho rocoso, arenoso, durante el monitoreo se percibe olor, se observa color y espumas en el cauce.
Altitud: 2639 msnm. </v>
      </c>
      <c r="H943" s="45">
        <f>IFERROR(__xludf.DUMMYFUNCTION("""COMPUTED_VALUE"""),0.5)</f>
        <v>0.5</v>
      </c>
      <c r="I943" s="45">
        <f>IFERROR(__xludf.DUMMYFUNCTION("""COMPUTED_VALUE"""),0.5833333333321207)</f>
        <v>0.5833333333</v>
      </c>
      <c r="J943" s="12">
        <f>IFERROR(__xludf.DUMMYFUNCTION("""COMPUTED_VALUE"""),1.8)</f>
        <v>1.8</v>
      </c>
      <c r="K943" s="12">
        <f>IFERROR(__xludf.DUMMYFUNCTION("""COMPUTED_VALUE"""),0.09)</f>
        <v>0.09</v>
      </c>
      <c r="L943" s="14">
        <f>IFERROR(__xludf.DUMMYFUNCTION("""COMPUTED_VALUE"""),34.18)</f>
        <v>34.18</v>
      </c>
      <c r="M943" s="14">
        <f>IFERROR(__xludf.DUMMYFUNCTION("""COMPUTED_VALUE"""),35.762)</f>
        <v>35.762</v>
      </c>
      <c r="N943" s="14">
        <f>IFERROR(__xludf.DUMMYFUNCTION("""COMPUTED_VALUE"""),35.834)</f>
        <v>35.834</v>
      </c>
      <c r="O943" s="14">
        <f>IFERROR(__xludf.DUMMYFUNCTION("""COMPUTED_VALUE"""),35.726)</f>
        <v>35.726</v>
      </c>
      <c r="P943" s="14">
        <f>IFERROR(__xludf.DUMMYFUNCTION("""COMPUTED_VALUE"""),35.784)</f>
        <v>35.784</v>
      </c>
      <c r="Q943" s="14">
        <f>IFERROR(__xludf.DUMMYFUNCTION("""COMPUTED_VALUE"""),35.457)</f>
        <v>35.457</v>
      </c>
      <c r="R943" s="48">
        <f>IFERROR(__xludf.DUMMYFUNCTION("""COMPUTED_VALUE"""),7.78)</f>
        <v>7.78</v>
      </c>
      <c r="S943" s="48">
        <f>IFERROR(__xludf.DUMMYFUNCTION("""COMPUTED_VALUE"""),7.8)</f>
        <v>7.8</v>
      </c>
      <c r="T943" s="48">
        <f>IFERROR(__xludf.DUMMYFUNCTION("""COMPUTED_VALUE"""),7.84)</f>
        <v>7.84</v>
      </c>
      <c r="U943" s="48">
        <f>IFERROR(__xludf.DUMMYFUNCTION("""COMPUTED_VALUE"""),7.84)</f>
        <v>7.84</v>
      </c>
      <c r="V943" s="48">
        <f>IFERROR(__xludf.DUMMYFUNCTION("""COMPUTED_VALUE"""),7.81)</f>
        <v>7.81</v>
      </c>
      <c r="W943" s="14">
        <f>IFERROR(__xludf.DUMMYFUNCTION("""COMPUTED_VALUE"""),7.814)</f>
        <v>7.814</v>
      </c>
      <c r="X943" s="14">
        <f>IFERROR(__xludf.DUMMYFUNCTION("""COMPUTED_VALUE"""),14.0)</f>
        <v>14</v>
      </c>
      <c r="Y943" s="14">
        <f>IFERROR(__xludf.DUMMYFUNCTION("""COMPUTED_VALUE"""),18.4)</f>
        <v>18.4</v>
      </c>
      <c r="Z943" s="14">
        <f>IFERROR(__xludf.DUMMYFUNCTION("""COMPUTED_VALUE"""),18.4)</f>
        <v>18.4</v>
      </c>
      <c r="AA943" s="14">
        <f>IFERROR(__xludf.DUMMYFUNCTION("""COMPUTED_VALUE"""),17.8)</f>
        <v>17.8</v>
      </c>
      <c r="AB943" s="14">
        <f>IFERROR(__xludf.DUMMYFUNCTION("""COMPUTED_VALUE"""),17.6)</f>
        <v>17.6</v>
      </c>
      <c r="AC943" s="14">
        <f>IFERROR(__xludf.DUMMYFUNCTION("""COMPUTED_VALUE"""),17.24)</f>
        <v>17.24</v>
      </c>
      <c r="AD943" s="48">
        <f>IFERROR(__xludf.DUMMYFUNCTION("""COMPUTED_VALUE"""),377.0)</f>
        <v>377</v>
      </c>
      <c r="AE943" s="48">
        <f>IFERROR(__xludf.DUMMYFUNCTION("""COMPUTED_VALUE"""),375.0)</f>
        <v>375</v>
      </c>
      <c r="AF943" s="48">
        <f>IFERROR(__xludf.DUMMYFUNCTION("""COMPUTED_VALUE"""),410.0)</f>
        <v>410</v>
      </c>
      <c r="AG943" s="48">
        <f>IFERROR(__xludf.DUMMYFUNCTION("""COMPUTED_VALUE"""),404.0)</f>
        <v>404</v>
      </c>
      <c r="AH943" s="48">
        <f>IFERROR(__xludf.DUMMYFUNCTION("""COMPUTED_VALUE"""),398.0)</f>
        <v>398</v>
      </c>
      <c r="AI943" s="14">
        <f>IFERROR(__xludf.DUMMYFUNCTION("""COMPUTED_VALUE"""),392.8)</f>
        <v>392.8</v>
      </c>
      <c r="AJ943" s="14">
        <f>IFERROR(__xludf.DUMMYFUNCTION("""COMPUTED_VALUE"""),5.9)</f>
        <v>5.9</v>
      </c>
      <c r="AK943" s="14">
        <f>IFERROR(__xludf.DUMMYFUNCTION("""COMPUTED_VALUE"""),5.87)</f>
        <v>5.87</v>
      </c>
      <c r="AL943" s="14">
        <f>IFERROR(__xludf.DUMMYFUNCTION("""COMPUTED_VALUE"""),5.63)</f>
        <v>5.63</v>
      </c>
      <c r="AM943" s="14">
        <f>IFERROR(__xludf.DUMMYFUNCTION("""COMPUTED_VALUE"""),5.55)</f>
        <v>5.55</v>
      </c>
      <c r="AN943" s="14">
        <f>IFERROR(__xludf.DUMMYFUNCTION("""COMPUTED_VALUE"""),5.86)</f>
        <v>5.86</v>
      </c>
      <c r="AO943" s="14">
        <f>IFERROR(__xludf.DUMMYFUNCTION("""COMPUTED_VALUE"""),5.762)</f>
        <v>5.762</v>
      </c>
      <c r="AP943" s="14">
        <f>IFERROR(__xludf.DUMMYFUNCTION("""COMPUTED_VALUE"""),71.0)</f>
        <v>71</v>
      </c>
      <c r="AQ943" s="14">
        <f>IFERROR(__xludf.DUMMYFUNCTION("""COMPUTED_VALUE"""),102.0)</f>
        <v>102</v>
      </c>
      <c r="AR943" s="14">
        <f>IFERROR(__xludf.DUMMYFUNCTION("""COMPUTED_VALUE"""),36.0)</f>
        <v>36</v>
      </c>
      <c r="AS943" s="14">
        <f>IFERROR(__xludf.DUMMYFUNCTION("""COMPUTED_VALUE"""),1.0)</f>
        <v>1</v>
      </c>
      <c r="AT943" s="14">
        <f>IFERROR(__xludf.DUMMYFUNCTION("""COMPUTED_VALUE"""),0.42)</f>
        <v>0.42</v>
      </c>
      <c r="AU943" s="14">
        <f>IFERROR(__xludf.DUMMYFUNCTION("""COMPUTED_VALUE"""),155100.0)</f>
        <v>155100</v>
      </c>
      <c r="AV943" s="14">
        <f>IFERROR(__xludf.DUMMYFUNCTION("""COMPUTED_VALUE"""),1.47)</f>
        <v>1.47</v>
      </c>
      <c r="AW943" s="14">
        <f>IFERROR(__xludf.DUMMYFUNCTION("""COMPUTED_VALUE"""),12.9)</f>
        <v>12.9</v>
      </c>
      <c r="AX943" s="14">
        <f>IFERROR(__xludf.DUMMYFUNCTION("""COMPUTED_VALUE"""),143000.0)</f>
        <v>143000</v>
      </c>
      <c r="AY943" s="14">
        <f>IFERROR(__xludf.DUMMYFUNCTION("""COMPUTED_VALUE"""),3.1)</f>
        <v>3.1</v>
      </c>
      <c r="AZ943" s="14">
        <f>IFERROR(__xludf.DUMMYFUNCTION("""COMPUTED_VALUE"""),0.342)</f>
        <v>0.342</v>
      </c>
      <c r="BA943" s="14">
        <f t="shared" si="1"/>
        <v>16.342</v>
      </c>
    </row>
    <row r="944" ht="14.25" customHeight="1">
      <c r="A944" s="10" t="str">
        <f>IFERROR(__xludf.DUMMYFUNCTION("""COMPUTED_VALUE"""),"041023FE01")</f>
        <v>041023FE01</v>
      </c>
      <c r="B944" s="12" t="str">
        <f>IFERROR(__xludf.DUMMYFUNCTION("""COMPUTED_VALUE"""),"CMO-Santa Ana")</f>
        <v>CMO-Santa Ana</v>
      </c>
      <c r="C944" s="12"/>
      <c r="D944" s="12"/>
      <c r="E944" s="44">
        <f>IFERROR(__xludf.DUMMYFUNCTION("""COMPUTED_VALUE"""),45203.0)</f>
        <v>45203</v>
      </c>
      <c r="F944" s="12" t="str">
        <f>IFERROR(__xludf.DUMMYFUNCTION("""COMPUTED_VALUE"""),"TIPO I")</f>
        <v>TIPO I</v>
      </c>
      <c r="G944" s="12" t="str">
        <f>IFERROR(__xludf.DUMMYFUNCTION("""COMPUTED_VALUE"""),"Monitoreo realizado en canal artificial con estructura en concreto, se observa lama en el fondo del mismo, presencia de vegetación arbórea y arbustiva en el borde del canal. 
Durante las toma de muestra se observa color y material flotante, se percibe olo"&amp;"r.")</f>
        <v>Monitoreo realizado en canal artificial con estructura en concreto, se observa lama en el fondo del mismo, presencia de vegetación arbórea y arbustiva en el borde del canal. 
Durante las toma de muestra se observa color y material flotante, se percibe olor.</v>
      </c>
      <c r="H944" s="45">
        <f>IFERROR(__xludf.DUMMYFUNCTION("""COMPUTED_VALUE"""),0.3333333333321207)</f>
        <v>0.3333333333</v>
      </c>
      <c r="I944" s="45">
        <f>IFERROR(__xludf.DUMMYFUNCTION("""COMPUTED_VALUE"""),0.4166666666678793)</f>
        <v>0.4166666667</v>
      </c>
      <c r="J944" s="12">
        <f>IFERROR(__xludf.DUMMYFUNCTION("""COMPUTED_VALUE"""),3.05)</f>
        <v>3.05</v>
      </c>
      <c r="K944" s="12">
        <f>IFERROR(__xludf.DUMMYFUNCTION("""COMPUTED_VALUE"""),0.12)</f>
        <v>0.12</v>
      </c>
      <c r="L944" s="14">
        <f>IFERROR(__xludf.DUMMYFUNCTION("""COMPUTED_VALUE"""),159.053)</f>
        <v>159.053</v>
      </c>
      <c r="M944" s="14">
        <f>IFERROR(__xludf.DUMMYFUNCTION("""COMPUTED_VALUE"""),164.401)</f>
        <v>164.401</v>
      </c>
      <c r="N944" s="14">
        <f>IFERROR(__xludf.DUMMYFUNCTION("""COMPUTED_VALUE"""),169.126)</f>
        <v>169.126</v>
      </c>
      <c r="O944" s="14">
        <f>IFERROR(__xludf.DUMMYFUNCTION("""COMPUTED_VALUE"""),174.445)</f>
        <v>174.445</v>
      </c>
      <c r="P944" s="14">
        <f>IFERROR(__xludf.DUMMYFUNCTION("""COMPUTED_VALUE"""),177.932)</f>
        <v>177.932</v>
      </c>
      <c r="Q944" s="14">
        <f>IFERROR(__xludf.DUMMYFUNCTION("""COMPUTED_VALUE"""),168.992)</f>
        <v>168.992</v>
      </c>
      <c r="R944" s="48">
        <f>IFERROR(__xludf.DUMMYFUNCTION("""COMPUTED_VALUE"""),7.15)</f>
        <v>7.15</v>
      </c>
      <c r="S944" s="48">
        <f>IFERROR(__xludf.DUMMYFUNCTION("""COMPUTED_VALUE"""),7.03)</f>
        <v>7.03</v>
      </c>
      <c r="T944" s="48">
        <f>IFERROR(__xludf.DUMMYFUNCTION("""COMPUTED_VALUE"""),7.06)</f>
        <v>7.06</v>
      </c>
      <c r="U944" s="48">
        <f>IFERROR(__xludf.DUMMYFUNCTION("""COMPUTED_VALUE"""),6.96)</f>
        <v>6.96</v>
      </c>
      <c r="V944" s="48">
        <f>IFERROR(__xludf.DUMMYFUNCTION("""COMPUTED_VALUE"""),6.85)</f>
        <v>6.85</v>
      </c>
      <c r="W944" s="14">
        <f>IFERROR(__xludf.DUMMYFUNCTION("""COMPUTED_VALUE"""),7.01)</f>
        <v>7.01</v>
      </c>
      <c r="X944" s="14">
        <f>IFERROR(__xludf.DUMMYFUNCTION("""COMPUTED_VALUE"""),18.6)</f>
        <v>18.6</v>
      </c>
      <c r="Y944" s="14">
        <f>IFERROR(__xludf.DUMMYFUNCTION("""COMPUTED_VALUE"""),18.8)</f>
        <v>18.8</v>
      </c>
      <c r="Z944" s="14">
        <f>IFERROR(__xludf.DUMMYFUNCTION("""COMPUTED_VALUE"""),18.6)</f>
        <v>18.6</v>
      </c>
      <c r="AA944" s="14">
        <f>IFERROR(__xludf.DUMMYFUNCTION("""COMPUTED_VALUE"""),18.8)</f>
        <v>18.8</v>
      </c>
      <c r="AB944" s="14">
        <f>IFERROR(__xludf.DUMMYFUNCTION("""COMPUTED_VALUE"""),19.1)</f>
        <v>19.1</v>
      </c>
      <c r="AC944" s="14">
        <f>IFERROR(__xludf.DUMMYFUNCTION("""COMPUTED_VALUE"""),18.78)</f>
        <v>18.78</v>
      </c>
      <c r="AD944" s="48">
        <f>IFERROR(__xludf.DUMMYFUNCTION("""COMPUTED_VALUE"""),398.0)</f>
        <v>398</v>
      </c>
      <c r="AE944" s="48">
        <f>IFERROR(__xludf.DUMMYFUNCTION("""COMPUTED_VALUE"""),402.0)</f>
        <v>402</v>
      </c>
      <c r="AF944" s="48">
        <f>IFERROR(__xludf.DUMMYFUNCTION("""COMPUTED_VALUE"""),386.0)</f>
        <v>386</v>
      </c>
      <c r="AG944" s="48">
        <f>IFERROR(__xludf.DUMMYFUNCTION("""COMPUTED_VALUE"""),373.0)</f>
        <v>373</v>
      </c>
      <c r="AH944" s="48">
        <f>IFERROR(__xludf.DUMMYFUNCTION("""COMPUTED_VALUE"""),369.0)</f>
        <v>369</v>
      </c>
      <c r="AI944" s="14">
        <f>IFERROR(__xludf.DUMMYFUNCTION("""COMPUTED_VALUE"""),385.6)</f>
        <v>385.6</v>
      </c>
      <c r="AJ944" s="14">
        <f>IFERROR(__xludf.DUMMYFUNCTION("""COMPUTED_VALUE"""),1.94)</f>
        <v>1.94</v>
      </c>
      <c r="AK944" s="14">
        <f>IFERROR(__xludf.DUMMYFUNCTION("""COMPUTED_VALUE"""),2.08)</f>
        <v>2.08</v>
      </c>
      <c r="AL944" s="14">
        <f>IFERROR(__xludf.DUMMYFUNCTION("""COMPUTED_VALUE"""),1.98)</f>
        <v>1.98</v>
      </c>
      <c r="AM944" s="14">
        <f>IFERROR(__xludf.DUMMYFUNCTION("""COMPUTED_VALUE"""),1.95)</f>
        <v>1.95</v>
      </c>
      <c r="AN944" s="14">
        <f>IFERROR(__xludf.DUMMYFUNCTION("""COMPUTED_VALUE"""),2.01)</f>
        <v>2.01</v>
      </c>
      <c r="AO944" s="14">
        <f>IFERROR(__xludf.DUMMYFUNCTION("""COMPUTED_VALUE"""),1.9920000000000002)</f>
        <v>1.992</v>
      </c>
      <c r="AP944" s="14">
        <f>IFERROR(__xludf.DUMMYFUNCTION("""COMPUTED_VALUE"""),54.0)</f>
        <v>54</v>
      </c>
      <c r="AQ944" s="14">
        <f>IFERROR(__xludf.DUMMYFUNCTION("""COMPUTED_VALUE"""),78.0)</f>
        <v>78</v>
      </c>
      <c r="AR944" s="14">
        <f>IFERROR(__xludf.DUMMYFUNCTION("""COMPUTED_VALUE"""),29.0)</f>
        <v>29</v>
      </c>
      <c r="AS944" s="14">
        <f>IFERROR(__xludf.DUMMYFUNCTION("""COMPUTED_VALUE"""),4.8)</f>
        <v>4.8</v>
      </c>
      <c r="AT944" s="14">
        <f>IFERROR(__xludf.DUMMYFUNCTION("""COMPUTED_VALUE"""),1.34)</f>
        <v>1.34</v>
      </c>
      <c r="AU944" s="14">
        <f>IFERROR(__xludf.DUMMYFUNCTION("""COMPUTED_VALUE"""),1.658E7)</f>
        <v>16580000</v>
      </c>
      <c r="AV944" s="14">
        <f>IFERROR(__xludf.DUMMYFUNCTION("""COMPUTED_VALUE"""),2.38)</f>
        <v>2.38</v>
      </c>
      <c r="AW944" s="14">
        <f>IFERROR(__xludf.DUMMYFUNCTION("""COMPUTED_VALUE"""),19.0)</f>
        <v>19</v>
      </c>
      <c r="AX944" s="14">
        <f>IFERROR(__xludf.DUMMYFUNCTION("""COMPUTED_VALUE"""),1.354E7)</f>
        <v>13540000</v>
      </c>
      <c r="AY944" s="14">
        <f>IFERROR(__xludf.DUMMYFUNCTION("""COMPUTED_VALUE"""),0.9)</f>
        <v>0.9</v>
      </c>
      <c r="AZ944" s="14">
        <f>IFERROR(__xludf.DUMMYFUNCTION("""COMPUTED_VALUE"""),0.007)</f>
        <v>0.007</v>
      </c>
      <c r="BA944" s="14">
        <f t="shared" si="1"/>
        <v>19.907</v>
      </c>
    </row>
    <row r="945" ht="14.25" customHeight="1">
      <c r="A945" s="10" t="str">
        <f>IFERROR(__xludf.DUMMYFUNCTION("""COMPUTED_VALUE"""),"041023DU02")</f>
        <v>041023DU02</v>
      </c>
      <c r="B945" s="12" t="str">
        <f>IFERROR(__xludf.DUMMYFUNCTION("""COMPUTED_VALUE"""),"QSL-Portal Usme")</f>
        <v>QSL-Portal Usme</v>
      </c>
      <c r="C945" s="12"/>
      <c r="D945" s="12"/>
      <c r="E945" s="44">
        <f>IFERROR(__xludf.DUMMYFUNCTION("""COMPUTED_VALUE"""),45203.0)</f>
        <v>45203</v>
      </c>
      <c r="F945" s="12" t="str">
        <f>IFERROR(__xludf.DUMMYFUNCTION("""COMPUTED_VALUE"""),"TIPO I")</f>
        <v>TIPO I</v>
      </c>
      <c r="G945" s="12" t="str">
        <f>IFERROR(__xludf.DUMMYFUNCTION("""COMPUTED_VALUE"""),"Monitoreo realizado en canal artificial con lecho en concreto, se observa cobertura vegetal arbustiva con presencia de pastizales en las laderas del cauce.
Durante la toma de muestra se percibe olor y se observa color. ")</f>
        <v>Monitoreo realizado en canal artificial con lecho en concreto, se observa cobertura vegetal arbustiva con presencia de pastizales en las laderas del cauce.
Durante la toma de muestra se percibe olor y se observa color. </v>
      </c>
      <c r="H945" s="45">
        <f>IFERROR(__xludf.DUMMYFUNCTION("""COMPUTED_VALUE"""),0.4166666666678793)</f>
        <v>0.4166666667</v>
      </c>
      <c r="I945" s="45">
        <f>IFERROR(__xludf.DUMMYFUNCTION("""COMPUTED_VALUE"""),0.5)</f>
        <v>0.5</v>
      </c>
      <c r="J945" s="12">
        <f>IFERROR(__xludf.DUMMYFUNCTION("""COMPUTED_VALUE"""),1.6)</f>
        <v>1.6</v>
      </c>
      <c r="K945" s="12">
        <f>IFERROR(__xludf.DUMMYFUNCTION("""COMPUTED_VALUE"""),0.13)</f>
        <v>0.13</v>
      </c>
      <c r="L945" s="14">
        <f>IFERROR(__xludf.DUMMYFUNCTION("""COMPUTED_VALUE"""),81.22)</f>
        <v>81.22</v>
      </c>
      <c r="M945" s="14">
        <f>IFERROR(__xludf.DUMMYFUNCTION("""COMPUTED_VALUE"""),81.516)</f>
        <v>81.516</v>
      </c>
      <c r="N945" s="14">
        <f>IFERROR(__xludf.DUMMYFUNCTION("""COMPUTED_VALUE"""),83.864)</f>
        <v>83.864</v>
      </c>
      <c r="O945" s="14">
        <f>IFERROR(__xludf.DUMMYFUNCTION("""COMPUTED_VALUE"""),84.028)</f>
        <v>84.028</v>
      </c>
      <c r="P945" s="14">
        <f>IFERROR(__xludf.DUMMYFUNCTION("""COMPUTED_VALUE"""),84.686)</f>
        <v>84.686</v>
      </c>
      <c r="Q945" s="14">
        <f>IFERROR(__xludf.DUMMYFUNCTION("""COMPUTED_VALUE"""),83.063)</f>
        <v>83.063</v>
      </c>
      <c r="R945" s="48">
        <f>IFERROR(__xludf.DUMMYFUNCTION("""COMPUTED_VALUE"""),7.79)</f>
        <v>7.79</v>
      </c>
      <c r="S945" s="48">
        <f>IFERROR(__xludf.DUMMYFUNCTION("""COMPUTED_VALUE"""),7.66)</f>
        <v>7.66</v>
      </c>
      <c r="T945" s="48">
        <f>IFERROR(__xludf.DUMMYFUNCTION("""COMPUTED_VALUE"""),7.74)</f>
        <v>7.74</v>
      </c>
      <c r="U945" s="48">
        <f>IFERROR(__xludf.DUMMYFUNCTION("""COMPUTED_VALUE"""),7.82)</f>
        <v>7.82</v>
      </c>
      <c r="V945" s="48">
        <f>IFERROR(__xludf.DUMMYFUNCTION("""COMPUTED_VALUE"""),7.76)</f>
        <v>7.76</v>
      </c>
      <c r="W945" s="14">
        <f>IFERROR(__xludf.DUMMYFUNCTION("""COMPUTED_VALUE"""),7.754)</f>
        <v>7.754</v>
      </c>
      <c r="X945" s="14">
        <f>IFERROR(__xludf.DUMMYFUNCTION("""COMPUTED_VALUE"""),16.2)</f>
        <v>16.2</v>
      </c>
      <c r="Y945" s="14">
        <f>IFERROR(__xludf.DUMMYFUNCTION("""COMPUTED_VALUE"""),16.2)</f>
        <v>16.2</v>
      </c>
      <c r="Z945" s="14">
        <f>IFERROR(__xludf.DUMMYFUNCTION("""COMPUTED_VALUE"""),16.8)</f>
        <v>16.8</v>
      </c>
      <c r="AA945" s="14">
        <f>IFERROR(__xludf.DUMMYFUNCTION("""COMPUTED_VALUE"""),16.3)</f>
        <v>16.3</v>
      </c>
      <c r="AB945" s="14">
        <f>IFERROR(__xludf.DUMMYFUNCTION("""COMPUTED_VALUE"""),16.2)</f>
        <v>16.2</v>
      </c>
      <c r="AC945" s="14">
        <f>IFERROR(__xludf.DUMMYFUNCTION("""COMPUTED_VALUE"""),16.34)</f>
        <v>16.34</v>
      </c>
      <c r="AD945" s="48">
        <f>IFERROR(__xludf.DUMMYFUNCTION("""COMPUTED_VALUE"""),313.0)</f>
        <v>313</v>
      </c>
      <c r="AE945" s="48">
        <f>IFERROR(__xludf.DUMMYFUNCTION("""COMPUTED_VALUE"""),294.0)</f>
        <v>294</v>
      </c>
      <c r="AF945" s="48">
        <f>IFERROR(__xludf.DUMMYFUNCTION("""COMPUTED_VALUE"""),315.0)</f>
        <v>315</v>
      </c>
      <c r="AG945" s="48">
        <f>IFERROR(__xludf.DUMMYFUNCTION("""COMPUTED_VALUE"""),324.0)</f>
        <v>324</v>
      </c>
      <c r="AH945" s="48">
        <f>IFERROR(__xludf.DUMMYFUNCTION("""COMPUTED_VALUE"""),319.0)</f>
        <v>319</v>
      </c>
      <c r="AI945" s="14">
        <f>IFERROR(__xludf.DUMMYFUNCTION("""COMPUTED_VALUE"""),313.0)</f>
        <v>313</v>
      </c>
      <c r="AJ945" s="14">
        <f>IFERROR(__xludf.DUMMYFUNCTION("""COMPUTED_VALUE"""),2.42)</f>
        <v>2.42</v>
      </c>
      <c r="AK945" s="14">
        <f>IFERROR(__xludf.DUMMYFUNCTION("""COMPUTED_VALUE"""),2.17)</f>
        <v>2.17</v>
      </c>
      <c r="AL945" s="14">
        <f>IFERROR(__xludf.DUMMYFUNCTION("""COMPUTED_VALUE"""),2.92)</f>
        <v>2.92</v>
      </c>
      <c r="AM945" s="14">
        <f>IFERROR(__xludf.DUMMYFUNCTION("""COMPUTED_VALUE"""),2.33)</f>
        <v>2.33</v>
      </c>
      <c r="AN945" s="14">
        <f>IFERROR(__xludf.DUMMYFUNCTION("""COMPUTED_VALUE"""),2.57)</f>
        <v>2.57</v>
      </c>
      <c r="AO945" s="14">
        <f>IFERROR(__xludf.DUMMYFUNCTION("""COMPUTED_VALUE"""),2.482)</f>
        <v>2.482</v>
      </c>
      <c r="AP945" s="14">
        <f>IFERROR(__xludf.DUMMYFUNCTION("""COMPUTED_VALUE"""),32.0)</f>
        <v>32</v>
      </c>
      <c r="AQ945" s="14">
        <f>IFERROR(__xludf.DUMMYFUNCTION("""COMPUTED_VALUE"""),47.0)</f>
        <v>47</v>
      </c>
      <c r="AR945" s="14">
        <f>IFERROR(__xludf.DUMMYFUNCTION("""COMPUTED_VALUE"""),35.0)</f>
        <v>35</v>
      </c>
      <c r="AS945" s="14">
        <f>IFERROR(__xludf.DUMMYFUNCTION("""COMPUTED_VALUE"""),1.0)</f>
        <v>1</v>
      </c>
      <c r="AT945" s="14">
        <f>IFERROR(__xludf.DUMMYFUNCTION("""COMPUTED_VALUE"""),0.91)</f>
        <v>0.91</v>
      </c>
      <c r="AU945" s="14">
        <f>IFERROR(__xludf.DUMMYFUNCTION("""COMPUTED_VALUE"""),1.658E7)</f>
        <v>16580000</v>
      </c>
      <c r="AV945" s="14">
        <f>IFERROR(__xludf.DUMMYFUNCTION("""COMPUTED_VALUE"""),1.52)</f>
        <v>1.52</v>
      </c>
      <c r="AW945" s="14">
        <f>IFERROR(__xludf.DUMMYFUNCTION("""COMPUTED_VALUE"""),15.4)</f>
        <v>15.4</v>
      </c>
      <c r="AX945" s="14">
        <f>IFERROR(__xludf.DUMMYFUNCTION("""COMPUTED_VALUE"""),1.414E7)</f>
        <v>14140000</v>
      </c>
      <c r="AY945" s="14">
        <f>IFERROR(__xludf.DUMMYFUNCTION("""COMPUTED_VALUE"""),1.0)</f>
        <v>1</v>
      </c>
      <c r="AZ945" s="14">
        <f>IFERROR(__xludf.DUMMYFUNCTION("""COMPUTED_VALUE"""),0.007)</f>
        <v>0.007</v>
      </c>
      <c r="BA945" s="14">
        <f t="shared" si="1"/>
        <v>16.407</v>
      </c>
    </row>
    <row r="946" ht="14.25" customHeight="1">
      <c r="A946" s="10" t="str">
        <f>IFERROR(__xludf.DUMMYFUNCTION("""COMPUTED_VALUE"""),"021023WI01")</f>
        <v>021023WI01</v>
      </c>
      <c r="B946" s="12" t="str">
        <f>IFERROR(__xludf.DUMMYFUNCTION("""COMPUTED_VALUE"""),"CRN-Entre Ríos")</f>
        <v>CRN-Entre Ríos</v>
      </c>
      <c r="C946" s="12"/>
      <c r="D946" s="12"/>
      <c r="E946" s="44">
        <f>IFERROR(__xludf.DUMMYFUNCTION("""COMPUTED_VALUE"""),45201.0)</f>
        <v>45201</v>
      </c>
      <c r="F946" s="12" t="str">
        <f>IFERROR(__xludf.DUMMYFUNCTION("""COMPUTED_VALUE"""),"TIPO I")</f>
        <v>TIPO I</v>
      </c>
      <c r="G946" s="12" t="str">
        <f>IFERROR(__xludf.DUMMYFUNCTION("""COMPUTED_VALUE"""),"Canal artificial en concreto, lama en el fondo, se percibe olor, se observa color y material flotante, altura 2561 msnm")</f>
        <v>Canal artificial en concreto, lama en el fondo, se percibe olor, se observa color y material flotante, altura 2561 msnm</v>
      </c>
      <c r="H946" s="45">
        <f>IFERROR(__xludf.DUMMYFUNCTION("""COMPUTED_VALUE"""),0.3333333333321207)</f>
        <v>0.3333333333</v>
      </c>
      <c r="I946" s="45">
        <f>IFERROR(__xludf.DUMMYFUNCTION("""COMPUTED_VALUE"""),0.4166666666678793)</f>
        <v>0.4166666667</v>
      </c>
      <c r="J946" s="12">
        <f>IFERROR(__xludf.DUMMYFUNCTION("""COMPUTED_VALUE"""),7.0)</f>
        <v>7</v>
      </c>
      <c r="K946" s="12">
        <f>IFERROR(__xludf.DUMMYFUNCTION("""COMPUTED_VALUE"""),0.19)</f>
        <v>0.19</v>
      </c>
      <c r="L946" s="14">
        <f>IFERROR(__xludf.DUMMYFUNCTION("""COMPUTED_VALUE"""),310.238)</f>
        <v>310.238</v>
      </c>
      <c r="M946" s="14">
        <f>IFERROR(__xludf.DUMMYFUNCTION("""COMPUTED_VALUE"""),314.951)</f>
        <v>314.951</v>
      </c>
      <c r="N946" s="14">
        <f>IFERROR(__xludf.DUMMYFUNCTION("""COMPUTED_VALUE"""),318.45)</f>
        <v>318.45</v>
      </c>
      <c r="O946" s="14">
        <f>IFERROR(__xludf.DUMMYFUNCTION("""COMPUTED_VALUE"""),324.144)</f>
        <v>324.144</v>
      </c>
      <c r="P946" s="14">
        <f>IFERROR(__xludf.DUMMYFUNCTION("""COMPUTED_VALUE"""),334.047)</f>
        <v>334.047</v>
      </c>
      <c r="Q946" s="14">
        <f>IFERROR(__xludf.DUMMYFUNCTION("""COMPUTED_VALUE"""),320.366)</f>
        <v>320.366</v>
      </c>
      <c r="R946" s="48">
        <f>IFERROR(__xludf.DUMMYFUNCTION("""COMPUTED_VALUE"""),8.08)</f>
        <v>8.08</v>
      </c>
      <c r="S946" s="48">
        <f>IFERROR(__xludf.DUMMYFUNCTION("""COMPUTED_VALUE"""),7.98)</f>
        <v>7.98</v>
      </c>
      <c r="T946" s="48">
        <f>IFERROR(__xludf.DUMMYFUNCTION("""COMPUTED_VALUE"""),8.02)</f>
        <v>8.02</v>
      </c>
      <c r="U946" s="48">
        <f>IFERROR(__xludf.DUMMYFUNCTION("""COMPUTED_VALUE"""),7.8)</f>
        <v>7.8</v>
      </c>
      <c r="V946" s="48">
        <f>IFERROR(__xludf.DUMMYFUNCTION("""COMPUTED_VALUE"""),7.94)</f>
        <v>7.94</v>
      </c>
      <c r="W946" s="14">
        <f>IFERROR(__xludf.DUMMYFUNCTION("""COMPUTED_VALUE"""),7.964)</f>
        <v>7.964</v>
      </c>
      <c r="X946" s="14">
        <f>IFERROR(__xludf.DUMMYFUNCTION("""COMPUTED_VALUE"""),19.0)</f>
        <v>19</v>
      </c>
      <c r="Y946" s="14">
        <f>IFERROR(__xludf.DUMMYFUNCTION("""COMPUTED_VALUE"""),19.3)</f>
        <v>19.3</v>
      </c>
      <c r="Z946" s="14">
        <f>IFERROR(__xludf.DUMMYFUNCTION("""COMPUTED_VALUE"""),20.0)</f>
        <v>20</v>
      </c>
      <c r="AA946" s="14">
        <f>IFERROR(__xludf.DUMMYFUNCTION("""COMPUTED_VALUE"""),20.2)</f>
        <v>20.2</v>
      </c>
      <c r="AB946" s="14">
        <f>IFERROR(__xludf.DUMMYFUNCTION("""COMPUTED_VALUE"""),20.2)</f>
        <v>20.2</v>
      </c>
      <c r="AC946" s="14">
        <f>IFERROR(__xludf.DUMMYFUNCTION("""COMPUTED_VALUE"""),19.740000000000002)</f>
        <v>19.74</v>
      </c>
      <c r="AD946" s="48">
        <f>IFERROR(__xludf.DUMMYFUNCTION("""COMPUTED_VALUE"""),605.0)</f>
        <v>605</v>
      </c>
      <c r="AE946" s="48">
        <f>IFERROR(__xludf.DUMMYFUNCTION("""COMPUTED_VALUE"""),597.0)</f>
        <v>597</v>
      </c>
      <c r="AF946" s="48">
        <f>IFERROR(__xludf.DUMMYFUNCTION("""COMPUTED_VALUE"""),592.0)</f>
        <v>592</v>
      </c>
      <c r="AG946" s="48">
        <f>IFERROR(__xludf.DUMMYFUNCTION("""COMPUTED_VALUE"""),549.0)</f>
        <v>549</v>
      </c>
      <c r="AH946" s="48">
        <f>IFERROR(__xludf.DUMMYFUNCTION("""COMPUTED_VALUE"""),587.0)</f>
        <v>587</v>
      </c>
      <c r="AI946" s="14">
        <f>IFERROR(__xludf.DUMMYFUNCTION("""COMPUTED_VALUE"""),586.0)</f>
        <v>586</v>
      </c>
      <c r="AJ946" s="14">
        <f>IFERROR(__xludf.DUMMYFUNCTION("""COMPUTED_VALUE"""),1.62)</f>
        <v>1.62</v>
      </c>
      <c r="AK946" s="14">
        <f>IFERROR(__xludf.DUMMYFUNCTION("""COMPUTED_VALUE"""),1.56)</f>
        <v>1.56</v>
      </c>
      <c r="AL946" s="14">
        <f>IFERROR(__xludf.DUMMYFUNCTION("""COMPUTED_VALUE"""),1.45)</f>
        <v>1.45</v>
      </c>
      <c r="AM946" s="14">
        <f>IFERROR(__xludf.DUMMYFUNCTION("""COMPUTED_VALUE"""),1.37)</f>
        <v>1.37</v>
      </c>
      <c r="AN946" s="14">
        <f>IFERROR(__xludf.DUMMYFUNCTION("""COMPUTED_VALUE"""),1.57)</f>
        <v>1.57</v>
      </c>
      <c r="AO946" s="14">
        <f>IFERROR(__xludf.DUMMYFUNCTION("""COMPUTED_VALUE"""),1.514)</f>
        <v>1.514</v>
      </c>
      <c r="AP946" s="14">
        <f>IFERROR(__xludf.DUMMYFUNCTION("""COMPUTED_VALUE"""),241.0)</f>
        <v>241</v>
      </c>
      <c r="AQ946" s="14">
        <f>IFERROR(__xludf.DUMMYFUNCTION("""COMPUTED_VALUE"""),361.0)</f>
        <v>361</v>
      </c>
      <c r="AR946" s="14">
        <f>IFERROR(__xludf.DUMMYFUNCTION("""COMPUTED_VALUE"""),160.0)</f>
        <v>160</v>
      </c>
      <c r="AS946" s="14">
        <f>IFERROR(__xludf.DUMMYFUNCTION("""COMPUTED_VALUE"""),78.0)</f>
        <v>78</v>
      </c>
      <c r="AT946" s="14">
        <f>IFERROR(__xludf.DUMMYFUNCTION("""COMPUTED_VALUE"""),2.23)</f>
        <v>2.23</v>
      </c>
      <c r="AU946" s="14">
        <f>IFERROR(__xludf.DUMMYFUNCTION("""COMPUTED_VALUE"""),7.12E7)</f>
        <v>71200000</v>
      </c>
      <c r="AV946" s="14">
        <f>IFERROR(__xludf.DUMMYFUNCTION("""COMPUTED_VALUE"""),5.47)</f>
        <v>5.47</v>
      </c>
      <c r="AW946" s="14">
        <f>IFERROR(__xludf.DUMMYFUNCTION("""COMPUTED_VALUE"""),35.0)</f>
        <v>35</v>
      </c>
      <c r="AX946" s="14">
        <f>IFERROR(__xludf.DUMMYFUNCTION("""COMPUTED_VALUE"""),5210000.0)</f>
        <v>5210000</v>
      </c>
      <c r="AY946" s="14">
        <f>IFERROR(__xludf.DUMMYFUNCTION("""COMPUTED_VALUE"""),1.9)</f>
        <v>1.9</v>
      </c>
      <c r="AZ946" s="14">
        <f>IFERROR(__xludf.DUMMYFUNCTION("""COMPUTED_VALUE"""),0.007)</f>
        <v>0.007</v>
      </c>
      <c r="BA946" s="14">
        <f t="shared" si="1"/>
        <v>36.907</v>
      </c>
    </row>
    <row r="947" ht="14.25" customHeight="1">
      <c r="A947" s="10" t="str">
        <f>IFERROR(__xludf.DUMMYFUNCTION("""COMPUTED_VALUE"""),"021023LA01")</f>
        <v>021023LA01</v>
      </c>
      <c r="B947" s="12" t="str">
        <f>IFERROR(__xludf.DUMMYFUNCTION("""COMPUTED_VALUE"""),"CRN-El Virrey")</f>
        <v>CRN-El Virrey</v>
      </c>
      <c r="C947" s="12"/>
      <c r="D947" s="12"/>
      <c r="E947" s="44">
        <f>IFERROR(__xludf.DUMMYFUNCTION("""COMPUTED_VALUE"""),45201.0)</f>
        <v>45201</v>
      </c>
      <c r="F947" s="12" t="str">
        <f>IFERROR(__xludf.DUMMYFUNCTION("""COMPUTED_VALUE"""),"TIPO I")</f>
        <v>TIPO I</v>
      </c>
      <c r="G947" s="12" t="str">
        <f>IFERROR(__xludf.DUMMYFUNCTION("""COMPUTED_VALUE"""),"Lecho artificial en ladrillo, se observa color, se percibe olor, a partir de la tercera alicuota se evidencia aumento de caudal. Altitud: 2566 msnm. ")</f>
        <v>Lecho artificial en ladrillo, se observa color, se percibe olor, a partir de la tercera alicuota se evidencia aumento de caudal. Altitud: 2566 msnm. </v>
      </c>
      <c r="H947" s="45">
        <f>IFERROR(__xludf.DUMMYFUNCTION("""COMPUTED_VALUE"""),0.25)</f>
        <v>0.25</v>
      </c>
      <c r="I947" s="45">
        <f>IFERROR(__xludf.DUMMYFUNCTION("""COMPUTED_VALUE"""),0.3333333333321207)</f>
        <v>0.3333333333</v>
      </c>
      <c r="J947" s="12">
        <f>IFERROR(__xludf.DUMMYFUNCTION("""COMPUTED_VALUE"""),2.0)</f>
        <v>2</v>
      </c>
      <c r="K947" s="12">
        <f>IFERROR(__xludf.DUMMYFUNCTION("""COMPUTED_VALUE"""),0.16)</f>
        <v>0.16</v>
      </c>
      <c r="L947" s="14">
        <f>IFERROR(__xludf.DUMMYFUNCTION("""COMPUTED_VALUE"""),45.129)</f>
        <v>45.129</v>
      </c>
      <c r="M947" s="14">
        <f>IFERROR(__xludf.DUMMYFUNCTION("""COMPUTED_VALUE"""),56.193)</f>
        <v>56.193</v>
      </c>
      <c r="N947" s="14">
        <f>IFERROR(__xludf.DUMMYFUNCTION("""COMPUTED_VALUE"""),80.456)</f>
        <v>80.456</v>
      </c>
      <c r="O947" s="14">
        <f>IFERROR(__xludf.DUMMYFUNCTION("""COMPUTED_VALUE"""),73.187)</f>
        <v>73.187</v>
      </c>
      <c r="P947" s="14">
        <f>IFERROR(__xludf.DUMMYFUNCTION("""COMPUTED_VALUE"""),78.807)</f>
        <v>78.807</v>
      </c>
      <c r="Q947" s="14">
        <f>IFERROR(__xludf.DUMMYFUNCTION("""COMPUTED_VALUE"""),66.754)</f>
        <v>66.754</v>
      </c>
      <c r="R947" s="48">
        <f>IFERROR(__xludf.DUMMYFUNCTION("""COMPUTED_VALUE"""),7.35)</f>
        <v>7.35</v>
      </c>
      <c r="S947" s="48">
        <f>IFERROR(__xludf.DUMMYFUNCTION("""COMPUTED_VALUE"""),7.78)</f>
        <v>7.78</v>
      </c>
      <c r="T947" s="48">
        <f>IFERROR(__xludf.DUMMYFUNCTION("""COMPUTED_VALUE"""),8.55)</f>
        <v>8.55</v>
      </c>
      <c r="U947" s="48">
        <f>IFERROR(__xludf.DUMMYFUNCTION("""COMPUTED_VALUE"""),8.6)</f>
        <v>8.6</v>
      </c>
      <c r="V947" s="48">
        <f>IFERROR(__xludf.DUMMYFUNCTION("""COMPUTED_VALUE"""),8.67)</f>
        <v>8.67</v>
      </c>
      <c r="W947" s="14">
        <f>IFERROR(__xludf.DUMMYFUNCTION("""COMPUTED_VALUE"""),8.190000000000001)</f>
        <v>8.19</v>
      </c>
      <c r="X947" s="14">
        <f>IFERROR(__xludf.DUMMYFUNCTION("""COMPUTED_VALUE"""),15.8)</f>
        <v>15.8</v>
      </c>
      <c r="Y947" s="14">
        <f>IFERROR(__xludf.DUMMYFUNCTION("""COMPUTED_VALUE"""),15.9)</f>
        <v>15.9</v>
      </c>
      <c r="Z947" s="14">
        <f>IFERROR(__xludf.DUMMYFUNCTION("""COMPUTED_VALUE"""),16.1)</f>
        <v>16.1</v>
      </c>
      <c r="AA947" s="14">
        <f>IFERROR(__xludf.DUMMYFUNCTION("""COMPUTED_VALUE"""),16.3)</f>
        <v>16.3</v>
      </c>
      <c r="AB947" s="14">
        <f>IFERROR(__xludf.DUMMYFUNCTION("""COMPUTED_VALUE"""),16.7)</f>
        <v>16.7</v>
      </c>
      <c r="AC947" s="14">
        <f>IFERROR(__xludf.DUMMYFUNCTION("""COMPUTED_VALUE"""),16.160000000000004)</f>
        <v>16.16</v>
      </c>
      <c r="AD947" s="48">
        <f>IFERROR(__xludf.DUMMYFUNCTION("""COMPUTED_VALUE"""),265.0)</f>
        <v>265</v>
      </c>
      <c r="AE947" s="48">
        <f>IFERROR(__xludf.DUMMYFUNCTION("""COMPUTED_VALUE"""),298.0)</f>
        <v>298</v>
      </c>
      <c r="AF947" s="48">
        <f>IFERROR(__xludf.DUMMYFUNCTION("""COMPUTED_VALUE"""),496.0)</f>
        <v>496</v>
      </c>
      <c r="AG947" s="48">
        <f>IFERROR(__xludf.DUMMYFUNCTION("""COMPUTED_VALUE"""),510.0)</f>
        <v>510</v>
      </c>
      <c r="AH947" s="48">
        <f>IFERROR(__xludf.DUMMYFUNCTION("""COMPUTED_VALUE"""),537.0)</f>
        <v>537</v>
      </c>
      <c r="AI947" s="14">
        <f>IFERROR(__xludf.DUMMYFUNCTION("""COMPUTED_VALUE"""),421.2)</f>
        <v>421.2</v>
      </c>
      <c r="AJ947" s="14">
        <f>IFERROR(__xludf.DUMMYFUNCTION("""COMPUTED_VALUE"""),0.82)</f>
        <v>0.82</v>
      </c>
      <c r="AK947" s="14">
        <f>IFERROR(__xludf.DUMMYFUNCTION("""COMPUTED_VALUE"""),0.98)</f>
        <v>0.98</v>
      </c>
      <c r="AL947" s="14">
        <f>IFERROR(__xludf.DUMMYFUNCTION("""COMPUTED_VALUE"""),0.87)</f>
        <v>0.87</v>
      </c>
      <c r="AM947" s="14">
        <f>IFERROR(__xludf.DUMMYFUNCTION("""COMPUTED_VALUE"""),0.95)</f>
        <v>0.95</v>
      </c>
      <c r="AN947" s="14">
        <f>IFERROR(__xludf.DUMMYFUNCTION("""COMPUTED_VALUE"""),0.81)</f>
        <v>0.81</v>
      </c>
      <c r="AO947" s="14">
        <f>IFERROR(__xludf.DUMMYFUNCTION("""COMPUTED_VALUE"""),0.8859999999999999)</f>
        <v>0.886</v>
      </c>
      <c r="AP947" s="14">
        <f>IFERROR(__xludf.DUMMYFUNCTION("""COMPUTED_VALUE"""),144.0)</f>
        <v>144</v>
      </c>
      <c r="AQ947" s="14">
        <f>IFERROR(__xludf.DUMMYFUNCTION("""COMPUTED_VALUE"""),216.0)</f>
        <v>216</v>
      </c>
      <c r="AR947" s="14">
        <f>IFERROR(__xludf.DUMMYFUNCTION("""COMPUTED_VALUE"""),105.0)</f>
        <v>105</v>
      </c>
      <c r="AS947" s="14">
        <f>IFERROR(__xludf.DUMMYFUNCTION("""COMPUTED_VALUE"""),47.0)</f>
        <v>47</v>
      </c>
      <c r="AT947" s="14">
        <f>IFERROR(__xludf.DUMMYFUNCTION("""COMPUTED_VALUE"""),1.29)</f>
        <v>1.29</v>
      </c>
      <c r="AU947" s="14">
        <f>IFERROR(__xludf.DUMMYFUNCTION("""COMPUTED_VALUE"""),7430000.0)</f>
        <v>7430000</v>
      </c>
      <c r="AV947" s="14">
        <f>IFERROR(__xludf.DUMMYFUNCTION("""COMPUTED_VALUE"""),4.04)</f>
        <v>4.04</v>
      </c>
      <c r="AW947" s="14">
        <f>IFERROR(__xludf.DUMMYFUNCTION("""COMPUTED_VALUE"""),33.3)</f>
        <v>33.3</v>
      </c>
      <c r="AX947" s="14">
        <f>IFERROR(__xludf.DUMMYFUNCTION("""COMPUTED_VALUE"""),4870000.0)</f>
        <v>4870000</v>
      </c>
      <c r="AY947" s="14">
        <f>IFERROR(__xludf.DUMMYFUNCTION("""COMPUTED_VALUE"""),0.8)</f>
        <v>0.8</v>
      </c>
      <c r="AZ947" s="14">
        <f>IFERROR(__xludf.DUMMYFUNCTION("""COMPUTED_VALUE"""),0.007)</f>
        <v>0.007</v>
      </c>
      <c r="BA947" s="14">
        <f t="shared" si="1"/>
        <v>34.107</v>
      </c>
    </row>
    <row r="948" ht="14.25" customHeight="1">
      <c r="A948" s="10" t="str">
        <f>IFERROR(__xludf.DUMMYFUNCTION("""COMPUTED_VALUE"""),"031023FE02")</f>
        <v>031023FE02</v>
      </c>
      <c r="B948" s="12" t="str">
        <f>IFERROR(__xludf.DUMMYFUNCTION("""COMPUTED_VALUE"""),"CMO-Pepe Sierra")</f>
        <v>CMO-Pepe Sierra</v>
      </c>
      <c r="C948" s="12"/>
      <c r="D948" s="12"/>
      <c r="E948" s="44">
        <f>IFERROR(__xludf.DUMMYFUNCTION("""COMPUTED_VALUE"""),45202.0)</f>
        <v>45202</v>
      </c>
      <c r="F948" s="12" t="str">
        <f>IFERROR(__xludf.DUMMYFUNCTION("""COMPUTED_VALUE"""),"TIPO I")</f>
        <v>TIPO I</v>
      </c>
      <c r="G948" s="12" t="str">
        <f>IFERROR(__xludf.DUMMYFUNCTION("""COMPUTED_VALUE"""),"Canal artificial en concreto de estructura trapezoidal, durante el procedimiento de toma de muestra se percibe olor, se observa color y material flotante en el cauce del canal, altitud 2554 msnm")</f>
        <v>Canal artificial en concreto de estructura trapezoidal, durante el procedimiento de toma de muestra se percibe olor, se observa color y material flotante en el cauce del canal, altitud 2554 msnm</v>
      </c>
      <c r="H948" s="45">
        <f>IFERROR(__xludf.DUMMYFUNCTION("""COMPUTED_VALUE"""),0.5)</f>
        <v>0.5</v>
      </c>
      <c r="I948" s="45">
        <f>IFERROR(__xludf.DUMMYFUNCTION("""COMPUTED_VALUE"""),0.5833333333321207)</f>
        <v>0.5833333333</v>
      </c>
      <c r="J948" s="12">
        <f>IFERROR(__xludf.DUMMYFUNCTION("""COMPUTED_VALUE"""),6.65)</f>
        <v>6.65</v>
      </c>
      <c r="K948" s="12">
        <f>IFERROR(__xludf.DUMMYFUNCTION("""COMPUTED_VALUE"""),0.17)</f>
        <v>0.17</v>
      </c>
      <c r="L948" s="14">
        <f>IFERROR(__xludf.DUMMYFUNCTION("""COMPUTED_VALUE"""),235.798)</f>
        <v>235.798</v>
      </c>
      <c r="M948" s="14">
        <f>IFERROR(__xludf.DUMMYFUNCTION("""COMPUTED_VALUE"""),236.572)</f>
        <v>236.572</v>
      </c>
      <c r="N948" s="14">
        <f>IFERROR(__xludf.DUMMYFUNCTION("""COMPUTED_VALUE"""),238.731)</f>
        <v>238.731</v>
      </c>
      <c r="O948" s="14">
        <f>IFERROR(__xludf.DUMMYFUNCTION("""COMPUTED_VALUE"""),240.413)</f>
        <v>240.413</v>
      </c>
      <c r="P948" s="14">
        <f>IFERROR(__xludf.DUMMYFUNCTION("""COMPUTED_VALUE"""),243.21)</f>
        <v>243.21</v>
      </c>
      <c r="Q948" s="14">
        <f>IFERROR(__xludf.DUMMYFUNCTION("""COMPUTED_VALUE"""),238.945)</f>
        <v>238.945</v>
      </c>
      <c r="R948" s="48">
        <f>IFERROR(__xludf.DUMMYFUNCTION("""COMPUTED_VALUE"""),7.3)</f>
        <v>7.3</v>
      </c>
      <c r="S948" s="48">
        <f>IFERROR(__xludf.DUMMYFUNCTION("""COMPUTED_VALUE"""),7.26)</f>
        <v>7.26</v>
      </c>
      <c r="T948" s="48">
        <f>IFERROR(__xludf.DUMMYFUNCTION("""COMPUTED_VALUE"""),7.15)</f>
        <v>7.15</v>
      </c>
      <c r="U948" s="48">
        <f>IFERROR(__xludf.DUMMYFUNCTION("""COMPUTED_VALUE"""),7.49)</f>
        <v>7.49</v>
      </c>
      <c r="V948" s="48">
        <f>IFERROR(__xludf.DUMMYFUNCTION("""COMPUTED_VALUE"""),7.29)</f>
        <v>7.29</v>
      </c>
      <c r="W948" s="14">
        <f>IFERROR(__xludf.DUMMYFUNCTION("""COMPUTED_VALUE"""),7.298)</f>
        <v>7.298</v>
      </c>
      <c r="X948" s="14">
        <f>IFERROR(__xludf.DUMMYFUNCTION("""COMPUTED_VALUE"""),25.7)</f>
        <v>25.7</v>
      </c>
      <c r="Y948" s="14">
        <f>IFERROR(__xludf.DUMMYFUNCTION("""COMPUTED_VALUE"""),25.4)</f>
        <v>25.4</v>
      </c>
      <c r="Z948" s="14">
        <f>IFERROR(__xludf.DUMMYFUNCTION("""COMPUTED_VALUE"""),25.3)</f>
        <v>25.3</v>
      </c>
      <c r="AA948" s="14">
        <f>IFERROR(__xludf.DUMMYFUNCTION("""COMPUTED_VALUE"""),26.0)</f>
        <v>26</v>
      </c>
      <c r="AB948" s="14">
        <f>IFERROR(__xludf.DUMMYFUNCTION("""COMPUTED_VALUE"""),25.8)</f>
        <v>25.8</v>
      </c>
      <c r="AC948" s="14">
        <f>IFERROR(__xludf.DUMMYFUNCTION("""COMPUTED_VALUE"""),25.639999999999997)</f>
        <v>25.64</v>
      </c>
      <c r="AD948" s="48">
        <f>IFERROR(__xludf.DUMMYFUNCTION("""COMPUTED_VALUE"""),416.0)</f>
        <v>416</v>
      </c>
      <c r="AE948" s="48">
        <f>IFERROR(__xludf.DUMMYFUNCTION("""COMPUTED_VALUE"""),387.0)</f>
        <v>387</v>
      </c>
      <c r="AF948" s="48">
        <f>IFERROR(__xludf.DUMMYFUNCTION("""COMPUTED_VALUE"""),392.0)</f>
        <v>392</v>
      </c>
      <c r="AG948" s="48">
        <f>IFERROR(__xludf.DUMMYFUNCTION("""COMPUTED_VALUE"""),421.0)</f>
        <v>421</v>
      </c>
      <c r="AH948" s="48">
        <f>IFERROR(__xludf.DUMMYFUNCTION("""COMPUTED_VALUE"""),459.0)</f>
        <v>459</v>
      </c>
      <c r="AI948" s="14">
        <f>IFERROR(__xludf.DUMMYFUNCTION("""COMPUTED_VALUE"""),415.0)</f>
        <v>415</v>
      </c>
      <c r="AJ948" s="14">
        <f>IFERROR(__xludf.DUMMYFUNCTION("""COMPUTED_VALUE"""),2.2)</f>
        <v>2.2</v>
      </c>
      <c r="AK948" s="14">
        <f>IFERROR(__xludf.DUMMYFUNCTION("""COMPUTED_VALUE"""),2.53)</f>
        <v>2.53</v>
      </c>
      <c r="AL948" s="14">
        <f>IFERROR(__xludf.DUMMYFUNCTION("""COMPUTED_VALUE"""),2.34)</f>
        <v>2.34</v>
      </c>
      <c r="AM948" s="14">
        <f>IFERROR(__xludf.DUMMYFUNCTION("""COMPUTED_VALUE"""),2.28)</f>
        <v>2.28</v>
      </c>
      <c r="AN948" s="14">
        <f>IFERROR(__xludf.DUMMYFUNCTION("""COMPUTED_VALUE"""),2.04)</f>
        <v>2.04</v>
      </c>
      <c r="AO948" s="14">
        <f>IFERROR(__xludf.DUMMYFUNCTION("""COMPUTED_VALUE"""),2.278)</f>
        <v>2.278</v>
      </c>
      <c r="AP948" s="14">
        <f>IFERROR(__xludf.DUMMYFUNCTION("""COMPUTED_VALUE"""),106.0)</f>
        <v>106</v>
      </c>
      <c r="AQ948" s="14">
        <f>IFERROR(__xludf.DUMMYFUNCTION("""COMPUTED_VALUE"""),157.0)</f>
        <v>157</v>
      </c>
      <c r="AR948" s="14">
        <f>IFERROR(__xludf.DUMMYFUNCTION("""COMPUTED_VALUE"""),84.0)</f>
        <v>84</v>
      </c>
      <c r="AS948" s="14">
        <f>IFERROR(__xludf.DUMMYFUNCTION("""COMPUTED_VALUE"""),34.0)</f>
        <v>34</v>
      </c>
      <c r="AT948" s="14">
        <f>IFERROR(__xludf.DUMMYFUNCTION("""COMPUTED_VALUE"""),2.42)</f>
        <v>2.42</v>
      </c>
      <c r="AU948" s="14">
        <f>IFERROR(__xludf.DUMMYFUNCTION("""COMPUTED_VALUE"""),9590000.0)</f>
        <v>9590000</v>
      </c>
      <c r="AV948" s="14">
        <f>IFERROR(__xludf.DUMMYFUNCTION("""COMPUTED_VALUE"""),2.44)</f>
        <v>2.44</v>
      </c>
      <c r="AW948" s="14">
        <f>IFERROR(__xludf.DUMMYFUNCTION("""COMPUTED_VALUE"""),16.0)</f>
        <v>16</v>
      </c>
      <c r="AX948" s="14">
        <f>IFERROR(__xludf.DUMMYFUNCTION("""COMPUTED_VALUE"""),5040000.0)</f>
        <v>5040000</v>
      </c>
      <c r="AY948" s="14">
        <f>IFERROR(__xludf.DUMMYFUNCTION("""COMPUTED_VALUE"""),1.0)</f>
        <v>1</v>
      </c>
      <c r="AZ948" s="14">
        <f>IFERROR(__xludf.DUMMYFUNCTION("""COMPUTED_VALUE"""),0.007)</f>
        <v>0.007</v>
      </c>
      <c r="BA948" s="14">
        <f t="shared" si="1"/>
        <v>17.007</v>
      </c>
    </row>
    <row r="949" ht="14.25" customHeight="1">
      <c r="A949" s="10" t="str">
        <f>IFERROR(__xludf.DUMMYFUNCTION("""COMPUTED_VALUE"""),"031023HA01")</f>
        <v>031023HA01</v>
      </c>
      <c r="B949" s="12" t="str">
        <f>IFERROR(__xludf.DUMMYFUNCTION("""COMPUTED_VALUE"""),"QTR-Quiba")</f>
        <v>QTR-Quiba</v>
      </c>
      <c r="C949" s="12"/>
      <c r="D949" s="12"/>
      <c r="E949" s="44">
        <f>IFERROR(__xludf.DUMMYFUNCTION("""COMPUTED_VALUE"""),45202.0)</f>
        <v>45202</v>
      </c>
      <c r="F949" s="12" t="str">
        <f>IFERROR(__xludf.DUMMYFUNCTION("""COMPUTED_VALUE"""),"TIPO I")</f>
        <v>TIPO I</v>
      </c>
      <c r="G949" s="12" t="str">
        <f>IFERROR(__xludf.DUMMYFUNCTION("""COMPUTED_VALUE"""),"Lecho natural rocoso-arenoso, se percibe olor, se observa color, después de la tercer alícuota se presentó una descarga aguas arriba de la sección de aforo, la cual procedia de las acciones de mantenimiento de la calle por parte del IDU. Altitud: 2635 mns"&amp;"m. ")</f>
        <v>Lecho natural rocoso-arenoso, se percibe olor, se observa color, después de la tercer alícuota se presentó una descarga aguas arriba de la sección de aforo, la cual procedia de las acciones de mantenimiento de la calle por parte del IDU. Altitud: 2635 mnsm. </v>
      </c>
      <c r="H949" s="45">
        <f>IFERROR(__xludf.DUMMYFUNCTION("""COMPUTED_VALUE"""),0.3333333333321207)</f>
        <v>0.3333333333</v>
      </c>
      <c r="I949" s="45">
        <f>IFERROR(__xludf.DUMMYFUNCTION("""COMPUTED_VALUE"""),0.4166666666678793)</f>
        <v>0.4166666667</v>
      </c>
      <c r="J949" s="12">
        <f>IFERROR(__xludf.DUMMYFUNCTION("""COMPUTED_VALUE"""),0.9)</f>
        <v>0.9</v>
      </c>
      <c r="K949" s="12">
        <f>IFERROR(__xludf.DUMMYFUNCTION("""COMPUTED_VALUE"""),0.12)</f>
        <v>0.12</v>
      </c>
      <c r="L949" s="14">
        <f>IFERROR(__xludf.DUMMYFUNCTION("""COMPUTED_VALUE"""),17.193)</f>
        <v>17.193</v>
      </c>
      <c r="M949" s="14">
        <f>IFERROR(__xludf.DUMMYFUNCTION("""COMPUTED_VALUE"""),17.67)</f>
        <v>17.67</v>
      </c>
      <c r="N949" s="14">
        <f>IFERROR(__xludf.DUMMYFUNCTION("""COMPUTED_VALUE"""),17.856)</f>
        <v>17.856</v>
      </c>
      <c r="O949" s="14">
        <f>IFERROR(__xludf.DUMMYFUNCTION("""COMPUTED_VALUE"""),18.974)</f>
        <v>18.974</v>
      </c>
      <c r="P949" s="14">
        <f>IFERROR(__xludf.DUMMYFUNCTION("""COMPUTED_VALUE"""),19.081)</f>
        <v>19.081</v>
      </c>
      <c r="Q949" s="14">
        <f>IFERROR(__xludf.DUMMYFUNCTION("""COMPUTED_VALUE"""),18.155)</f>
        <v>18.155</v>
      </c>
      <c r="R949" s="48">
        <f>IFERROR(__xludf.DUMMYFUNCTION("""COMPUTED_VALUE"""),8.06)</f>
        <v>8.06</v>
      </c>
      <c r="S949" s="48">
        <f>IFERROR(__xludf.DUMMYFUNCTION("""COMPUTED_VALUE"""),10.13)</f>
        <v>10.13</v>
      </c>
      <c r="T949" s="48">
        <f>IFERROR(__xludf.DUMMYFUNCTION("""COMPUTED_VALUE"""),10.06)</f>
        <v>10.06</v>
      </c>
      <c r="U949" s="48">
        <f>IFERROR(__xludf.DUMMYFUNCTION("""COMPUTED_VALUE"""),10.24)</f>
        <v>10.24</v>
      </c>
      <c r="V949" s="48">
        <f>IFERROR(__xludf.DUMMYFUNCTION("""COMPUTED_VALUE"""),8.8)</f>
        <v>8.8</v>
      </c>
      <c r="W949" s="14">
        <f>IFERROR(__xludf.DUMMYFUNCTION("""COMPUTED_VALUE"""),9.458000000000002)</f>
        <v>9.458</v>
      </c>
      <c r="X949" s="14">
        <f>IFERROR(__xludf.DUMMYFUNCTION("""COMPUTED_VALUE"""),15.1)</f>
        <v>15.1</v>
      </c>
      <c r="Y949" s="14">
        <f>IFERROR(__xludf.DUMMYFUNCTION("""COMPUTED_VALUE"""),16.1)</f>
        <v>16.1</v>
      </c>
      <c r="Z949" s="14">
        <f>IFERROR(__xludf.DUMMYFUNCTION("""COMPUTED_VALUE"""),16.3)</f>
        <v>16.3</v>
      </c>
      <c r="AA949" s="14">
        <f>IFERROR(__xludf.DUMMYFUNCTION("""COMPUTED_VALUE"""),16.9)</f>
        <v>16.9</v>
      </c>
      <c r="AB949" s="14">
        <f>IFERROR(__xludf.DUMMYFUNCTION("""COMPUTED_VALUE"""),16.9)</f>
        <v>16.9</v>
      </c>
      <c r="AC949" s="14">
        <f>IFERROR(__xludf.DUMMYFUNCTION("""COMPUTED_VALUE"""),16.26)</f>
        <v>16.26</v>
      </c>
      <c r="AD949" s="48">
        <f>IFERROR(__xludf.DUMMYFUNCTION("""COMPUTED_VALUE"""),619.0)</f>
        <v>619</v>
      </c>
      <c r="AE949" s="48">
        <f>IFERROR(__xludf.DUMMYFUNCTION("""COMPUTED_VALUE"""),686.0)</f>
        <v>686</v>
      </c>
      <c r="AF949" s="48">
        <f>IFERROR(__xludf.DUMMYFUNCTION("""COMPUTED_VALUE"""),700.0)</f>
        <v>700</v>
      </c>
      <c r="AG949" s="48">
        <f>IFERROR(__xludf.DUMMYFUNCTION("""COMPUTED_VALUE"""),639.0)</f>
        <v>639</v>
      </c>
      <c r="AH949" s="48">
        <f>IFERROR(__xludf.DUMMYFUNCTION("""COMPUTED_VALUE"""),593.0)</f>
        <v>593</v>
      </c>
      <c r="AI949" s="14">
        <f>IFERROR(__xludf.DUMMYFUNCTION("""COMPUTED_VALUE"""),647.4)</f>
        <v>647.4</v>
      </c>
      <c r="AJ949" s="14">
        <f>IFERROR(__xludf.DUMMYFUNCTION("""COMPUTED_VALUE"""),3.77)</f>
        <v>3.77</v>
      </c>
      <c r="AK949" s="14">
        <f>IFERROR(__xludf.DUMMYFUNCTION("""COMPUTED_VALUE"""),4.23)</f>
        <v>4.23</v>
      </c>
      <c r="AL949" s="14">
        <f>IFERROR(__xludf.DUMMYFUNCTION("""COMPUTED_VALUE"""),4.41)</f>
        <v>4.41</v>
      </c>
      <c r="AM949" s="14">
        <f>IFERROR(__xludf.DUMMYFUNCTION("""COMPUTED_VALUE"""),4.13)</f>
        <v>4.13</v>
      </c>
      <c r="AN949" s="14">
        <f>IFERROR(__xludf.DUMMYFUNCTION("""COMPUTED_VALUE"""),4.06)</f>
        <v>4.06</v>
      </c>
      <c r="AO949" s="14">
        <f>IFERROR(__xludf.DUMMYFUNCTION("""COMPUTED_VALUE"""),4.119999999999999)</f>
        <v>4.12</v>
      </c>
      <c r="AP949" s="14">
        <f>IFERROR(__xludf.DUMMYFUNCTION("""COMPUTED_VALUE"""),93.0)</f>
        <v>93</v>
      </c>
      <c r="AQ949" s="14">
        <f>IFERROR(__xludf.DUMMYFUNCTION("""COMPUTED_VALUE"""),137.0)</f>
        <v>137</v>
      </c>
      <c r="AR949" s="14">
        <f>IFERROR(__xludf.DUMMYFUNCTION("""COMPUTED_VALUE"""),158.0)</f>
        <v>158</v>
      </c>
      <c r="AS949" s="14">
        <f>IFERROR(__xludf.DUMMYFUNCTION("""COMPUTED_VALUE"""),5.1)</f>
        <v>5.1</v>
      </c>
      <c r="AT949" s="14">
        <f>IFERROR(__xludf.DUMMYFUNCTION("""COMPUTED_VALUE"""),3.01)</f>
        <v>3.01</v>
      </c>
      <c r="AU949" s="14">
        <f>IFERROR(__xludf.DUMMYFUNCTION("""COMPUTED_VALUE"""),8200000.0)</f>
        <v>8200000</v>
      </c>
      <c r="AV949" s="14">
        <f>IFERROR(__xludf.DUMMYFUNCTION("""COMPUTED_VALUE"""),2.02)</f>
        <v>2.02</v>
      </c>
      <c r="AW949" s="14">
        <f>IFERROR(__xludf.DUMMYFUNCTION("""COMPUTED_VALUE"""),25.2)</f>
        <v>25.2</v>
      </c>
      <c r="AX949" s="14">
        <f>IFERROR(__xludf.DUMMYFUNCTION("""COMPUTED_VALUE"""),6160000.0)</f>
        <v>6160000</v>
      </c>
      <c r="AY949" s="14">
        <f>IFERROR(__xludf.DUMMYFUNCTION("""COMPUTED_VALUE"""),1.1)</f>
        <v>1.1</v>
      </c>
      <c r="AZ949" s="14">
        <f>IFERROR(__xludf.DUMMYFUNCTION("""COMPUTED_VALUE"""),0.095)</f>
        <v>0.095</v>
      </c>
      <c r="BA949" s="14">
        <f t="shared" si="1"/>
        <v>26.395</v>
      </c>
    </row>
    <row r="950" ht="14.25" customHeight="1">
      <c r="A950" s="10" t="str">
        <f>IFERROR(__xludf.DUMMYFUNCTION("""COMPUTED_VALUE"""),"041023FE02")</f>
        <v>041023FE02</v>
      </c>
      <c r="B950" s="12" t="str">
        <f>IFERROR(__xludf.DUMMYFUNCTION("""COMPUTED_VALUE"""),"CMO-Cantón Norte")</f>
        <v>CMO-Cantón Norte</v>
      </c>
      <c r="C950" s="12"/>
      <c r="D950" s="12"/>
      <c r="E950" s="44">
        <f>IFERROR(__xludf.DUMMYFUNCTION("""COMPUTED_VALUE"""),45203.0)</f>
        <v>45203</v>
      </c>
      <c r="F950" s="12" t="str">
        <f>IFERROR(__xludf.DUMMYFUNCTION("""COMPUTED_VALUE"""),"TIPO I")</f>
        <v>TIPO I</v>
      </c>
      <c r="G950" s="12" t="str">
        <f>IFERROR(__xludf.DUMMYFUNCTION("""COMPUTED_VALUE"""),"Canal artificial en concreto, se observa material flotante durante el monitoreo.")</f>
        <v>Canal artificial en concreto, se observa material flotante durante el monitoreo.</v>
      </c>
      <c r="H950" s="45">
        <f>IFERROR(__xludf.DUMMYFUNCTION("""COMPUTED_VALUE"""),0.5)</f>
        <v>0.5</v>
      </c>
      <c r="I950" s="45">
        <f>IFERROR(__xludf.DUMMYFUNCTION("""COMPUTED_VALUE"""),0.5833333333321207)</f>
        <v>0.5833333333</v>
      </c>
      <c r="J950" s="12">
        <f>IFERROR(__xludf.DUMMYFUNCTION("""COMPUTED_VALUE"""),1.9)</f>
        <v>1.9</v>
      </c>
      <c r="K950" s="12">
        <f>IFERROR(__xludf.DUMMYFUNCTION("""COMPUTED_VALUE"""),0.09)</f>
        <v>0.09</v>
      </c>
      <c r="L950" s="14">
        <f>IFERROR(__xludf.DUMMYFUNCTION("""COMPUTED_VALUE"""),82.178)</f>
        <v>82.178</v>
      </c>
      <c r="M950" s="14">
        <f>IFERROR(__xludf.DUMMYFUNCTION("""COMPUTED_VALUE"""),83.486)</f>
        <v>83.486</v>
      </c>
      <c r="N950" s="14">
        <f>IFERROR(__xludf.DUMMYFUNCTION("""COMPUTED_VALUE"""),85.339)</f>
        <v>85.339</v>
      </c>
      <c r="O950" s="14">
        <f>IFERROR(__xludf.DUMMYFUNCTION("""COMPUTED_VALUE"""),86.945)</f>
        <v>86.945</v>
      </c>
      <c r="P950" s="14">
        <f>IFERROR(__xludf.DUMMYFUNCTION("""COMPUTED_VALUE"""),89.048)</f>
        <v>89.048</v>
      </c>
      <c r="Q950" s="14">
        <f>IFERROR(__xludf.DUMMYFUNCTION("""COMPUTED_VALUE"""),85.399)</f>
        <v>85.399</v>
      </c>
      <c r="R950" s="48">
        <f>IFERROR(__xludf.DUMMYFUNCTION("""COMPUTED_VALUE"""),7.55)</f>
        <v>7.55</v>
      </c>
      <c r="S950" s="48">
        <f>IFERROR(__xludf.DUMMYFUNCTION("""COMPUTED_VALUE"""),7.47)</f>
        <v>7.47</v>
      </c>
      <c r="T950" s="48">
        <f>IFERROR(__xludf.DUMMYFUNCTION("""COMPUTED_VALUE"""),7.37)</f>
        <v>7.37</v>
      </c>
      <c r="U950" s="48">
        <f>IFERROR(__xludf.DUMMYFUNCTION("""COMPUTED_VALUE"""),7.4)</f>
        <v>7.4</v>
      </c>
      <c r="V950" s="48">
        <f>IFERROR(__xludf.DUMMYFUNCTION("""COMPUTED_VALUE"""),7.58)</f>
        <v>7.58</v>
      </c>
      <c r="W950" s="14">
        <f>IFERROR(__xludf.DUMMYFUNCTION("""COMPUTED_VALUE"""),7.473999999999999)</f>
        <v>7.474</v>
      </c>
      <c r="X950" s="14">
        <f>IFERROR(__xludf.DUMMYFUNCTION("""COMPUTED_VALUE"""),18.1)</f>
        <v>18.1</v>
      </c>
      <c r="Y950" s="14">
        <f>IFERROR(__xludf.DUMMYFUNCTION("""COMPUTED_VALUE"""),18.4)</f>
        <v>18.4</v>
      </c>
      <c r="Z950" s="14">
        <f>IFERROR(__xludf.DUMMYFUNCTION("""COMPUTED_VALUE"""),18.2)</f>
        <v>18.2</v>
      </c>
      <c r="AA950" s="14">
        <f>IFERROR(__xludf.DUMMYFUNCTION("""COMPUTED_VALUE"""),18.3)</f>
        <v>18.3</v>
      </c>
      <c r="AB950" s="14">
        <f>IFERROR(__xludf.DUMMYFUNCTION("""COMPUTED_VALUE"""),18.2)</f>
        <v>18.2</v>
      </c>
      <c r="AC950" s="14">
        <f>IFERROR(__xludf.DUMMYFUNCTION("""COMPUTED_VALUE"""),18.240000000000002)</f>
        <v>18.24</v>
      </c>
      <c r="AD950" s="48">
        <f>IFERROR(__xludf.DUMMYFUNCTION("""COMPUTED_VALUE"""),333.0)</f>
        <v>333</v>
      </c>
      <c r="AE950" s="48">
        <f>IFERROR(__xludf.DUMMYFUNCTION("""COMPUTED_VALUE"""),331.0)</f>
        <v>331</v>
      </c>
      <c r="AF950" s="48">
        <f>IFERROR(__xludf.DUMMYFUNCTION("""COMPUTED_VALUE"""),341.0)</f>
        <v>341</v>
      </c>
      <c r="AG950" s="48">
        <f>IFERROR(__xludf.DUMMYFUNCTION("""COMPUTED_VALUE"""),339.0)</f>
        <v>339</v>
      </c>
      <c r="AH950" s="48">
        <f>IFERROR(__xludf.DUMMYFUNCTION("""COMPUTED_VALUE"""),327.0)</f>
        <v>327</v>
      </c>
      <c r="AI950" s="14">
        <f>IFERROR(__xludf.DUMMYFUNCTION("""COMPUTED_VALUE"""),334.2)</f>
        <v>334.2</v>
      </c>
      <c r="AJ950" s="14">
        <f>IFERROR(__xludf.DUMMYFUNCTION("""COMPUTED_VALUE"""),5.26)</f>
        <v>5.26</v>
      </c>
      <c r="AK950" s="14">
        <f>IFERROR(__xludf.DUMMYFUNCTION("""COMPUTED_VALUE"""),4.91)</f>
        <v>4.91</v>
      </c>
      <c r="AL950" s="14">
        <f>IFERROR(__xludf.DUMMYFUNCTION("""COMPUTED_VALUE"""),5.12)</f>
        <v>5.12</v>
      </c>
      <c r="AM950" s="14">
        <f>IFERROR(__xludf.DUMMYFUNCTION("""COMPUTED_VALUE"""),5.05)</f>
        <v>5.05</v>
      </c>
      <c r="AN950" s="14">
        <f>IFERROR(__xludf.DUMMYFUNCTION("""COMPUTED_VALUE"""),5.18)</f>
        <v>5.18</v>
      </c>
      <c r="AO950" s="14">
        <f>IFERROR(__xludf.DUMMYFUNCTION("""COMPUTED_VALUE"""),5.104)</f>
        <v>5.104</v>
      </c>
      <c r="AP950" s="14">
        <f>IFERROR(__xludf.DUMMYFUNCTION("""COMPUTED_VALUE"""),30.0)</f>
        <v>30</v>
      </c>
      <c r="AQ950" s="14">
        <f>IFERROR(__xludf.DUMMYFUNCTION("""COMPUTED_VALUE"""),45.0)</f>
        <v>45</v>
      </c>
      <c r="AR950" s="14">
        <f>IFERROR(__xludf.DUMMYFUNCTION("""COMPUTED_VALUE"""),14.0)</f>
        <v>14</v>
      </c>
      <c r="AS950" s="14">
        <f>IFERROR(__xludf.DUMMYFUNCTION("""COMPUTED_VALUE"""),1.0)</f>
        <v>1</v>
      </c>
      <c r="AT950" s="14">
        <f>IFERROR(__xludf.DUMMYFUNCTION("""COMPUTED_VALUE"""),0.07)</f>
        <v>0.07</v>
      </c>
      <c r="AU950" s="14">
        <f>IFERROR(__xludf.DUMMYFUNCTION("""COMPUTED_VALUE"""),1.529E7)</f>
        <v>15290000</v>
      </c>
      <c r="AV950" s="14">
        <f>IFERROR(__xludf.DUMMYFUNCTION("""COMPUTED_VALUE"""),1.39)</f>
        <v>1.39</v>
      </c>
      <c r="AW950" s="14">
        <f>IFERROR(__xludf.DUMMYFUNCTION("""COMPUTED_VALUE"""),12.0)</f>
        <v>12</v>
      </c>
      <c r="AX950" s="14">
        <f>IFERROR(__xludf.DUMMYFUNCTION("""COMPUTED_VALUE"""),1.201E7)</f>
        <v>12010000</v>
      </c>
      <c r="AY950" s="14">
        <f>IFERROR(__xludf.DUMMYFUNCTION("""COMPUTED_VALUE"""),1.2)</f>
        <v>1.2</v>
      </c>
      <c r="AZ950" s="14">
        <f>IFERROR(__xludf.DUMMYFUNCTION("""COMPUTED_VALUE"""),0.09)</f>
        <v>0.09</v>
      </c>
      <c r="BA950" s="14">
        <f t="shared" si="1"/>
        <v>13.29</v>
      </c>
    </row>
    <row r="951" ht="14.25" customHeight="1">
      <c r="A951" s="10" t="str">
        <f>IFERROR(__xludf.DUMMYFUNCTION("""COMPUTED_VALUE"""),"051023DU01")</f>
        <v>051023DU01</v>
      </c>
      <c r="B951" s="12" t="str">
        <f>IFERROR(__xludf.DUMMYFUNCTION("""COMPUTED_VALUE"""),"QCH-La Orquídea")</f>
        <v>QCH-La Orquídea</v>
      </c>
      <c r="C951" s="12"/>
      <c r="D951" s="12"/>
      <c r="E951" s="44">
        <f>IFERROR(__xludf.DUMMYFUNCTION("""COMPUTED_VALUE"""),45204.0)</f>
        <v>45204</v>
      </c>
      <c r="F951" s="12" t="str">
        <f>IFERROR(__xludf.DUMMYFUNCTION("""COMPUTED_VALUE"""),"TIPO I")</f>
        <v>TIPO I</v>
      </c>
      <c r="G951" s="12" t="str">
        <f>IFERROR(__xludf.DUMMYFUNCTION("""COMPUTED_VALUE"""),"Canal en concreto, no se observa color, no se percibe olor")</f>
        <v>Canal en concreto, no se observa color, no se percibe olor</v>
      </c>
      <c r="H951" s="45">
        <f>IFERROR(__xludf.DUMMYFUNCTION("""COMPUTED_VALUE"""),0.25)</f>
        <v>0.25</v>
      </c>
      <c r="I951" s="45">
        <f>IFERROR(__xludf.DUMMYFUNCTION("""COMPUTED_VALUE"""),0.3333333333321207)</f>
        <v>0.3333333333</v>
      </c>
      <c r="J951" s="12">
        <f>IFERROR(__xludf.DUMMYFUNCTION("""COMPUTED_VALUE"""),0.4)</f>
        <v>0.4</v>
      </c>
      <c r="K951" s="12">
        <f>IFERROR(__xludf.DUMMYFUNCTION("""COMPUTED_VALUE"""),0.02)</f>
        <v>0.02</v>
      </c>
      <c r="L951" s="14">
        <f>IFERROR(__xludf.DUMMYFUNCTION("""COMPUTED_VALUE"""),0.2537)</f>
        <v>0.2537</v>
      </c>
      <c r="M951" s="14">
        <f>IFERROR(__xludf.DUMMYFUNCTION("""COMPUTED_VALUE"""),0.3356)</f>
        <v>0.3356</v>
      </c>
      <c r="N951" s="14">
        <f>IFERROR(__xludf.DUMMYFUNCTION("""COMPUTED_VALUE"""),0.3333)</f>
        <v>0.3333</v>
      </c>
      <c r="O951" s="14">
        <f>IFERROR(__xludf.DUMMYFUNCTION("""COMPUTED_VALUE"""),0.312)</f>
        <v>0.312</v>
      </c>
      <c r="P951" s="14">
        <f>IFERROR(__xludf.DUMMYFUNCTION("""COMPUTED_VALUE"""),0.3208)</f>
        <v>0.3208</v>
      </c>
      <c r="Q951" s="14">
        <f>IFERROR(__xludf.DUMMYFUNCTION("""COMPUTED_VALUE"""),0.311)</f>
        <v>0.311</v>
      </c>
      <c r="R951" s="48">
        <f>IFERROR(__xludf.DUMMYFUNCTION("""COMPUTED_VALUE"""),7.73)</f>
        <v>7.73</v>
      </c>
      <c r="S951" s="48">
        <f>IFERROR(__xludf.DUMMYFUNCTION("""COMPUTED_VALUE"""),7.85)</f>
        <v>7.85</v>
      </c>
      <c r="T951" s="48">
        <f>IFERROR(__xludf.DUMMYFUNCTION("""COMPUTED_VALUE"""),7.74)</f>
        <v>7.74</v>
      </c>
      <c r="U951" s="48">
        <f>IFERROR(__xludf.DUMMYFUNCTION("""COMPUTED_VALUE"""),7.61)</f>
        <v>7.61</v>
      </c>
      <c r="V951" s="48">
        <f>IFERROR(__xludf.DUMMYFUNCTION("""COMPUTED_VALUE"""),7.88)</f>
        <v>7.88</v>
      </c>
      <c r="W951" s="14">
        <f>IFERROR(__xludf.DUMMYFUNCTION("""COMPUTED_VALUE"""),7.7620000000000005)</f>
        <v>7.762</v>
      </c>
      <c r="X951" s="14">
        <f>IFERROR(__xludf.DUMMYFUNCTION("""COMPUTED_VALUE"""),14.7)</f>
        <v>14.7</v>
      </c>
      <c r="Y951" s="14">
        <f>IFERROR(__xludf.DUMMYFUNCTION("""COMPUTED_VALUE"""),14.6)</f>
        <v>14.6</v>
      </c>
      <c r="Z951" s="14">
        <f>IFERROR(__xludf.DUMMYFUNCTION("""COMPUTED_VALUE"""),14.6)</f>
        <v>14.6</v>
      </c>
      <c r="AA951" s="14">
        <f>IFERROR(__xludf.DUMMYFUNCTION("""COMPUTED_VALUE"""),14.8)</f>
        <v>14.8</v>
      </c>
      <c r="AB951" s="14">
        <f>IFERROR(__xludf.DUMMYFUNCTION("""COMPUTED_VALUE"""),15.0)</f>
        <v>15</v>
      </c>
      <c r="AC951" s="14">
        <f>IFERROR(__xludf.DUMMYFUNCTION("""COMPUTED_VALUE"""),14.74)</f>
        <v>14.74</v>
      </c>
      <c r="AD951" s="48">
        <f>IFERROR(__xludf.DUMMYFUNCTION("""COMPUTED_VALUE"""),640.0)</f>
        <v>640</v>
      </c>
      <c r="AE951" s="48">
        <f>IFERROR(__xludf.DUMMYFUNCTION("""COMPUTED_VALUE"""),663.0)</f>
        <v>663</v>
      </c>
      <c r="AF951" s="48">
        <f>IFERROR(__xludf.DUMMYFUNCTION("""COMPUTED_VALUE"""),653.0)</f>
        <v>653</v>
      </c>
      <c r="AG951" s="48">
        <f>IFERROR(__xludf.DUMMYFUNCTION("""COMPUTED_VALUE"""),647.0)</f>
        <v>647</v>
      </c>
      <c r="AH951" s="48">
        <f>IFERROR(__xludf.DUMMYFUNCTION("""COMPUTED_VALUE"""),584.0)</f>
        <v>584</v>
      </c>
      <c r="AI951" s="14">
        <f>IFERROR(__xludf.DUMMYFUNCTION("""COMPUTED_VALUE"""),637.4)</f>
        <v>637.4</v>
      </c>
      <c r="AJ951" s="14">
        <f>IFERROR(__xludf.DUMMYFUNCTION("""COMPUTED_VALUE"""),5.28)</f>
        <v>5.28</v>
      </c>
      <c r="AK951" s="14">
        <f>IFERROR(__xludf.DUMMYFUNCTION("""COMPUTED_VALUE"""),5.37)</f>
        <v>5.37</v>
      </c>
      <c r="AL951" s="14">
        <f>IFERROR(__xludf.DUMMYFUNCTION("""COMPUTED_VALUE"""),5.38)</f>
        <v>5.38</v>
      </c>
      <c r="AM951" s="14">
        <f>IFERROR(__xludf.DUMMYFUNCTION("""COMPUTED_VALUE"""),5.21)</f>
        <v>5.21</v>
      </c>
      <c r="AN951" s="14">
        <f>IFERROR(__xludf.DUMMYFUNCTION("""COMPUTED_VALUE"""),5.07)</f>
        <v>5.07</v>
      </c>
      <c r="AO951" s="14">
        <f>IFERROR(__xludf.DUMMYFUNCTION("""COMPUTED_VALUE"""),5.2620000000000005)</f>
        <v>5.262</v>
      </c>
      <c r="AP951" s="14">
        <f>IFERROR(__xludf.DUMMYFUNCTION("""COMPUTED_VALUE"""),25.0)</f>
        <v>25</v>
      </c>
      <c r="AQ951" s="14">
        <f>IFERROR(__xludf.DUMMYFUNCTION("""COMPUTED_VALUE"""),39.0)</f>
        <v>39</v>
      </c>
      <c r="AR951" s="14">
        <f>IFERROR(__xludf.DUMMYFUNCTION("""COMPUTED_VALUE"""),16.0)</f>
        <v>16</v>
      </c>
      <c r="AS951" s="14">
        <f>IFERROR(__xludf.DUMMYFUNCTION("""COMPUTED_VALUE"""),1.0)</f>
        <v>1</v>
      </c>
      <c r="AT951" s="14">
        <f>IFERROR(__xludf.DUMMYFUNCTION("""COMPUTED_VALUE"""),0.88)</f>
        <v>0.88</v>
      </c>
      <c r="AU951" s="14">
        <f>IFERROR(__xludf.DUMMYFUNCTION("""COMPUTED_VALUE"""),95800.0)</f>
        <v>95800</v>
      </c>
      <c r="AV951" s="14">
        <f>IFERROR(__xludf.DUMMYFUNCTION("""COMPUTED_VALUE"""),0.29)</f>
        <v>0.29</v>
      </c>
      <c r="AW951" s="14">
        <f>IFERROR(__xludf.DUMMYFUNCTION("""COMPUTED_VALUE"""),6.7)</f>
        <v>6.7</v>
      </c>
      <c r="AX951" s="14">
        <f>IFERROR(__xludf.DUMMYFUNCTION("""COMPUTED_VALUE"""),80100.0)</f>
        <v>80100</v>
      </c>
      <c r="AY951" s="14">
        <f>IFERROR(__xludf.DUMMYFUNCTION("""COMPUTED_VALUE"""),1.8)</f>
        <v>1.8</v>
      </c>
      <c r="AZ951" s="14">
        <f>IFERROR(__xludf.DUMMYFUNCTION("""COMPUTED_VALUE"""),0.081)</f>
        <v>0.081</v>
      </c>
      <c r="BA951" s="14">
        <f t="shared" si="1"/>
        <v>8.581</v>
      </c>
    </row>
    <row r="952" ht="14.25" customHeight="1">
      <c r="A952" s="10" t="str">
        <f>IFERROR(__xludf.DUMMYFUNCTION("""COMPUTED_VALUE"""),"031023FE01")</f>
        <v>031023FE01</v>
      </c>
      <c r="B952" s="12" t="str">
        <f>IFERROR(__xludf.DUMMYFUNCTION("""COMPUTED_VALUE"""),"CMO-Alhambra")</f>
        <v>CMO-Alhambra</v>
      </c>
      <c r="C952" s="12"/>
      <c r="D952" s="12"/>
      <c r="E952" s="44">
        <f>IFERROR(__xludf.DUMMYFUNCTION("""COMPUTED_VALUE"""),45202.0)</f>
        <v>45202</v>
      </c>
      <c r="F952" s="12" t="str">
        <f>IFERROR(__xludf.DUMMYFUNCTION("""COMPUTED_VALUE"""),"TIPO I")</f>
        <v>TIPO I</v>
      </c>
      <c r="G952" s="12" t="str">
        <f>IFERROR(__xludf.DUMMYFUNCTION("""COMPUTED_VALUE"""),"Monitoreo realizado en canal artificial estructura trapezoidal en concreto con lecho lodoso. Durante la toma de muestra se observan residuos sólidos y material flotante en el cauce del canal, se percibe olor y se observa color. Altitud: 2554 msnm.  ")</f>
        <v>Monitoreo realizado en canal artificial estructura trapezoidal en concreto con lecho lodoso. Durante la toma de muestra se observan residuos sólidos y material flotante en el cauce del canal, se percibe olor y se observa color. Altitud: 2554 msnm.  </v>
      </c>
      <c r="H952" s="45">
        <f>IFERROR(__xludf.DUMMYFUNCTION("""COMPUTED_VALUE"""),0.3333333333321207)</f>
        <v>0.3333333333</v>
      </c>
      <c r="I952" s="45">
        <f>IFERROR(__xludf.DUMMYFUNCTION("""COMPUTED_VALUE"""),0.4166666666678793)</f>
        <v>0.4166666667</v>
      </c>
      <c r="J952" s="12">
        <f>IFERROR(__xludf.DUMMYFUNCTION("""COMPUTED_VALUE"""),11.3)</f>
        <v>11.3</v>
      </c>
      <c r="K952" s="12">
        <f>IFERROR(__xludf.DUMMYFUNCTION("""COMPUTED_VALUE"""),0.2)</f>
        <v>0.2</v>
      </c>
      <c r="L952" s="14">
        <f>IFERROR(__xludf.DUMMYFUNCTION("""COMPUTED_VALUE"""),233.984)</f>
        <v>233.984</v>
      </c>
      <c r="M952" s="14">
        <f>IFERROR(__xludf.DUMMYFUNCTION("""COMPUTED_VALUE"""),242.681)</f>
        <v>242.681</v>
      </c>
      <c r="N952" s="14">
        <f>IFERROR(__xludf.DUMMYFUNCTION("""COMPUTED_VALUE"""),251.229)</f>
        <v>251.229</v>
      </c>
      <c r="O952" s="14">
        <f>IFERROR(__xludf.DUMMYFUNCTION("""COMPUTED_VALUE"""),262.193)</f>
        <v>262.193</v>
      </c>
      <c r="P952" s="14">
        <f>IFERROR(__xludf.DUMMYFUNCTION("""COMPUTED_VALUE"""),270.638)</f>
        <v>270.638</v>
      </c>
      <c r="Q952" s="14">
        <f>IFERROR(__xludf.DUMMYFUNCTION("""COMPUTED_VALUE"""),252.145)</f>
        <v>252.145</v>
      </c>
      <c r="R952" s="48">
        <f>IFERROR(__xludf.DUMMYFUNCTION("""COMPUTED_VALUE"""),7.8)</f>
        <v>7.8</v>
      </c>
      <c r="S952" s="48">
        <f>IFERROR(__xludf.DUMMYFUNCTION("""COMPUTED_VALUE"""),7.55)</f>
        <v>7.55</v>
      </c>
      <c r="T952" s="48">
        <f>IFERROR(__xludf.DUMMYFUNCTION("""COMPUTED_VALUE"""),7.5)</f>
        <v>7.5</v>
      </c>
      <c r="U952" s="48">
        <f>IFERROR(__xludf.DUMMYFUNCTION("""COMPUTED_VALUE"""),7.37)</f>
        <v>7.37</v>
      </c>
      <c r="V952" s="48">
        <f>IFERROR(__xludf.DUMMYFUNCTION("""COMPUTED_VALUE"""),7.76)</f>
        <v>7.76</v>
      </c>
      <c r="W952" s="14">
        <f>IFERROR(__xludf.DUMMYFUNCTION("""COMPUTED_VALUE"""),7.596000000000001)</f>
        <v>7.596</v>
      </c>
      <c r="X952" s="14">
        <f>IFERROR(__xludf.DUMMYFUNCTION("""COMPUTED_VALUE"""),19.3)</f>
        <v>19.3</v>
      </c>
      <c r="Y952" s="14">
        <f>IFERROR(__xludf.DUMMYFUNCTION("""COMPUTED_VALUE"""),19.6)</f>
        <v>19.6</v>
      </c>
      <c r="Z952" s="14">
        <f>IFERROR(__xludf.DUMMYFUNCTION("""COMPUTED_VALUE"""),19.7)</f>
        <v>19.7</v>
      </c>
      <c r="AA952" s="14">
        <f>IFERROR(__xludf.DUMMYFUNCTION("""COMPUTED_VALUE"""),19.7)</f>
        <v>19.7</v>
      </c>
      <c r="AB952" s="14">
        <f>IFERROR(__xludf.DUMMYFUNCTION("""COMPUTED_VALUE"""),21.0)</f>
        <v>21</v>
      </c>
      <c r="AC952" s="14">
        <f>IFERROR(__xludf.DUMMYFUNCTION("""COMPUTED_VALUE"""),19.860000000000003)</f>
        <v>19.86</v>
      </c>
      <c r="AD952" s="48">
        <f>IFERROR(__xludf.DUMMYFUNCTION("""COMPUTED_VALUE"""),479.0)</f>
        <v>479</v>
      </c>
      <c r="AE952" s="48">
        <f>IFERROR(__xludf.DUMMYFUNCTION("""COMPUTED_VALUE"""),491.0)</f>
        <v>491</v>
      </c>
      <c r="AF952" s="48">
        <f>IFERROR(__xludf.DUMMYFUNCTION("""COMPUTED_VALUE"""),494.0)</f>
        <v>494</v>
      </c>
      <c r="AG952" s="48">
        <f>IFERROR(__xludf.DUMMYFUNCTION("""COMPUTED_VALUE"""),452.0)</f>
        <v>452</v>
      </c>
      <c r="AH952" s="48">
        <f>IFERROR(__xludf.DUMMYFUNCTION("""COMPUTED_VALUE"""),500.0)</f>
        <v>500</v>
      </c>
      <c r="AI952" s="14">
        <f>IFERROR(__xludf.DUMMYFUNCTION("""COMPUTED_VALUE"""),483.2)</f>
        <v>483.2</v>
      </c>
      <c r="AJ952" s="14">
        <f>IFERROR(__xludf.DUMMYFUNCTION("""COMPUTED_VALUE"""),2.03)</f>
        <v>2.03</v>
      </c>
      <c r="AK952" s="14">
        <f>IFERROR(__xludf.DUMMYFUNCTION("""COMPUTED_VALUE"""),1.94)</f>
        <v>1.94</v>
      </c>
      <c r="AL952" s="14">
        <f>IFERROR(__xludf.DUMMYFUNCTION("""COMPUTED_VALUE"""),1.83)</f>
        <v>1.83</v>
      </c>
      <c r="AM952" s="14">
        <f>IFERROR(__xludf.DUMMYFUNCTION("""COMPUTED_VALUE"""),1.17)</f>
        <v>1.17</v>
      </c>
      <c r="AN952" s="14">
        <f>IFERROR(__xludf.DUMMYFUNCTION("""COMPUTED_VALUE"""),1.32)</f>
        <v>1.32</v>
      </c>
      <c r="AO952" s="14">
        <f>IFERROR(__xludf.DUMMYFUNCTION("""COMPUTED_VALUE"""),1.658)</f>
        <v>1.658</v>
      </c>
      <c r="AP952" s="14">
        <f>IFERROR(__xludf.DUMMYFUNCTION("""COMPUTED_VALUE"""),104.0)</f>
        <v>104</v>
      </c>
      <c r="AQ952" s="14">
        <f>IFERROR(__xludf.DUMMYFUNCTION("""COMPUTED_VALUE"""),153.0)</f>
        <v>153</v>
      </c>
      <c r="AR952" s="14">
        <f>IFERROR(__xludf.DUMMYFUNCTION("""COMPUTED_VALUE"""),64.0)</f>
        <v>64</v>
      </c>
      <c r="AS952" s="14">
        <f>IFERROR(__xludf.DUMMYFUNCTION("""COMPUTED_VALUE"""),31.0)</f>
        <v>31</v>
      </c>
      <c r="AT952" s="14">
        <f>IFERROR(__xludf.DUMMYFUNCTION("""COMPUTED_VALUE"""),1.25)</f>
        <v>1.25</v>
      </c>
      <c r="AU952" s="14">
        <f>IFERROR(__xludf.DUMMYFUNCTION("""COMPUTED_VALUE"""),1.467E7)</f>
        <v>14670000</v>
      </c>
      <c r="AV952" s="14">
        <f>IFERROR(__xludf.DUMMYFUNCTION("""COMPUTED_VALUE"""),3.13)</f>
        <v>3.13</v>
      </c>
      <c r="AW952" s="14">
        <f>IFERROR(__xludf.DUMMYFUNCTION("""COMPUTED_VALUE"""),31.9)</f>
        <v>31.9</v>
      </c>
      <c r="AX952" s="14">
        <f>IFERROR(__xludf.DUMMYFUNCTION("""COMPUTED_VALUE"""),6240000.0)</f>
        <v>6240000</v>
      </c>
      <c r="AY952" s="14">
        <f>IFERROR(__xludf.DUMMYFUNCTION("""COMPUTED_VALUE"""),1.8)</f>
        <v>1.8</v>
      </c>
      <c r="AZ952" s="14">
        <f>IFERROR(__xludf.DUMMYFUNCTION("""COMPUTED_VALUE"""),0.007)</f>
        <v>0.007</v>
      </c>
      <c r="BA952" s="14">
        <f t="shared" si="1"/>
        <v>33.707</v>
      </c>
    </row>
    <row r="953" ht="14.25" customHeight="1">
      <c r="A953" s="10" t="str">
        <f>IFERROR(__xludf.DUMMYFUNCTION("""COMPUTED_VALUE"""),"021023LA02")</f>
        <v>021023LA02</v>
      </c>
      <c r="B953" s="12" t="str">
        <f>IFERROR(__xludf.DUMMYFUNCTION("""COMPUTED_VALUE"""),"CRN-Quebrada Chicó")</f>
        <v>CRN-Quebrada Chicó</v>
      </c>
      <c r="C953" s="12"/>
      <c r="D953" s="12"/>
      <c r="E953" s="44">
        <f>IFERROR(__xludf.DUMMYFUNCTION("""COMPUTED_VALUE"""),45201.0)</f>
        <v>45201</v>
      </c>
      <c r="F953" s="12" t="str">
        <f>IFERROR(__xludf.DUMMYFUNCTION("""COMPUTED_VALUE"""),"TIPO I")</f>
        <v>TIPO I</v>
      </c>
      <c r="G953" s="12" t="str">
        <f>IFERROR(__xludf.DUMMYFUNCTION("""COMPUTED_VALUE"""),"Canal en concreto, con cobertura vegetal arbórea, no se observa color ni se percibe olor, toma de la muestra a la salida de la tubería, la cual tiene un diámetro interno de 1.68m.
Altitud: 2610 msnm. ")</f>
        <v>Canal en concreto, con cobertura vegetal arbórea, no se observa color ni se percibe olor, toma de la muestra a la salida de la tubería, la cual tiene un diámetro interno de 1.68m.
Altitud: 2610 msnm. </v>
      </c>
      <c r="H953" s="45">
        <f>IFERROR(__xludf.DUMMYFUNCTION("""COMPUTED_VALUE"""),0.4166666666678793)</f>
        <v>0.4166666667</v>
      </c>
      <c r="I953" s="45">
        <f>IFERROR(__xludf.DUMMYFUNCTION("""COMPUTED_VALUE"""),0.5)</f>
        <v>0.5</v>
      </c>
      <c r="J953" s="12"/>
      <c r="K953" s="12"/>
      <c r="L953" s="14">
        <f>IFERROR(__xludf.DUMMYFUNCTION("""COMPUTED_VALUE"""),3.081)</f>
        <v>3.081</v>
      </c>
      <c r="M953" s="14">
        <f>IFERROR(__xludf.DUMMYFUNCTION("""COMPUTED_VALUE"""),2.414)</f>
        <v>2.414</v>
      </c>
      <c r="N953" s="14">
        <f>IFERROR(__xludf.DUMMYFUNCTION("""COMPUTED_VALUE"""),2.805)</f>
        <v>2.805</v>
      </c>
      <c r="O953" s="14">
        <f>IFERROR(__xludf.DUMMYFUNCTION("""COMPUTED_VALUE"""),3.337)</f>
        <v>3.337</v>
      </c>
      <c r="P953" s="14">
        <f>IFERROR(__xludf.DUMMYFUNCTION("""COMPUTED_VALUE"""),2.907)</f>
        <v>2.907</v>
      </c>
      <c r="Q953" s="14">
        <f>IFERROR(__xludf.DUMMYFUNCTION("""COMPUTED_VALUE"""),2.909)</f>
        <v>2.909</v>
      </c>
      <c r="R953" s="48">
        <f>IFERROR(__xludf.DUMMYFUNCTION("""COMPUTED_VALUE"""),7.71)</f>
        <v>7.71</v>
      </c>
      <c r="S953" s="48">
        <f>IFERROR(__xludf.DUMMYFUNCTION("""COMPUTED_VALUE"""),7.87)</f>
        <v>7.87</v>
      </c>
      <c r="T953" s="48">
        <f>IFERROR(__xludf.DUMMYFUNCTION("""COMPUTED_VALUE"""),7.64)</f>
        <v>7.64</v>
      </c>
      <c r="U953" s="48">
        <f>IFERROR(__xludf.DUMMYFUNCTION("""COMPUTED_VALUE"""),7.76)</f>
        <v>7.76</v>
      </c>
      <c r="V953" s="48">
        <f>IFERROR(__xludf.DUMMYFUNCTION("""COMPUTED_VALUE"""),7.78)</f>
        <v>7.78</v>
      </c>
      <c r="W953" s="14">
        <f>IFERROR(__xludf.DUMMYFUNCTION("""COMPUTED_VALUE"""),7.752)</f>
        <v>7.752</v>
      </c>
      <c r="X953" s="14">
        <f>IFERROR(__xludf.DUMMYFUNCTION("""COMPUTED_VALUE"""),15.7)</f>
        <v>15.7</v>
      </c>
      <c r="Y953" s="14">
        <f>IFERROR(__xludf.DUMMYFUNCTION("""COMPUTED_VALUE"""),15.7)</f>
        <v>15.7</v>
      </c>
      <c r="Z953" s="14">
        <f>IFERROR(__xludf.DUMMYFUNCTION("""COMPUTED_VALUE"""),15.8)</f>
        <v>15.8</v>
      </c>
      <c r="AA953" s="14">
        <f>IFERROR(__xludf.DUMMYFUNCTION("""COMPUTED_VALUE"""),15.8)</f>
        <v>15.8</v>
      </c>
      <c r="AB953" s="14">
        <f>IFERROR(__xludf.DUMMYFUNCTION("""COMPUTED_VALUE"""),15.9)</f>
        <v>15.9</v>
      </c>
      <c r="AC953" s="14">
        <f>IFERROR(__xludf.DUMMYFUNCTION("""COMPUTED_VALUE"""),15.780000000000001)</f>
        <v>15.78</v>
      </c>
      <c r="AD953" s="48">
        <f>IFERROR(__xludf.DUMMYFUNCTION("""COMPUTED_VALUE"""),101.0)</f>
        <v>101</v>
      </c>
      <c r="AE953" s="48">
        <f>IFERROR(__xludf.DUMMYFUNCTION("""COMPUTED_VALUE"""),86.0)</f>
        <v>86</v>
      </c>
      <c r="AF953" s="48">
        <f>IFERROR(__xludf.DUMMYFUNCTION("""COMPUTED_VALUE"""),73.1)</f>
        <v>73.1</v>
      </c>
      <c r="AG953" s="48">
        <f>IFERROR(__xludf.DUMMYFUNCTION("""COMPUTED_VALUE"""),76.8)</f>
        <v>76.8</v>
      </c>
      <c r="AH953" s="48">
        <f>IFERROR(__xludf.DUMMYFUNCTION("""COMPUTED_VALUE"""),77.3)</f>
        <v>77.3</v>
      </c>
      <c r="AI953" s="14">
        <f>IFERROR(__xludf.DUMMYFUNCTION("""COMPUTED_VALUE"""),82.84)</f>
        <v>82.84</v>
      </c>
      <c r="AJ953" s="14">
        <f>IFERROR(__xludf.DUMMYFUNCTION("""COMPUTED_VALUE"""),5.25)</f>
        <v>5.25</v>
      </c>
      <c r="AK953" s="14">
        <f>IFERROR(__xludf.DUMMYFUNCTION("""COMPUTED_VALUE"""),5.13)</f>
        <v>5.13</v>
      </c>
      <c r="AL953" s="14">
        <f>IFERROR(__xludf.DUMMYFUNCTION("""COMPUTED_VALUE"""),5.21)</f>
        <v>5.21</v>
      </c>
      <c r="AM953" s="14">
        <f>IFERROR(__xludf.DUMMYFUNCTION("""COMPUTED_VALUE"""),5.36)</f>
        <v>5.36</v>
      </c>
      <c r="AN953" s="14">
        <f>IFERROR(__xludf.DUMMYFUNCTION("""COMPUTED_VALUE"""),5.29)</f>
        <v>5.29</v>
      </c>
      <c r="AO953" s="14">
        <f>IFERROR(__xludf.DUMMYFUNCTION("""COMPUTED_VALUE"""),5.247999999999999)</f>
        <v>5.248</v>
      </c>
      <c r="AP953" s="14">
        <f>IFERROR(__xludf.DUMMYFUNCTION("""COMPUTED_VALUE"""),9.0)</f>
        <v>9</v>
      </c>
      <c r="AQ953" s="14">
        <f>IFERROR(__xludf.DUMMYFUNCTION("""COMPUTED_VALUE"""),14.0)</f>
        <v>14</v>
      </c>
      <c r="AR953" s="14">
        <f>IFERROR(__xludf.DUMMYFUNCTION("""COMPUTED_VALUE"""),5.0)</f>
        <v>5</v>
      </c>
      <c r="AS953" s="14">
        <f>IFERROR(__xludf.DUMMYFUNCTION("""COMPUTED_VALUE"""),1.0)</f>
        <v>1</v>
      </c>
      <c r="AT953" s="14">
        <f>IFERROR(__xludf.DUMMYFUNCTION("""COMPUTED_VALUE"""),0.51)</f>
        <v>0.51</v>
      </c>
      <c r="AU953" s="14">
        <f>IFERROR(__xludf.DUMMYFUNCTION("""COMPUTED_VALUE"""),192400.0)</f>
        <v>192400</v>
      </c>
      <c r="AV953" s="14">
        <f>IFERROR(__xludf.DUMMYFUNCTION("""COMPUTED_VALUE"""),0.26)</f>
        <v>0.26</v>
      </c>
      <c r="AW953" s="14">
        <f>IFERROR(__xludf.DUMMYFUNCTION("""COMPUTED_VALUE"""),2.0)</f>
        <v>2</v>
      </c>
      <c r="AX953" s="14">
        <f>IFERROR(__xludf.DUMMYFUNCTION("""COMPUTED_VALUE"""),181100.0)</f>
        <v>181100</v>
      </c>
      <c r="AY953" s="14">
        <f>IFERROR(__xludf.DUMMYFUNCTION("""COMPUTED_VALUE"""),1.1)</f>
        <v>1.1</v>
      </c>
      <c r="AZ953" s="14">
        <f>IFERROR(__xludf.DUMMYFUNCTION("""COMPUTED_VALUE"""),0.112)</f>
        <v>0.112</v>
      </c>
      <c r="BA953" s="14">
        <f t="shared" si="1"/>
        <v>3.212</v>
      </c>
    </row>
    <row r="954" ht="14.25" customHeight="1">
      <c r="A954" s="10" t="str">
        <f>IFERROR(__xludf.DUMMYFUNCTION("""COMPUTED_VALUE"""),"041023DU01")</f>
        <v>041023DU01</v>
      </c>
      <c r="B954" s="12" t="str">
        <f>IFERROR(__xludf.DUMMYFUNCTION("""COMPUTED_VALUE"""),"QSL-Barranquillita")</f>
        <v>QSL-Barranquillita</v>
      </c>
      <c r="C954" s="12"/>
      <c r="D954" s="12"/>
      <c r="E954" s="44">
        <f>IFERROR(__xludf.DUMMYFUNCTION("""COMPUTED_VALUE"""),45203.0)</f>
        <v>45203</v>
      </c>
      <c r="F954" s="12" t="str">
        <f>IFERROR(__xludf.DUMMYFUNCTION("""COMPUTED_VALUE"""),"TIPO I")</f>
        <v>TIPO I</v>
      </c>
      <c r="G954" s="12" t="str">
        <f>IFERROR(__xludf.DUMMYFUNCTION("""COMPUTED_VALUE"""),"Estructura del canal en concreto, cobertura vegetal arbustiva con presencia de pastizales  en las laderas del cauce, durante el monitoreo no se observa color, no se percibe olor. 
Altitud: 2649 msnm. ")</f>
        <v>Estructura del canal en concreto, cobertura vegetal arbustiva con presencia de pastizales  en las laderas del cauce, durante el monitoreo no se observa color, no se percibe olor. 
Altitud: 2649 msnm. </v>
      </c>
      <c r="H954" s="45">
        <f>IFERROR(__xludf.DUMMYFUNCTION("""COMPUTED_VALUE"""),0.25)</f>
        <v>0.25</v>
      </c>
      <c r="I954" s="45">
        <f>IFERROR(__xludf.DUMMYFUNCTION("""COMPUTED_VALUE"""),0.3333333333321207)</f>
        <v>0.3333333333</v>
      </c>
      <c r="J954" s="12">
        <f>IFERROR(__xludf.DUMMYFUNCTION("""COMPUTED_VALUE"""),2.1)</f>
        <v>2.1</v>
      </c>
      <c r="K954" s="12">
        <f>IFERROR(__xludf.DUMMYFUNCTION("""COMPUTED_VALUE"""),0.08)</f>
        <v>0.08</v>
      </c>
      <c r="L954" s="14">
        <f>IFERROR(__xludf.DUMMYFUNCTION("""COMPUTED_VALUE"""),37.336)</f>
        <v>37.336</v>
      </c>
      <c r="M954" s="14">
        <f>IFERROR(__xludf.DUMMYFUNCTION("""COMPUTED_VALUE"""),38.522)</f>
        <v>38.522</v>
      </c>
      <c r="N954" s="14">
        <f>IFERROR(__xludf.DUMMYFUNCTION("""COMPUTED_VALUE"""),39.999)</f>
        <v>39.999</v>
      </c>
      <c r="O954" s="14">
        <f>IFERROR(__xludf.DUMMYFUNCTION("""COMPUTED_VALUE"""),38.942)</f>
        <v>38.942</v>
      </c>
      <c r="P954" s="14">
        <f>IFERROR(__xludf.DUMMYFUNCTION("""COMPUTED_VALUE"""),39.52)</f>
        <v>39.52</v>
      </c>
      <c r="Q954" s="14">
        <f>IFERROR(__xludf.DUMMYFUNCTION("""COMPUTED_VALUE"""),38.864)</f>
        <v>38.864</v>
      </c>
      <c r="R954" s="48">
        <f>IFERROR(__xludf.DUMMYFUNCTION("""COMPUTED_VALUE"""),8.14)</f>
        <v>8.14</v>
      </c>
      <c r="S954" s="48">
        <f>IFERROR(__xludf.DUMMYFUNCTION("""COMPUTED_VALUE"""),8.1)</f>
        <v>8.1</v>
      </c>
      <c r="T954" s="48">
        <f>IFERROR(__xludf.DUMMYFUNCTION("""COMPUTED_VALUE"""),8.05)</f>
        <v>8.05</v>
      </c>
      <c r="U954" s="48">
        <f>IFERROR(__xludf.DUMMYFUNCTION("""COMPUTED_VALUE"""),7.99)</f>
        <v>7.99</v>
      </c>
      <c r="V954" s="48">
        <f>IFERROR(__xludf.DUMMYFUNCTION("""COMPUTED_VALUE"""),8.09)</f>
        <v>8.09</v>
      </c>
      <c r="W954" s="14">
        <f>IFERROR(__xludf.DUMMYFUNCTION("""COMPUTED_VALUE"""),8.074000000000002)</f>
        <v>8.074</v>
      </c>
      <c r="X954" s="14">
        <f>IFERROR(__xludf.DUMMYFUNCTION("""COMPUTED_VALUE"""),14.4)</f>
        <v>14.4</v>
      </c>
      <c r="Y954" s="14">
        <f>IFERROR(__xludf.DUMMYFUNCTION("""COMPUTED_VALUE"""),14.2)</f>
        <v>14.2</v>
      </c>
      <c r="Z954" s="14">
        <f>IFERROR(__xludf.DUMMYFUNCTION("""COMPUTED_VALUE"""),14.3)</f>
        <v>14.3</v>
      </c>
      <c r="AA954" s="14">
        <f>IFERROR(__xludf.DUMMYFUNCTION("""COMPUTED_VALUE"""),14.4)</f>
        <v>14.4</v>
      </c>
      <c r="AB954" s="14">
        <f>IFERROR(__xludf.DUMMYFUNCTION("""COMPUTED_VALUE"""),14.3)</f>
        <v>14.3</v>
      </c>
      <c r="AC954" s="14">
        <f>IFERROR(__xludf.DUMMYFUNCTION("""COMPUTED_VALUE"""),14.320000000000002)</f>
        <v>14.32</v>
      </c>
      <c r="AD954" s="48">
        <f>IFERROR(__xludf.DUMMYFUNCTION("""COMPUTED_VALUE"""),226.0)</f>
        <v>226</v>
      </c>
      <c r="AE954" s="48">
        <f>IFERROR(__xludf.DUMMYFUNCTION("""COMPUTED_VALUE"""),221.0)</f>
        <v>221</v>
      </c>
      <c r="AF954" s="48">
        <f>IFERROR(__xludf.DUMMYFUNCTION("""COMPUTED_VALUE"""),239.0)</f>
        <v>239</v>
      </c>
      <c r="AG954" s="48">
        <f>IFERROR(__xludf.DUMMYFUNCTION("""COMPUTED_VALUE"""),232.0)</f>
        <v>232</v>
      </c>
      <c r="AH954" s="48">
        <f>IFERROR(__xludf.DUMMYFUNCTION("""COMPUTED_VALUE"""),238.0)</f>
        <v>238</v>
      </c>
      <c r="AI954" s="14">
        <f>IFERROR(__xludf.DUMMYFUNCTION("""COMPUTED_VALUE"""),231.2)</f>
        <v>231.2</v>
      </c>
      <c r="AJ954" s="14">
        <f>IFERROR(__xludf.DUMMYFUNCTION("""COMPUTED_VALUE"""),5.68)</f>
        <v>5.68</v>
      </c>
      <c r="AK954" s="14">
        <f>IFERROR(__xludf.DUMMYFUNCTION("""COMPUTED_VALUE"""),5.37)</f>
        <v>5.37</v>
      </c>
      <c r="AL954" s="14">
        <f>IFERROR(__xludf.DUMMYFUNCTION("""COMPUTED_VALUE"""),5.57)</f>
        <v>5.57</v>
      </c>
      <c r="AM954" s="14">
        <f>IFERROR(__xludf.DUMMYFUNCTION("""COMPUTED_VALUE"""),5.33)</f>
        <v>5.33</v>
      </c>
      <c r="AN954" s="14">
        <f>IFERROR(__xludf.DUMMYFUNCTION("""COMPUTED_VALUE"""),5.55)</f>
        <v>5.55</v>
      </c>
      <c r="AO954" s="14">
        <f>IFERROR(__xludf.DUMMYFUNCTION("""COMPUTED_VALUE"""),5.500000000000001)</f>
        <v>5.5</v>
      </c>
      <c r="AP954" s="14">
        <f>IFERROR(__xludf.DUMMYFUNCTION("""COMPUTED_VALUE"""),17.0)</f>
        <v>17</v>
      </c>
      <c r="AQ954" s="14">
        <f>IFERROR(__xludf.DUMMYFUNCTION("""COMPUTED_VALUE"""),25.0)</f>
        <v>25</v>
      </c>
      <c r="AR954" s="14">
        <f>IFERROR(__xludf.DUMMYFUNCTION("""COMPUTED_VALUE"""),19.0)</f>
        <v>19</v>
      </c>
      <c r="AS954" s="14">
        <f>IFERROR(__xludf.DUMMYFUNCTION("""COMPUTED_VALUE"""),1.0)</f>
        <v>1</v>
      </c>
      <c r="AT954" s="14">
        <f>IFERROR(__xludf.DUMMYFUNCTION("""COMPUTED_VALUE"""),0.07)</f>
        <v>0.07</v>
      </c>
      <c r="AU954" s="14">
        <f>IFERROR(__xludf.DUMMYFUNCTION("""COMPUTED_VALUE"""),1.72E7)</f>
        <v>17200000</v>
      </c>
      <c r="AV954" s="14">
        <f>IFERROR(__xludf.DUMMYFUNCTION("""COMPUTED_VALUE"""),0.66)</f>
        <v>0.66</v>
      </c>
      <c r="AW954" s="14">
        <f>IFERROR(__xludf.DUMMYFUNCTION("""COMPUTED_VALUE"""),8.4)</f>
        <v>8.4</v>
      </c>
      <c r="AX954" s="14">
        <f>IFERROR(__xludf.DUMMYFUNCTION("""COMPUTED_VALUE"""),1.354E7)</f>
        <v>13540000</v>
      </c>
      <c r="AY954" s="14">
        <f>IFERROR(__xludf.DUMMYFUNCTION("""COMPUTED_VALUE"""),0.5)</f>
        <v>0.5</v>
      </c>
      <c r="AZ954" s="14">
        <f>IFERROR(__xludf.DUMMYFUNCTION("""COMPUTED_VALUE"""),0.093)</f>
        <v>0.093</v>
      </c>
      <c r="BA954" s="14">
        <f t="shared" si="1"/>
        <v>8.993</v>
      </c>
    </row>
    <row r="955" ht="14.25" customHeight="1">
      <c r="A955" s="10" t="str">
        <f>IFERROR(__xludf.DUMMYFUNCTION("""COMPUTED_VALUE"""),"041023DU03")</f>
        <v>041023DU03</v>
      </c>
      <c r="B955" s="12" t="str">
        <f>IFERROR(__xludf.DUMMYFUNCTION("""COMPUTED_VALUE"""),"QSL-Alfonso López")</f>
        <v>QSL-Alfonso López</v>
      </c>
      <c r="C955" s="12"/>
      <c r="D955" s="12"/>
      <c r="E955" s="44">
        <f>IFERROR(__xludf.DUMMYFUNCTION("""COMPUTED_VALUE"""),45203.0)</f>
        <v>45203</v>
      </c>
      <c r="F955" s="12" t="str">
        <f>IFERROR(__xludf.DUMMYFUNCTION("""COMPUTED_VALUE"""),"TIPO I")</f>
        <v>TIPO I</v>
      </c>
      <c r="G955" s="12" t="str">
        <f>IFERROR(__xludf.DUMMYFUNCTION("""COMPUTED_VALUE"""),"Lecho natural, rocoso - arenoso, con cobertura vegetal arbórea y pastizales en ambas laderas, durante el monitoreo se percibe olor, se observa color y residuos en el punto de monitoreo. 
Altitud: 2785 msnm. ")</f>
        <v>Lecho natural, rocoso - arenoso, con cobertura vegetal arbórea y pastizales en ambas laderas, durante el monitoreo se percibe olor, se observa color y residuos en el punto de monitoreo. 
Altitud: 2785 msnm. </v>
      </c>
      <c r="H955" s="45">
        <f>IFERROR(__xludf.DUMMYFUNCTION("""COMPUTED_VALUE"""),0.5833333333321207)</f>
        <v>0.5833333333</v>
      </c>
      <c r="I955" s="45">
        <f>IFERROR(__xludf.DUMMYFUNCTION("""COMPUTED_VALUE"""),0.6666666666678793)</f>
        <v>0.6666666667</v>
      </c>
      <c r="J955" s="12">
        <f>IFERROR(__xludf.DUMMYFUNCTION("""COMPUTED_VALUE"""),1.0)</f>
        <v>1</v>
      </c>
      <c r="K955" s="12">
        <f>IFERROR(__xludf.DUMMYFUNCTION("""COMPUTED_VALUE"""),0.09)</f>
        <v>0.09</v>
      </c>
      <c r="L955" s="14">
        <f>IFERROR(__xludf.DUMMYFUNCTION("""COMPUTED_VALUE"""),9.382)</f>
        <v>9.382</v>
      </c>
      <c r="M955" s="14">
        <f>IFERROR(__xludf.DUMMYFUNCTION("""COMPUTED_VALUE"""),10.01)</f>
        <v>10.01</v>
      </c>
      <c r="N955" s="14">
        <f>IFERROR(__xludf.DUMMYFUNCTION("""COMPUTED_VALUE"""),10.174)</f>
        <v>10.174</v>
      </c>
      <c r="O955" s="14">
        <f>IFERROR(__xludf.DUMMYFUNCTION("""COMPUTED_VALUE"""),10.377)</f>
        <v>10.377</v>
      </c>
      <c r="P955" s="14">
        <f>IFERROR(__xludf.DUMMYFUNCTION("""COMPUTED_VALUE"""),11.11)</f>
        <v>11.11</v>
      </c>
      <c r="Q955" s="14">
        <f>IFERROR(__xludf.DUMMYFUNCTION("""COMPUTED_VALUE"""),10.21)</f>
        <v>10.21</v>
      </c>
      <c r="R955" s="48">
        <f>IFERROR(__xludf.DUMMYFUNCTION("""COMPUTED_VALUE"""),8.27)</f>
        <v>8.27</v>
      </c>
      <c r="S955" s="48">
        <f>IFERROR(__xludf.DUMMYFUNCTION("""COMPUTED_VALUE"""),8.38)</f>
        <v>8.38</v>
      </c>
      <c r="T955" s="48">
        <f>IFERROR(__xludf.DUMMYFUNCTION("""COMPUTED_VALUE"""),8.31)</f>
        <v>8.31</v>
      </c>
      <c r="U955" s="48">
        <f>IFERROR(__xludf.DUMMYFUNCTION("""COMPUTED_VALUE"""),8.23)</f>
        <v>8.23</v>
      </c>
      <c r="V955" s="48">
        <f>IFERROR(__xludf.DUMMYFUNCTION("""COMPUTED_VALUE"""),8.07)</f>
        <v>8.07</v>
      </c>
      <c r="W955" s="14">
        <f>IFERROR(__xludf.DUMMYFUNCTION("""COMPUTED_VALUE"""),8.251999999999999)</f>
        <v>8.252</v>
      </c>
      <c r="X955" s="14">
        <f>IFERROR(__xludf.DUMMYFUNCTION("""COMPUTED_VALUE"""),15.2)</f>
        <v>15.2</v>
      </c>
      <c r="Y955" s="14">
        <f>IFERROR(__xludf.DUMMYFUNCTION("""COMPUTED_VALUE"""),14.9)</f>
        <v>14.9</v>
      </c>
      <c r="Z955" s="14">
        <f>IFERROR(__xludf.DUMMYFUNCTION("""COMPUTED_VALUE"""),15.2)</f>
        <v>15.2</v>
      </c>
      <c r="AA955" s="14">
        <f>IFERROR(__xludf.DUMMYFUNCTION("""COMPUTED_VALUE"""),15.0)</f>
        <v>15</v>
      </c>
      <c r="AB955" s="14">
        <f>IFERROR(__xludf.DUMMYFUNCTION("""COMPUTED_VALUE"""),15.6)</f>
        <v>15.6</v>
      </c>
      <c r="AC955" s="14">
        <f>IFERROR(__xludf.DUMMYFUNCTION("""COMPUTED_VALUE"""),15.179999999999998)</f>
        <v>15.18</v>
      </c>
      <c r="AD955" s="48">
        <f>IFERROR(__xludf.DUMMYFUNCTION("""COMPUTED_VALUE"""),260.0)</f>
        <v>260</v>
      </c>
      <c r="AE955" s="48">
        <f>IFERROR(__xludf.DUMMYFUNCTION("""COMPUTED_VALUE"""),250.0)</f>
        <v>250</v>
      </c>
      <c r="AF955" s="48">
        <f>IFERROR(__xludf.DUMMYFUNCTION("""COMPUTED_VALUE"""),245.0)</f>
        <v>245</v>
      </c>
      <c r="AG955" s="48">
        <f>IFERROR(__xludf.DUMMYFUNCTION("""COMPUTED_VALUE"""),251.0)</f>
        <v>251</v>
      </c>
      <c r="AH955" s="48">
        <f>IFERROR(__xludf.DUMMYFUNCTION("""COMPUTED_VALUE"""),246.0)</f>
        <v>246</v>
      </c>
      <c r="AI955" s="14">
        <f>IFERROR(__xludf.DUMMYFUNCTION("""COMPUTED_VALUE"""),250.4)</f>
        <v>250.4</v>
      </c>
      <c r="AJ955" s="14">
        <f>IFERROR(__xludf.DUMMYFUNCTION("""COMPUTED_VALUE"""),5.57)</f>
        <v>5.57</v>
      </c>
      <c r="AK955" s="14">
        <f>IFERROR(__xludf.DUMMYFUNCTION("""COMPUTED_VALUE"""),5.69)</f>
        <v>5.69</v>
      </c>
      <c r="AL955" s="14">
        <f>IFERROR(__xludf.DUMMYFUNCTION("""COMPUTED_VALUE"""),5.74)</f>
        <v>5.74</v>
      </c>
      <c r="AM955" s="14">
        <f>IFERROR(__xludf.DUMMYFUNCTION("""COMPUTED_VALUE"""),5.58)</f>
        <v>5.58</v>
      </c>
      <c r="AN955" s="14">
        <f>IFERROR(__xludf.DUMMYFUNCTION("""COMPUTED_VALUE"""),5.85)</f>
        <v>5.85</v>
      </c>
      <c r="AO955" s="14">
        <f>IFERROR(__xludf.DUMMYFUNCTION("""COMPUTED_VALUE"""),5.686)</f>
        <v>5.686</v>
      </c>
      <c r="AP955" s="14">
        <f>IFERROR(__xludf.DUMMYFUNCTION("""COMPUTED_VALUE"""),17.0)</f>
        <v>17</v>
      </c>
      <c r="AQ955" s="14">
        <f>IFERROR(__xludf.DUMMYFUNCTION("""COMPUTED_VALUE"""),26.0)</f>
        <v>26</v>
      </c>
      <c r="AR955" s="14">
        <f>IFERROR(__xludf.DUMMYFUNCTION("""COMPUTED_VALUE"""),46.0)</f>
        <v>46</v>
      </c>
      <c r="AS955" s="14">
        <f>IFERROR(__xludf.DUMMYFUNCTION("""COMPUTED_VALUE"""),1.0)</f>
        <v>1</v>
      </c>
      <c r="AT955" s="14">
        <f>IFERROR(__xludf.DUMMYFUNCTION("""COMPUTED_VALUE"""),0.07)</f>
        <v>0.07</v>
      </c>
      <c r="AU955" s="14">
        <f>IFERROR(__xludf.DUMMYFUNCTION("""COMPUTED_VALUE"""),6770.0)</f>
        <v>6770</v>
      </c>
      <c r="AV955" s="14">
        <f>IFERROR(__xludf.DUMMYFUNCTION("""COMPUTED_VALUE"""),0.17)</f>
        <v>0.17</v>
      </c>
      <c r="AW955" s="14">
        <f>IFERROR(__xludf.DUMMYFUNCTION("""COMPUTED_VALUE"""),1.0)</f>
        <v>1</v>
      </c>
      <c r="AX955" s="14">
        <f>IFERROR(__xludf.DUMMYFUNCTION("""COMPUTED_VALUE"""),4100.0)</f>
        <v>4100</v>
      </c>
      <c r="AY955" s="14">
        <f>IFERROR(__xludf.DUMMYFUNCTION("""COMPUTED_VALUE"""),5.6)</f>
        <v>5.6</v>
      </c>
      <c r="AZ955" s="14">
        <f>IFERROR(__xludf.DUMMYFUNCTION("""COMPUTED_VALUE"""),0.007)</f>
        <v>0.007</v>
      </c>
      <c r="BA955" s="14">
        <f t="shared" si="1"/>
        <v>6.607</v>
      </c>
    </row>
    <row r="956" ht="14.25" customHeight="1">
      <c r="A956" s="10" t="str">
        <f>IFERROR(__xludf.DUMMYFUNCTION("""COMPUTED_VALUE"""),"021023WI02")</f>
        <v>021023WI02</v>
      </c>
      <c r="B956" s="12" t="str">
        <f>IFERROR(__xludf.DUMMYFUNCTION("""COMPUTED_VALUE"""),"CRN-La Castellana")</f>
        <v>CRN-La Castellana</v>
      </c>
      <c r="C956" s="12"/>
      <c r="D956" s="12"/>
      <c r="E956" s="44">
        <f>IFERROR(__xludf.DUMMYFUNCTION("""COMPUTED_VALUE"""),45201.0)</f>
        <v>45201</v>
      </c>
      <c r="F956" s="12" t="str">
        <f>IFERROR(__xludf.DUMMYFUNCTION("""COMPUTED_VALUE"""),"TIPO I")</f>
        <v>TIPO I</v>
      </c>
      <c r="G956" s="12" t="str">
        <f>IFERROR(__xludf.DUMMYFUNCTION("""COMPUTED_VALUE"""),"Canal artificial en concreto de estructura trapezoidal, rodeado de pastizales y vegetación arbórea, durante el monitoreo se percibe olor, se observa color, lama, residuos solidos y material flotante en el canal.
Altitud: 2575 msnm. ")</f>
        <v>Canal artificial en concreto de estructura trapezoidal, rodeado de pastizales y vegetación arbórea, durante el monitoreo se percibe olor, se observa color, lama, residuos solidos y material flotante en el canal.
Altitud: 2575 msnm. </v>
      </c>
      <c r="H956" s="45">
        <f>IFERROR(__xludf.DUMMYFUNCTION("""COMPUTED_VALUE"""),0.5)</f>
        <v>0.5</v>
      </c>
      <c r="I956" s="45">
        <f>IFERROR(__xludf.DUMMYFUNCTION("""COMPUTED_VALUE"""),0.5833333333321207)</f>
        <v>0.5833333333</v>
      </c>
      <c r="J956" s="12">
        <f>IFERROR(__xludf.DUMMYFUNCTION("""COMPUTED_VALUE"""),5.7)</f>
        <v>5.7</v>
      </c>
      <c r="K956" s="12">
        <f>IFERROR(__xludf.DUMMYFUNCTION("""COMPUTED_VALUE"""),0.21)</f>
        <v>0.21</v>
      </c>
      <c r="L956" s="14">
        <f>IFERROR(__xludf.DUMMYFUNCTION("""COMPUTED_VALUE"""),281.559)</f>
        <v>281.559</v>
      </c>
      <c r="M956" s="14">
        <f>IFERROR(__xludf.DUMMYFUNCTION("""COMPUTED_VALUE"""),284.473)</f>
        <v>284.473</v>
      </c>
      <c r="N956" s="14">
        <f>IFERROR(__xludf.DUMMYFUNCTION("""COMPUTED_VALUE"""),289.099)</f>
        <v>289.099</v>
      </c>
      <c r="O956" s="14">
        <f>IFERROR(__xludf.DUMMYFUNCTION("""COMPUTED_VALUE"""),288.328)</f>
        <v>288.328</v>
      </c>
      <c r="P956" s="14">
        <f>IFERROR(__xludf.DUMMYFUNCTION("""COMPUTED_VALUE"""),295.26)</f>
        <v>295.26</v>
      </c>
      <c r="Q956" s="14">
        <f>IFERROR(__xludf.DUMMYFUNCTION("""COMPUTED_VALUE"""),287.744)</f>
        <v>287.744</v>
      </c>
      <c r="R956" s="48">
        <f>IFERROR(__xludf.DUMMYFUNCTION("""COMPUTED_VALUE"""),8.09)</f>
        <v>8.09</v>
      </c>
      <c r="S956" s="48">
        <f>IFERROR(__xludf.DUMMYFUNCTION("""COMPUTED_VALUE"""),8.07)</f>
        <v>8.07</v>
      </c>
      <c r="T956" s="48">
        <f>IFERROR(__xludf.DUMMYFUNCTION("""COMPUTED_VALUE"""),7.7)</f>
        <v>7.7</v>
      </c>
      <c r="U956" s="48">
        <f>IFERROR(__xludf.DUMMYFUNCTION("""COMPUTED_VALUE"""),7.95)</f>
        <v>7.95</v>
      </c>
      <c r="V956" s="48">
        <f>IFERROR(__xludf.DUMMYFUNCTION("""COMPUTED_VALUE"""),8.06)</f>
        <v>8.06</v>
      </c>
      <c r="W956" s="14">
        <f>IFERROR(__xludf.DUMMYFUNCTION("""COMPUTED_VALUE"""),7.973999999999999)</f>
        <v>7.974</v>
      </c>
      <c r="X956" s="14">
        <f>IFERROR(__xludf.DUMMYFUNCTION("""COMPUTED_VALUE"""),22.4)</f>
        <v>22.4</v>
      </c>
      <c r="Y956" s="14">
        <f>IFERROR(__xludf.DUMMYFUNCTION("""COMPUTED_VALUE"""),21.2)</f>
        <v>21.2</v>
      </c>
      <c r="Z956" s="14">
        <f>IFERROR(__xludf.DUMMYFUNCTION("""COMPUTED_VALUE"""),22.1)</f>
        <v>22.1</v>
      </c>
      <c r="AA956" s="14">
        <f>IFERROR(__xludf.DUMMYFUNCTION("""COMPUTED_VALUE"""),21.3)</f>
        <v>21.3</v>
      </c>
      <c r="AB956" s="14">
        <f>IFERROR(__xludf.DUMMYFUNCTION("""COMPUTED_VALUE"""),22.0)</f>
        <v>22</v>
      </c>
      <c r="AC956" s="14">
        <f>IFERROR(__xludf.DUMMYFUNCTION("""COMPUTED_VALUE"""),21.799999999999997)</f>
        <v>21.8</v>
      </c>
      <c r="AD956" s="48">
        <f>IFERROR(__xludf.DUMMYFUNCTION("""COMPUTED_VALUE"""),649.0)</f>
        <v>649</v>
      </c>
      <c r="AE956" s="48">
        <f>IFERROR(__xludf.DUMMYFUNCTION("""COMPUTED_VALUE"""),671.0)</f>
        <v>671</v>
      </c>
      <c r="AF956" s="48">
        <f>IFERROR(__xludf.DUMMYFUNCTION("""COMPUTED_VALUE"""),680.0)</f>
        <v>680</v>
      </c>
      <c r="AG956" s="48">
        <f>IFERROR(__xludf.DUMMYFUNCTION("""COMPUTED_VALUE"""),675.0)</f>
        <v>675</v>
      </c>
      <c r="AH956" s="48">
        <f>IFERROR(__xludf.DUMMYFUNCTION("""COMPUTED_VALUE"""),663.0)</f>
        <v>663</v>
      </c>
      <c r="AI956" s="14">
        <f>IFERROR(__xludf.DUMMYFUNCTION("""COMPUTED_VALUE"""),667.6)</f>
        <v>667.6</v>
      </c>
      <c r="AJ956" s="14">
        <f>IFERROR(__xludf.DUMMYFUNCTION("""COMPUTED_VALUE"""),0.93)</f>
        <v>0.93</v>
      </c>
      <c r="AK956" s="14">
        <f>IFERROR(__xludf.DUMMYFUNCTION("""COMPUTED_VALUE"""),1.08)</f>
        <v>1.08</v>
      </c>
      <c r="AL956" s="14">
        <f>IFERROR(__xludf.DUMMYFUNCTION("""COMPUTED_VALUE"""),1.38)</f>
        <v>1.38</v>
      </c>
      <c r="AM956" s="14">
        <f>IFERROR(__xludf.DUMMYFUNCTION("""COMPUTED_VALUE"""),0.96)</f>
        <v>0.96</v>
      </c>
      <c r="AN956" s="14">
        <f>IFERROR(__xludf.DUMMYFUNCTION("""COMPUTED_VALUE"""),1.29)</f>
        <v>1.29</v>
      </c>
      <c r="AO956" s="14">
        <f>IFERROR(__xludf.DUMMYFUNCTION("""COMPUTED_VALUE"""),1.128)</f>
        <v>1.128</v>
      </c>
      <c r="AP956" s="14">
        <f>IFERROR(__xludf.DUMMYFUNCTION("""COMPUTED_VALUE"""),194.0)</f>
        <v>194</v>
      </c>
      <c r="AQ956" s="14">
        <f>IFERROR(__xludf.DUMMYFUNCTION("""COMPUTED_VALUE"""),286.0)</f>
        <v>286</v>
      </c>
      <c r="AR956" s="14">
        <f>IFERROR(__xludf.DUMMYFUNCTION("""COMPUTED_VALUE"""),160.0)</f>
        <v>160</v>
      </c>
      <c r="AS956" s="14">
        <f>IFERROR(__xludf.DUMMYFUNCTION("""COMPUTED_VALUE"""),81.0)</f>
        <v>81</v>
      </c>
      <c r="AT956" s="14">
        <f>IFERROR(__xludf.DUMMYFUNCTION("""COMPUTED_VALUE"""),9.74)</f>
        <v>9.74</v>
      </c>
      <c r="AU956" s="14">
        <f>IFERROR(__xludf.DUMMYFUNCTION("""COMPUTED_VALUE"""),9.34E7)</f>
        <v>93400000</v>
      </c>
      <c r="AV956" s="14">
        <f>IFERROR(__xludf.DUMMYFUNCTION("""COMPUTED_VALUE"""),3.81)</f>
        <v>3.81</v>
      </c>
      <c r="AW956" s="14">
        <f>IFERROR(__xludf.DUMMYFUNCTION("""COMPUTED_VALUE"""),39.2)</f>
        <v>39.2</v>
      </c>
      <c r="AX956" s="14">
        <f>IFERROR(__xludf.DUMMYFUNCTION("""COMPUTED_VALUE"""),6.16E7)</f>
        <v>61600000</v>
      </c>
      <c r="AY956" s="14">
        <f>IFERROR(__xludf.DUMMYFUNCTION("""COMPUTED_VALUE"""),2.4)</f>
        <v>2.4</v>
      </c>
      <c r="AZ956" s="14">
        <f>IFERROR(__xludf.DUMMYFUNCTION("""COMPUTED_VALUE"""),0.007)</f>
        <v>0.007</v>
      </c>
      <c r="BA956" s="14">
        <f t="shared" si="1"/>
        <v>41.607</v>
      </c>
    </row>
    <row r="957" ht="14.25" customHeight="1">
      <c r="A957" s="10" t="str">
        <f>IFERROR(__xludf.DUMMYFUNCTION("""COMPUTED_VALUE"""),"101023HA02")</f>
        <v>101023HA02</v>
      </c>
      <c r="B957" s="12" t="str">
        <f>IFERROR(__xludf.DUMMYFUNCTION("""COMPUTED_VALUE"""),"CON-Camino del Contador")</f>
        <v>CON-Camino del Contador</v>
      </c>
      <c r="C957" s="12"/>
      <c r="D957" s="12"/>
      <c r="E957" s="44">
        <f>IFERROR(__xludf.DUMMYFUNCTION("""COMPUTED_VALUE"""),45209.0)</f>
        <v>45209</v>
      </c>
      <c r="F957" s="12" t="str">
        <f>IFERROR(__xludf.DUMMYFUNCTION("""COMPUTED_VALUE"""),"TIPO I")</f>
        <v>TIPO I</v>
      </c>
      <c r="G957" s="12" t="str">
        <f>IFERROR(__xludf.DUMMYFUNCTION("""COMPUTED_VALUE"""),"Canal en concreto, se percibe olor, se observa color, residuos solidos en el cauce y lodos ")</f>
        <v>Canal en concreto, se percibe olor, se observa color, residuos solidos en el cauce y lodos </v>
      </c>
      <c r="H957" s="45">
        <f>IFERROR(__xludf.DUMMYFUNCTION("""COMPUTED_VALUE"""),0.5)</f>
        <v>0.5</v>
      </c>
      <c r="I957" s="45">
        <f>IFERROR(__xludf.DUMMYFUNCTION("""COMPUTED_VALUE"""),0.5833333333321207)</f>
        <v>0.5833333333</v>
      </c>
      <c r="J957" s="12">
        <f>IFERROR(__xludf.DUMMYFUNCTION("""COMPUTED_VALUE"""),3.4)</f>
        <v>3.4</v>
      </c>
      <c r="K957" s="12">
        <f>IFERROR(__xludf.DUMMYFUNCTION("""COMPUTED_VALUE"""),0.1)</f>
        <v>0.1</v>
      </c>
      <c r="L957" s="14">
        <f>IFERROR(__xludf.DUMMYFUNCTION("""COMPUTED_VALUE"""),38.068)</f>
        <v>38.068</v>
      </c>
      <c r="M957" s="14">
        <f>IFERROR(__xludf.DUMMYFUNCTION("""COMPUTED_VALUE"""),38.501)</f>
        <v>38.501</v>
      </c>
      <c r="N957" s="14">
        <f>IFERROR(__xludf.DUMMYFUNCTION("""COMPUTED_VALUE"""),39.589)</f>
        <v>39.589</v>
      </c>
      <c r="O957" s="14">
        <f>IFERROR(__xludf.DUMMYFUNCTION("""COMPUTED_VALUE"""),40.611)</f>
        <v>40.611</v>
      </c>
      <c r="P957" s="14">
        <f>IFERROR(__xludf.DUMMYFUNCTION("""COMPUTED_VALUE"""),41.196)</f>
        <v>41.196</v>
      </c>
      <c r="Q957" s="14">
        <f>IFERROR(__xludf.DUMMYFUNCTION("""COMPUTED_VALUE"""),39.593)</f>
        <v>39.593</v>
      </c>
      <c r="R957" s="48">
        <f>IFERROR(__xludf.DUMMYFUNCTION("""COMPUTED_VALUE"""),7.33)</f>
        <v>7.33</v>
      </c>
      <c r="S957" s="48">
        <f>IFERROR(__xludf.DUMMYFUNCTION("""COMPUTED_VALUE"""),7.5)</f>
        <v>7.5</v>
      </c>
      <c r="T957" s="48">
        <f>IFERROR(__xludf.DUMMYFUNCTION("""COMPUTED_VALUE"""),7.58)</f>
        <v>7.58</v>
      </c>
      <c r="U957" s="48">
        <f>IFERROR(__xludf.DUMMYFUNCTION("""COMPUTED_VALUE"""),7.59)</f>
        <v>7.59</v>
      </c>
      <c r="V957" s="48">
        <f>IFERROR(__xludf.DUMMYFUNCTION("""COMPUTED_VALUE"""),7.42)</f>
        <v>7.42</v>
      </c>
      <c r="W957" s="14">
        <f>IFERROR(__xludf.DUMMYFUNCTION("""COMPUTED_VALUE"""),7.484)</f>
        <v>7.484</v>
      </c>
      <c r="X957" s="14">
        <f>IFERROR(__xludf.DUMMYFUNCTION("""COMPUTED_VALUE"""),24.2)</f>
        <v>24.2</v>
      </c>
      <c r="Y957" s="14">
        <f>IFERROR(__xludf.DUMMYFUNCTION("""COMPUTED_VALUE"""),22.7)</f>
        <v>22.7</v>
      </c>
      <c r="Z957" s="14">
        <f>IFERROR(__xludf.DUMMYFUNCTION("""COMPUTED_VALUE"""),22.4)</f>
        <v>22.4</v>
      </c>
      <c r="AA957" s="14">
        <f>IFERROR(__xludf.DUMMYFUNCTION("""COMPUTED_VALUE"""),22.1)</f>
        <v>22.1</v>
      </c>
      <c r="AB957" s="14">
        <f>IFERROR(__xludf.DUMMYFUNCTION("""COMPUTED_VALUE"""),21.7)</f>
        <v>21.7</v>
      </c>
      <c r="AC957" s="14">
        <f>IFERROR(__xludf.DUMMYFUNCTION("""COMPUTED_VALUE"""),22.62)</f>
        <v>22.62</v>
      </c>
      <c r="AD957" s="48">
        <f>IFERROR(__xludf.DUMMYFUNCTION("""COMPUTED_VALUE"""),365.0)</f>
        <v>365</v>
      </c>
      <c r="AE957" s="48">
        <f>IFERROR(__xludf.DUMMYFUNCTION("""COMPUTED_VALUE"""),413.0)</f>
        <v>413</v>
      </c>
      <c r="AF957" s="48">
        <f>IFERROR(__xludf.DUMMYFUNCTION("""COMPUTED_VALUE"""),445.0)</f>
        <v>445</v>
      </c>
      <c r="AG957" s="48">
        <f>IFERROR(__xludf.DUMMYFUNCTION("""COMPUTED_VALUE"""),464.0)</f>
        <v>464</v>
      </c>
      <c r="AH957" s="48">
        <f>IFERROR(__xludf.DUMMYFUNCTION("""COMPUTED_VALUE"""),497.0)</f>
        <v>497</v>
      </c>
      <c r="AI957" s="14">
        <f>IFERROR(__xludf.DUMMYFUNCTION("""COMPUTED_VALUE"""),436.8)</f>
        <v>436.8</v>
      </c>
      <c r="AJ957" s="14">
        <f>IFERROR(__xludf.DUMMYFUNCTION("""COMPUTED_VALUE"""),2.19)</f>
        <v>2.19</v>
      </c>
      <c r="AK957" s="14">
        <f>IFERROR(__xludf.DUMMYFUNCTION("""COMPUTED_VALUE"""),2.12)</f>
        <v>2.12</v>
      </c>
      <c r="AL957" s="14">
        <f>IFERROR(__xludf.DUMMYFUNCTION("""COMPUTED_VALUE"""),1.98)</f>
        <v>1.98</v>
      </c>
      <c r="AM957" s="14">
        <f>IFERROR(__xludf.DUMMYFUNCTION("""COMPUTED_VALUE"""),1.94)</f>
        <v>1.94</v>
      </c>
      <c r="AN957" s="14">
        <f>IFERROR(__xludf.DUMMYFUNCTION("""COMPUTED_VALUE"""),1.84)</f>
        <v>1.84</v>
      </c>
      <c r="AO957" s="14">
        <f>IFERROR(__xludf.DUMMYFUNCTION("""COMPUTED_VALUE"""),2.0140000000000002)</f>
        <v>2.014</v>
      </c>
      <c r="AP957" s="14">
        <f>IFERROR(__xludf.DUMMYFUNCTION("""COMPUTED_VALUE"""),17.0)</f>
        <v>17</v>
      </c>
      <c r="AQ957" s="14">
        <f>IFERROR(__xludf.DUMMYFUNCTION("""COMPUTED_VALUE"""),23.0)</f>
        <v>23</v>
      </c>
      <c r="AR957" s="14">
        <f>IFERROR(__xludf.DUMMYFUNCTION("""COMPUTED_VALUE"""),38.0)</f>
        <v>38</v>
      </c>
      <c r="AS957" s="14">
        <f>IFERROR(__xludf.DUMMYFUNCTION("""COMPUTED_VALUE"""),5.4)</f>
        <v>5.4</v>
      </c>
      <c r="AT957" s="14">
        <f>IFERROR(__xludf.DUMMYFUNCTION("""COMPUTED_VALUE"""),0.82)</f>
        <v>0.82</v>
      </c>
      <c r="AU957" s="14">
        <f>IFERROR(__xludf.DUMMYFUNCTION("""COMPUTED_VALUE"""),1376000.0)</f>
        <v>1376000</v>
      </c>
      <c r="AV957" s="14">
        <f>IFERROR(__xludf.DUMMYFUNCTION("""COMPUTED_VALUE"""),0.49)</f>
        <v>0.49</v>
      </c>
      <c r="AW957" s="14">
        <f>IFERROR(__xludf.DUMMYFUNCTION("""COMPUTED_VALUE"""),7.8)</f>
        <v>7.8</v>
      </c>
      <c r="AX957" s="14">
        <f>IFERROR(__xludf.DUMMYFUNCTION("""COMPUTED_VALUE"""),1058000.0)</f>
        <v>1058000</v>
      </c>
      <c r="AY957" s="14">
        <f>IFERROR(__xludf.DUMMYFUNCTION("""COMPUTED_VALUE"""),0.7)</f>
        <v>0.7</v>
      </c>
      <c r="AZ957" s="14">
        <f>IFERROR(__xludf.DUMMYFUNCTION("""COMPUTED_VALUE"""),0.764)</f>
        <v>0.764</v>
      </c>
      <c r="BA957" s="14">
        <f t="shared" si="1"/>
        <v>9.264</v>
      </c>
    </row>
    <row r="958" ht="14.25" customHeight="1">
      <c r="A958" s="10" t="str">
        <f>IFERROR(__xludf.DUMMYFUNCTION("""COMPUTED_VALUE"""),"061023WI01")</f>
        <v>061023WI01</v>
      </c>
      <c r="B958" s="12" t="str">
        <f>IFERROR(__xludf.DUMMYFUNCTION("""COMPUTED_VALUE"""),"QCH-Cantarrana")</f>
        <v>QCH-Cantarrana</v>
      </c>
      <c r="C958" s="12"/>
      <c r="D958" s="12"/>
      <c r="E958" s="44">
        <f>IFERROR(__xludf.DUMMYFUNCTION("""COMPUTED_VALUE"""),45205.0)</f>
        <v>45205</v>
      </c>
      <c r="F958" s="12" t="str">
        <f>IFERROR(__xludf.DUMMYFUNCTION("""COMPUTED_VALUE"""),"TIPO I")</f>
        <v>TIPO I</v>
      </c>
      <c r="G958" s="12" t="str">
        <f>IFERROR(__xludf.DUMMYFUNCTION("""COMPUTED_VALUE"""),"Canal natural, rocoso - arenoso con vegetación aledaña, durante el monitoreo se observa color y se percibe olor. 
Altitud: 2655 msnm. ")</f>
        <v>Canal natural, rocoso - arenoso con vegetación aledaña, durante el monitoreo se observa color y se percibe olor. 
Altitud: 2655 msnm. </v>
      </c>
      <c r="H958" s="45">
        <f>IFERROR(__xludf.DUMMYFUNCTION("""COMPUTED_VALUE"""),0.25)</f>
        <v>0.25</v>
      </c>
      <c r="I958" s="45">
        <f>IFERROR(__xludf.DUMMYFUNCTION("""COMPUTED_VALUE"""),0.3333333333321207)</f>
        <v>0.3333333333</v>
      </c>
      <c r="J958" s="12">
        <f>IFERROR(__xludf.DUMMYFUNCTION("""COMPUTED_VALUE"""),0.6)</f>
        <v>0.6</v>
      </c>
      <c r="K958" s="12">
        <f>IFERROR(__xludf.DUMMYFUNCTION("""COMPUTED_VALUE"""),0.36)</f>
        <v>0.36</v>
      </c>
      <c r="L958" s="14">
        <f>IFERROR(__xludf.DUMMYFUNCTION("""COMPUTED_VALUE"""),44.727)</f>
        <v>44.727</v>
      </c>
      <c r="M958" s="14">
        <f>IFERROR(__xludf.DUMMYFUNCTION("""COMPUTED_VALUE"""),45.696)</f>
        <v>45.696</v>
      </c>
      <c r="N958" s="14">
        <f>IFERROR(__xludf.DUMMYFUNCTION("""COMPUTED_VALUE"""),47.014)</f>
        <v>47.014</v>
      </c>
      <c r="O958" s="14">
        <f>IFERROR(__xludf.DUMMYFUNCTION("""COMPUTED_VALUE"""),48.404)</f>
        <v>48.404</v>
      </c>
      <c r="P958" s="14">
        <f>IFERROR(__xludf.DUMMYFUNCTION("""COMPUTED_VALUE"""),49.605)</f>
        <v>49.605</v>
      </c>
      <c r="Q958" s="14">
        <f>IFERROR(__xludf.DUMMYFUNCTION("""COMPUTED_VALUE"""),47.089)</f>
        <v>47.089</v>
      </c>
      <c r="R958" s="48">
        <f>IFERROR(__xludf.DUMMYFUNCTION("""COMPUTED_VALUE"""),8.26)</f>
        <v>8.26</v>
      </c>
      <c r="S958" s="48">
        <f>IFERROR(__xludf.DUMMYFUNCTION("""COMPUTED_VALUE"""),8.16)</f>
        <v>8.16</v>
      </c>
      <c r="T958" s="48">
        <f>IFERROR(__xludf.DUMMYFUNCTION("""COMPUTED_VALUE"""),8.3)</f>
        <v>8.3</v>
      </c>
      <c r="U958" s="48">
        <f>IFERROR(__xludf.DUMMYFUNCTION("""COMPUTED_VALUE"""),8.24)</f>
        <v>8.24</v>
      </c>
      <c r="V958" s="48">
        <f>IFERROR(__xludf.DUMMYFUNCTION("""COMPUTED_VALUE"""),8.31)</f>
        <v>8.31</v>
      </c>
      <c r="W958" s="14">
        <f>IFERROR(__xludf.DUMMYFUNCTION("""COMPUTED_VALUE"""),8.254000000000001)</f>
        <v>8.254</v>
      </c>
      <c r="X958" s="14">
        <f>IFERROR(__xludf.DUMMYFUNCTION("""COMPUTED_VALUE"""),17.3)</f>
        <v>17.3</v>
      </c>
      <c r="Y958" s="14">
        <f>IFERROR(__xludf.DUMMYFUNCTION("""COMPUTED_VALUE"""),17.0)</f>
        <v>17</v>
      </c>
      <c r="Z958" s="14">
        <f>IFERROR(__xludf.DUMMYFUNCTION("""COMPUTED_VALUE"""),17.4)</f>
        <v>17.4</v>
      </c>
      <c r="AA958" s="14">
        <f>IFERROR(__xludf.DUMMYFUNCTION("""COMPUTED_VALUE"""),17.5)</f>
        <v>17.5</v>
      </c>
      <c r="AB958" s="14">
        <f>IFERROR(__xludf.DUMMYFUNCTION("""COMPUTED_VALUE"""),18.0)</f>
        <v>18</v>
      </c>
      <c r="AC958" s="14">
        <f>IFERROR(__xludf.DUMMYFUNCTION("""COMPUTED_VALUE"""),17.439999999999998)</f>
        <v>17.44</v>
      </c>
      <c r="AD958" s="48">
        <f>IFERROR(__xludf.DUMMYFUNCTION("""COMPUTED_VALUE"""),1038.0)</f>
        <v>1038</v>
      </c>
      <c r="AE958" s="48">
        <f>IFERROR(__xludf.DUMMYFUNCTION("""COMPUTED_VALUE"""),1029.0)</f>
        <v>1029</v>
      </c>
      <c r="AF958" s="48">
        <f>IFERROR(__xludf.DUMMYFUNCTION("""COMPUTED_VALUE"""),1012.0)</f>
        <v>1012</v>
      </c>
      <c r="AG958" s="48">
        <f>IFERROR(__xludf.DUMMYFUNCTION("""COMPUTED_VALUE"""),975.0)</f>
        <v>975</v>
      </c>
      <c r="AH958" s="48">
        <f>IFERROR(__xludf.DUMMYFUNCTION("""COMPUTED_VALUE"""),1046.0)</f>
        <v>1046</v>
      </c>
      <c r="AI958" s="14">
        <f>IFERROR(__xludf.DUMMYFUNCTION("""COMPUTED_VALUE"""),1020.0)</f>
        <v>1020</v>
      </c>
      <c r="AJ958" s="14">
        <f>IFERROR(__xludf.DUMMYFUNCTION("""COMPUTED_VALUE"""),4.14)</f>
        <v>4.14</v>
      </c>
      <c r="AK958" s="14">
        <f>IFERROR(__xludf.DUMMYFUNCTION("""COMPUTED_VALUE"""),4.01)</f>
        <v>4.01</v>
      </c>
      <c r="AL958" s="14">
        <f>IFERROR(__xludf.DUMMYFUNCTION("""COMPUTED_VALUE"""),4.1)</f>
        <v>4.1</v>
      </c>
      <c r="AM958" s="14">
        <f>IFERROR(__xludf.DUMMYFUNCTION("""COMPUTED_VALUE"""),4.42)</f>
        <v>4.42</v>
      </c>
      <c r="AN958" s="14">
        <f>IFERROR(__xludf.DUMMYFUNCTION("""COMPUTED_VALUE"""),4.11)</f>
        <v>4.11</v>
      </c>
      <c r="AO958" s="14">
        <f>IFERROR(__xludf.DUMMYFUNCTION("""COMPUTED_VALUE"""),4.156)</f>
        <v>4.156</v>
      </c>
      <c r="AP958" s="14">
        <f>IFERROR(__xludf.DUMMYFUNCTION("""COMPUTED_VALUE"""),171.0)</f>
        <v>171</v>
      </c>
      <c r="AQ958" s="14">
        <f>IFERROR(__xludf.DUMMYFUNCTION("""COMPUTED_VALUE"""),258.0)</f>
        <v>258</v>
      </c>
      <c r="AR958" s="14">
        <f>IFERROR(__xludf.DUMMYFUNCTION("""COMPUTED_VALUE"""),187.0)</f>
        <v>187</v>
      </c>
      <c r="AS958" s="14">
        <f>IFERROR(__xludf.DUMMYFUNCTION("""COMPUTED_VALUE"""),76.0)</f>
        <v>76</v>
      </c>
      <c r="AT958" s="14">
        <f>IFERROR(__xludf.DUMMYFUNCTION("""COMPUTED_VALUE"""),7.8)</f>
        <v>7.8</v>
      </c>
      <c r="AU958" s="14">
        <f>IFERROR(__xludf.DUMMYFUNCTION("""COMPUTED_VALUE"""),1.178E7)</f>
        <v>11780000</v>
      </c>
      <c r="AV958" s="14">
        <f>IFERROR(__xludf.DUMMYFUNCTION("""COMPUTED_VALUE"""),9.58)</f>
        <v>9.58</v>
      </c>
      <c r="AW958" s="14">
        <f>IFERROR(__xludf.DUMMYFUNCTION("""COMPUTED_VALUE"""),91.8)</f>
        <v>91.8</v>
      </c>
      <c r="AX958" s="14">
        <f>IFERROR(__xludf.DUMMYFUNCTION("""COMPUTED_VALUE"""),7890000.0)</f>
        <v>7890000</v>
      </c>
      <c r="AY958" s="14">
        <f>IFERROR(__xludf.DUMMYFUNCTION("""COMPUTED_VALUE"""),2.6)</f>
        <v>2.6</v>
      </c>
      <c r="AZ958" s="14">
        <f>IFERROR(__xludf.DUMMYFUNCTION("""COMPUTED_VALUE"""),0.007)</f>
        <v>0.007</v>
      </c>
      <c r="BA958" s="14">
        <f t="shared" si="1"/>
        <v>94.407</v>
      </c>
    </row>
    <row r="959" ht="14.25" customHeight="1">
      <c r="A959" s="10" t="str">
        <f>IFERROR(__xludf.DUMMYFUNCTION("""COMPUTED_VALUE"""),"101023HA01")</f>
        <v>101023HA01</v>
      </c>
      <c r="B959" s="12" t="str">
        <f>IFERROR(__xludf.DUMMYFUNCTION("""COMPUTED_VALUE"""),"HCO-Los Lagartos")</f>
        <v>HCO-Los Lagartos</v>
      </c>
      <c r="C959" s="12"/>
      <c r="D959" s="12"/>
      <c r="E959" s="44">
        <f>IFERROR(__xludf.DUMMYFUNCTION("""COMPUTED_VALUE"""),45209.0)</f>
        <v>45209</v>
      </c>
      <c r="F959" s="12" t="str">
        <f>IFERROR(__xludf.DUMMYFUNCTION("""COMPUTED_VALUE"""),"TIPO I")</f>
        <v>TIPO I</v>
      </c>
      <c r="G959" s="12" t="str">
        <f>IFERROR(__xludf.DUMMYFUNCTION("""COMPUTED_VALUE"""),"Canal en concreto, durante el monitoreo se percibe olor, se observa color y material flotante. 
Altitud: 2569 msnm.  ")</f>
        <v>Canal en concreto, durante el monitoreo se percibe olor, se observa color y material flotante. 
Altitud: 2569 msnm.  </v>
      </c>
      <c r="H959" s="45">
        <f>IFERROR(__xludf.DUMMYFUNCTION("""COMPUTED_VALUE"""),0.3333333333321207)</f>
        <v>0.3333333333</v>
      </c>
      <c r="I959" s="45">
        <f>IFERROR(__xludf.DUMMYFUNCTION("""COMPUTED_VALUE"""),0.4166666666678793)</f>
        <v>0.4166666667</v>
      </c>
      <c r="J959" s="12">
        <f>IFERROR(__xludf.DUMMYFUNCTION("""COMPUTED_VALUE"""),6.3)</f>
        <v>6.3</v>
      </c>
      <c r="K959" s="12">
        <f>IFERROR(__xludf.DUMMYFUNCTION("""COMPUTED_VALUE"""),1.5)</f>
        <v>1.5</v>
      </c>
      <c r="L959" s="14">
        <f>IFERROR(__xludf.DUMMYFUNCTION("""COMPUTED_VALUE"""),1413.775)</f>
        <v>1413.775</v>
      </c>
      <c r="M959" s="14">
        <f>IFERROR(__xludf.DUMMYFUNCTION("""COMPUTED_VALUE"""),1397.111)</f>
        <v>1397.111</v>
      </c>
      <c r="N959" s="14">
        <f>IFERROR(__xludf.DUMMYFUNCTION("""COMPUTED_VALUE"""),1422.209)</f>
        <v>1422.209</v>
      </c>
      <c r="O959" s="14">
        <f>IFERROR(__xludf.DUMMYFUNCTION("""COMPUTED_VALUE"""),1504.852)</f>
        <v>1504.852</v>
      </c>
      <c r="P959" s="14">
        <f>IFERROR(__xludf.DUMMYFUNCTION("""COMPUTED_VALUE"""),1536.476)</f>
        <v>1536.476</v>
      </c>
      <c r="Q959" s="14">
        <f>IFERROR(__xludf.DUMMYFUNCTION("""COMPUTED_VALUE"""),1454.884)</f>
        <v>1454.884</v>
      </c>
      <c r="R959" s="48">
        <f>IFERROR(__xludf.DUMMYFUNCTION("""COMPUTED_VALUE"""),6.86)</f>
        <v>6.86</v>
      </c>
      <c r="S959" s="48">
        <f>IFERROR(__xludf.DUMMYFUNCTION("""COMPUTED_VALUE"""),6.77)</f>
        <v>6.77</v>
      </c>
      <c r="T959" s="48">
        <f>IFERROR(__xludf.DUMMYFUNCTION("""COMPUTED_VALUE"""),6.74)</f>
        <v>6.74</v>
      </c>
      <c r="U959" s="48">
        <f>IFERROR(__xludf.DUMMYFUNCTION("""COMPUTED_VALUE"""),6.61)</f>
        <v>6.61</v>
      </c>
      <c r="V959" s="48">
        <f>IFERROR(__xludf.DUMMYFUNCTION("""COMPUTED_VALUE"""),6.66)</f>
        <v>6.66</v>
      </c>
      <c r="W959" s="14">
        <f>IFERROR(__xludf.DUMMYFUNCTION("""COMPUTED_VALUE"""),6.728)</f>
        <v>6.728</v>
      </c>
      <c r="X959" s="14">
        <f>IFERROR(__xludf.DUMMYFUNCTION("""COMPUTED_VALUE"""),18.9)</f>
        <v>18.9</v>
      </c>
      <c r="Y959" s="14">
        <f>IFERROR(__xludf.DUMMYFUNCTION("""COMPUTED_VALUE"""),18.6)</f>
        <v>18.6</v>
      </c>
      <c r="Z959" s="14">
        <f>IFERROR(__xludf.DUMMYFUNCTION("""COMPUTED_VALUE"""),19.0)</f>
        <v>19</v>
      </c>
      <c r="AA959" s="14">
        <f>IFERROR(__xludf.DUMMYFUNCTION("""COMPUTED_VALUE"""),18.9)</f>
        <v>18.9</v>
      </c>
      <c r="AB959" s="14">
        <f>IFERROR(__xludf.DUMMYFUNCTION("""COMPUTED_VALUE"""),19.0)</f>
        <v>19</v>
      </c>
      <c r="AC959" s="14">
        <f>IFERROR(__xludf.DUMMYFUNCTION("""COMPUTED_VALUE"""),18.880000000000003)</f>
        <v>18.88</v>
      </c>
      <c r="AD959" s="48">
        <f>IFERROR(__xludf.DUMMYFUNCTION("""COMPUTED_VALUE"""),209.0)</f>
        <v>209</v>
      </c>
      <c r="AE959" s="48">
        <f>IFERROR(__xludf.DUMMYFUNCTION("""COMPUTED_VALUE"""),232.0)</f>
        <v>232</v>
      </c>
      <c r="AF959" s="48">
        <f>IFERROR(__xludf.DUMMYFUNCTION("""COMPUTED_VALUE"""),264.0)</f>
        <v>264</v>
      </c>
      <c r="AG959" s="48">
        <f>IFERROR(__xludf.DUMMYFUNCTION("""COMPUTED_VALUE"""),269.0)</f>
        <v>269</v>
      </c>
      <c r="AH959" s="48">
        <f>IFERROR(__xludf.DUMMYFUNCTION("""COMPUTED_VALUE"""),283.0)</f>
        <v>283</v>
      </c>
      <c r="AI959" s="14">
        <f>IFERROR(__xludf.DUMMYFUNCTION("""COMPUTED_VALUE"""),251.4)</f>
        <v>251.4</v>
      </c>
      <c r="AJ959" s="14">
        <f>IFERROR(__xludf.DUMMYFUNCTION("""COMPUTED_VALUE"""),1.48)</f>
        <v>1.48</v>
      </c>
      <c r="AK959" s="14">
        <f>IFERROR(__xludf.DUMMYFUNCTION("""COMPUTED_VALUE"""),1.33)</f>
        <v>1.33</v>
      </c>
      <c r="AL959" s="14">
        <f>IFERROR(__xludf.DUMMYFUNCTION("""COMPUTED_VALUE"""),1.13)</f>
        <v>1.13</v>
      </c>
      <c r="AM959" s="14">
        <f>IFERROR(__xludf.DUMMYFUNCTION("""COMPUTED_VALUE"""),1.02)</f>
        <v>1.02</v>
      </c>
      <c r="AN959" s="14">
        <f>IFERROR(__xludf.DUMMYFUNCTION("""COMPUTED_VALUE"""),1.16)</f>
        <v>1.16</v>
      </c>
      <c r="AO959" s="14">
        <f>IFERROR(__xludf.DUMMYFUNCTION("""COMPUTED_VALUE"""),1.224)</f>
        <v>1.224</v>
      </c>
      <c r="AP959" s="14">
        <f>IFERROR(__xludf.DUMMYFUNCTION("""COMPUTED_VALUE"""),87.0)</f>
        <v>87</v>
      </c>
      <c r="AQ959" s="14">
        <f>IFERROR(__xludf.DUMMYFUNCTION("""COMPUTED_VALUE"""),129.0)</f>
        <v>129</v>
      </c>
      <c r="AR959" s="14">
        <f>IFERROR(__xludf.DUMMYFUNCTION("""COMPUTED_VALUE"""),103.0)</f>
        <v>103</v>
      </c>
      <c r="AS959" s="14">
        <f>IFERROR(__xludf.DUMMYFUNCTION("""COMPUTED_VALUE"""),1.0)</f>
        <v>1</v>
      </c>
      <c r="AT959" s="14">
        <f>IFERROR(__xludf.DUMMYFUNCTION("""COMPUTED_VALUE"""),1.21)</f>
        <v>1.21</v>
      </c>
      <c r="AU959" s="14">
        <f>IFERROR(__xludf.DUMMYFUNCTION("""COMPUTED_VALUE"""),1450000.0)</f>
        <v>1450000</v>
      </c>
      <c r="AV959" s="14">
        <f>IFERROR(__xludf.DUMMYFUNCTION("""COMPUTED_VALUE"""),1.75)</f>
        <v>1.75</v>
      </c>
      <c r="AW959" s="14">
        <f>IFERROR(__xludf.DUMMYFUNCTION("""COMPUTED_VALUE"""),15.4)</f>
        <v>15.4</v>
      </c>
      <c r="AX959" s="14">
        <f>IFERROR(__xludf.DUMMYFUNCTION("""COMPUTED_VALUE"""),1086000.0)</f>
        <v>1086000</v>
      </c>
      <c r="AY959" s="14">
        <f>IFERROR(__xludf.DUMMYFUNCTION("""COMPUTED_VALUE"""),0.4)</f>
        <v>0.4</v>
      </c>
      <c r="AZ959" s="14">
        <f>IFERROR(__xludf.DUMMYFUNCTION("""COMPUTED_VALUE"""),0.007)</f>
        <v>0.007</v>
      </c>
      <c r="BA959" s="14">
        <f t="shared" si="1"/>
        <v>15.807</v>
      </c>
    </row>
    <row r="960" ht="14.25" customHeight="1">
      <c r="A960" s="10" t="str">
        <f>IFERROR(__xludf.DUMMYFUNCTION("""COMPUTED_VALUE"""),"011123FE01")</f>
        <v>011123FE01</v>
      </c>
      <c r="B960" s="12" t="str">
        <f>IFERROR(__xludf.DUMMYFUNCTION("""COMPUTED_VALUE"""),"COR-Prado Veraniego")</f>
        <v>COR-Prado Veraniego</v>
      </c>
      <c r="C960" s="12"/>
      <c r="D960" s="12"/>
      <c r="E960" s="44">
        <f>IFERROR(__xludf.DUMMYFUNCTION("""COMPUTED_VALUE"""),45231.0)</f>
        <v>45231</v>
      </c>
      <c r="F960" s="12" t="str">
        <f>IFERROR(__xludf.DUMMYFUNCTION("""COMPUTED_VALUE"""),"TIPO I")</f>
        <v>TIPO I</v>
      </c>
      <c r="G960" s="12" t="str">
        <f>IFERROR(__xludf.DUMMYFUNCTION("""COMPUTED_VALUE"""),"Canal artificial en concreto con cobertura vegetal de pastizales y arbórea, durante el monitoreo se observa color y se percibe olor. 
Altitud: 2584msnm.")</f>
        <v>Canal artificial en concreto con cobertura vegetal de pastizales y arbórea, durante el monitoreo se observa color y se percibe olor. 
Altitud: 2584msnm.</v>
      </c>
      <c r="H960" s="45">
        <f>IFERROR(__xludf.DUMMYFUNCTION("""COMPUTED_VALUE"""),0.4166666666678793)</f>
        <v>0.4166666667</v>
      </c>
      <c r="I960" s="45">
        <f>IFERROR(__xludf.DUMMYFUNCTION("""COMPUTED_VALUE"""),0.5)</f>
        <v>0.5</v>
      </c>
      <c r="J960" s="12">
        <f>IFERROR(__xludf.DUMMYFUNCTION("""COMPUTED_VALUE"""),12.2)</f>
        <v>12.2</v>
      </c>
      <c r="K960" s="12">
        <f>IFERROR(__xludf.DUMMYFUNCTION("""COMPUTED_VALUE"""),0.46)</f>
        <v>0.46</v>
      </c>
      <c r="L960" s="14">
        <f>IFERROR(__xludf.DUMMYFUNCTION("""COMPUTED_VALUE"""),1028.295)</f>
        <v>1028.295</v>
      </c>
      <c r="M960" s="14">
        <f>IFERROR(__xludf.DUMMYFUNCTION("""COMPUTED_VALUE"""),1013.327)</f>
        <v>1013.327</v>
      </c>
      <c r="N960" s="14">
        <f>IFERROR(__xludf.DUMMYFUNCTION("""COMPUTED_VALUE"""),1024.731)</f>
        <v>1024.731</v>
      </c>
      <c r="O960" s="14">
        <f>IFERROR(__xludf.DUMMYFUNCTION("""COMPUTED_VALUE"""),1008.623)</f>
        <v>1008.623</v>
      </c>
      <c r="P960" s="14">
        <f>IFERROR(__xludf.DUMMYFUNCTION("""COMPUTED_VALUE"""),989.921)</f>
        <v>989.921</v>
      </c>
      <c r="Q960" s="14">
        <f>IFERROR(__xludf.DUMMYFUNCTION("""COMPUTED_VALUE"""),1012.979)</f>
        <v>1012.979</v>
      </c>
      <c r="R960" s="48">
        <f>IFERROR(__xludf.DUMMYFUNCTION("""COMPUTED_VALUE"""),7.04)</f>
        <v>7.04</v>
      </c>
      <c r="S960" s="48">
        <f>IFERROR(__xludf.DUMMYFUNCTION("""COMPUTED_VALUE"""),6.83)</f>
        <v>6.83</v>
      </c>
      <c r="T960" s="48">
        <f>IFERROR(__xludf.DUMMYFUNCTION("""COMPUTED_VALUE"""),6.99)</f>
        <v>6.99</v>
      </c>
      <c r="U960" s="48">
        <f>IFERROR(__xludf.DUMMYFUNCTION("""COMPUTED_VALUE"""),6.92)</f>
        <v>6.92</v>
      </c>
      <c r="V960" s="48">
        <f>IFERROR(__xludf.DUMMYFUNCTION("""COMPUTED_VALUE"""),7.02)</f>
        <v>7.02</v>
      </c>
      <c r="W960" s="14">
        <f>IFERROR(__xludf.DUMMYFUNCTION("""COMPUTED_VALUE"""),6.959999999999999)</f>
        <v>6.96</v>
      </c>
      <c r="X960" s="14">
        <f>IFERROR(__xludf.DUMMYFUNCTION("""COMPUTED_VALUE"""),20.7)</f>
        <v>20.7</v>
      </c>
      <c r="Y960" s="14">
        <f>IFERROR(__xludf.DUMMYFUNCTION("""COMPUTED_VALUE"""),20.6)</f>
        <v>20.6</v>
      </c>
      <c r="Z960" s="14">
        <f>IFERROR(__xludf.DUMMYFUNCTION("""COMPUTED_VALUE"""),20.6)</f>
        <v>20.6</v>
      </c>
      <c r="AA960" s="14">
        <f>IFERROR(__xludf.DUMMYFUNCTION("""COMPUTED_VALUE"""),20.7)</f>
        <v>20.7</v>
      </c>
      <c r="AB960" s="14">
        <f>IFERROR(__xludf.DUMMYFUNCTION("""COMPUTED_VALUE"""),20.7)</f>
        <v>20.7</v>
      </c>
      <c r="AC960" s="14">
        <f>IFERROR(__xludf.DUMMYFUNCTION("""COMPUTED_VALUE"""),20.66)</f>
        <v>20.66</v>
      </c>
      <c r="AD960" s="48">
        <f>IFERROR(__xludf.DUMMYFUNCTION("""COMPUTED_VALUE"""),346.0)</f>
        <v>346</v>
      </c>
      <c r="AE960" s="48">
        <f>IFERROR(__xludf.DUMMYFUNCTION("""COMPUTED_VALUE"""),337.0)</f>
        <v>337</v>
      </c>
      <c r="AF960" s="48">
        <f>IFERROR(__xludf.DUMMYFUNCTION("""COMPUTED_VALUE"""),331.0)</f>
        <v>331</v>
      </c>
      <c r="AG960" s="48">
        <f>IFERROR(__xludf.DUMMYFUNCTION("""COMPUTED_VALUE"""),334.0)</f>
        <v>334</v>
      </c>
      <c r="AH960" s="48">
        <f>IFERROR(__xludf.DUMMYFUNCTION("""COMPUTED_VALUE"""),339.0)</f>
        <v>339</v>
      </c>
      <c r="AI960" s="14">
        <f>IFERROR(__xludf.DUMMYFUNCTION("""COMPUTED_VALUE"""),337.4)</f>
        <v>337.4</v>
      </c>
      <c r="AJ960" s="14">
        <f>IFERROR(__xludf.DUMMYFUNCTION("""COMPUTED_VALUE"""),4.78)</f>
        <v>4.78</v>
      </c>
      <c r="AK960" s="14">
        <f>IFERROR(__xludf.DUMMYFUNCTION("""COMPUTED_VALUE"""),4.89)</f>
        <v>4.89</v>
      </c>
      <c r="AL960" s="14">
        <f>IFERROR(__xludf.DUMMYFUNCTION("""COMPUTED_VALUE"""),4.67)</f>
        <v>4.67</v>
      </c>
      <c r="AM960" s="14">
        <f>IFERROR(__xludf.DUMMYFUNCTION("""COMPUTED_VALUE"""),4.79)</f>
        <v>4.79</v>
      </c>
      <c r="AN960" s="14">
        <f>IFERROR(__xludf.DUMMYFUNCTION("""COMPUTED_VALUE"""),4.92)</f>
        <v>4.92</v>
      </c>
      <c r="AO960" s="14">
        <f>IFERROR(__xludf.DUMMYFUNCTION("""COMPUTED_VALUE"""),4.81)</f>
        <v>4.81</v>
      </c>
      <c r="AP960" s="14">
        <f>IFERROR(__xludf.DUMMYFUNCTION("""COMPUTED_VALUE"""),14.0)</f>
        <v>14</v>
      </c>
      <c r="AQ960" s="14">
        <f>IFERROR(__xludf.DUMMYFUNCTION("""COMPUTED_VALUE"""),22.0)</f>
        <v>22</v>
      </c>
      <c r="AR960" s="14">
        <f>IFERROR(__xludf.DUMMYFUNCTION("""COMPUTED_VALUE"""),40.0)</f>
        <v>40</v>
      </c>
      <c r="AS960" s="14">
        <f>IFERROR(__xludf.DUMMYFUNCTION("""COMPUTED_VALUE"""),1.0)</f>
        <v>1</v>
      </c>
      <c r="AT960" s="14">
        <f>IFERROR(__xludf.DUMMYFUNCTION("""COMPUTED_VALUE"""),0.37)</f>
        <v>0.37</v>
      </c>
      <c r="AU960" s="14">
        <f>IFERROR(__xludf.DUMMYFUNCTION("""COMPUTED_VALUE"""),1.462E7)</f>
        <v>14620000</v>
      </c>
      <c r="AV960" s="14">
        <f>IFERROR(__xludf.DUMMYFUNCTION("""COMPUTED_VALUE"""),0.13)</f>
        <v>0.13</v>
      </c>
      <c r="AW960" s="14">
        <f>IFERROR(__xludf.DUMMYFUNCTION("""COMPUTED_VALUE"""),4.2)</f>
        <v>4.2</v>
      </c>
      <c r="AX960" s="14">
        <f>IFERROR(__xludf.DUMMYFUNCTION("""COMPUTED_VALUE"""),1.042E7)</f>
        <v>10420000</v>
      </c>
      <c r="AY960" s="14">
        <f>IFERROR(__xludf.DUMMYFUNCTION("""COMPUTED_VALUE"""),4.9)</f>
        <v>4.9</v>
      </c>
      <c r="AZ960" s="14">
        <f>IFERROR(__xludf.DUMMYFUNCTION("""COMPUTED_VALUE"""),0.188)</f>
        <v>0.188</v>
      </c>
      <c r="BA960" s="14">
        <f t="shared" si="1"/>
        <v>9.288</v>
      </c>
    </row>
    <row r="961" ht="14.25" customHeight="1">
      <c r="A961" s="10" t="str">
        <f>IFERROR(__xludf.DUMMYFUNCTION("""COMPUTED_VALUE"""),"301023HA02")</f>
        <v>301023HA02</v>
      </c>
      <c r="B961" s="12" t="str">
        <f>IFERROR(__xludf.DUMMYFUNCTION("""COMPUTED_VALUE"""),"COR-Victoria Norte")</f>
        <v>COR-Victoria Norte</v>
      </c>
      <c r="C961" s="12"/>
      <c r="D961" s="12"/>
      <c r="E961" s="44">
        <f>IFERROR(__xludf.DUMMYFUNCTION("""COMPUTED_VALUE"""),45229.0)</f>
        <v>45229</v>
      </c>
      <c r="F961" s="12" t="str">
        <f>IFERROR(__xludf.DUMMYFUNCTION("""COMPUTED_VALUE"""),"TIPO I")</f>
        <v>TIPO I</v>
      </c>
      <c r="G961" s="12" t="str">
        <f>IFERROR(__xludf.DUMMYFUNCTION("""COMPUTED_VALUE"""),"Estructura del canal en concreto con cobertura vegetal y pastizales, durante el monitoreo se observa color y se percibe olor.
Altitud: 2568 msnm.")</f>
        <v>Estructura del canal en concreto con cobertura vegetal y pastizales, durante el monitoreo se observa color y se percibe olor.
Altitud: 2568 msnm.</v>
      </c>
      <c r="H961" s="45">
        <f>IFERROR(__xludf.DUMMYFUNCTION("""COMPUTED_VALUE"""),0.5)</f>
        <v>0.5</v>
      </c>
      <c r="I961" s="45">
        <f>IFERROR(__xludf.DUMMYFUNCTION("""COMPUTED_VALUE"""),0.5833333333321207)</f>
        <v>0.5833333333</v>
      </c>
      <c r="J961" s="12">
        <f>IFERROR(__xludf.DUMMYFUNCTION("""COMPUTED_VALUE"""),4.2)</f>
        <v>4.2</v>
      </c>
      <c r="K961" s="12">
        <f>IFERROR(__xludf.DUMMYFUNCTION("""COMPUTED_VALUE"""),0.13)</f>
        <v>0.13</v>
      </c>
      <c r="L961" s="14">
        <f>IFERROR(__xludf.DUMMYFUNCTION("""COMPUTED_VALUE"""),133.52)</f>
        <v>133.52</v>
      </c>
      <c r="M961" s="14">
        <f>IFERROR(__xludf.DUMMYFUNCTION("""COMPUTED_VALUE"""),134.768)</f>
        <v>134.768</v>
      </c>
      <c r="N961" s="14">
        <f>IFERROR(__xludf.DUMMYFUNCTION("""COMPUTED_VALUE"""),132.066)</f>
        <v>132.066</v>
      </c>
      <c r="O961" s="14">
        <f>IFERROR(__xludf.DUMMYFUNCTION("""COMPUTED_VALUE"""),133.489)</f>
        <v>133.489</v>
      </c>
      <c r="P961" s="14">
        <f>IFERROR(__xludf.DUMMYFUNCTION("""COMPUTED_VALUE"""),134.173)</f>
        <v>134.173</v>
      </c>
      <c r="Q961" s="14">
        <f>IFERROR(__xludf.DUMMYFUNCTION("""COMPUTED_VALUE"""),133.603)</f>
        <v>133.603</v>
      </c>
      <c r="R961" s="48">
        <f>IFERROR(__xludf.DUMMYFUNCTION("""COMPUTED_VALUE"""),7.23)</f>
        <v>7.23</v>
      </c>
      <c r="S961" s="48">
        <f>IFERROR(__xludf.DUMMYFUNCTION("""COMPUTED_VALUE"""),7.28)</f>
        <v>7.28</v>
      </c>
      <c r="T961" s="48">
        <f>IFERROR(__xludf.DUMMYFUNCTION("""COMPUTED_VALUE"""),7.41)</f>
        <v>7.41</v>
      </c>
      <c r="U961" s="48">
        <f>IFERROR(__xludf.DUMMYFUNCTION("""COMPUTED_VALUE"""),7.44)</f>
        <v>7.44</v>
      </c>
      <c r="V961" s="48">
        <f>IFERROR(__xludf.DUMMYFUNCTION("""COMPUTED_VALUE"""),7.43)</f>
        <v>7.43</v>
      </c>
      <c r="W961" s="14">
        <f>IFERROR(__xludf.DUMMYFUNCTION("""COMPUTED_VALUE"""),7.358000000000001)</f>
        <v>7.358</v>
      </c>
      <c r="X961" s="14">
        <f>IFERROR(__xludf.DUMMYFUNCTION("""COMPUTED_VALUE"""),23.9)</f>
        <v>23.9</v>
      </c>
      <c r="Y961" s="14">
        <f>IFERROR(__xludf.DUMMYFUNCTION("""COMPUTED_VALUE"""),24.5)</f>
        <v>24.5</v>
      </c>
      <c r="Z961" s="14">
        <f>IFERROR(__xludf.DUMMYFUNCTION("""COMPUTED_VALUE"""),24.2)</f>
        <v>24.2</v>
      </c>
      <c r="AA961" s="14">
        <f>IFERROR(__xludf.DUMMYFUNCTION("""COMPUTED_VALUE"""),23.7)</f>
        <v>23.7</v>
      </c>
      <c r="AB961" s="14">
        <f>IFERROR(__xludf.DUMMYFUNCTION("""COMPUTED_VALUE"""),23.6)</f>
        <v>23.6</v>
      </c>
      <c r="AC961" s="14">
        <f>IFERROR(__xludf.DUMMYFUNCTION("""COMPUTED_VALUE"""),23.98)</f>
        <v>23.98</v>
      </c>
      <c r="AD961" s="48">
        <f>IFERROR(__xludf.DUMMYFUNCTION("""COMPUTED_VALUE"""),412.0)</f>
        <v>412</v>
      </c>
      <c r="AE961" s="48">
        <f>IFERROR(__xludf.DUMMYFUNCTION("""COMPUTED_VALUE"""),421.0)</f>
        <v>421</v>
      </c>
      <c r="AF961" s="48">
        <f>IFERROR(__xludf.DUMMYFUNCTION("""COMPUTED_VALUE"""),412.0)</f>
        <v>412</v>
      </c>
      <c r="AG961" s="48">
        <f>IFERROR(__xludf.DUMMYFUNCTION("""COMPUTED_VALUE"""),429.0)</f>
        <v>429</v>
      </c>
      <c r="AH961" s="48">
        <f>IFERROR(__xludf.DUMMYFUNCTION("""COMPUTED_VALUE"""),437.0)</f>
        <v>437</v>
      </c>
      <c r="AI961" s="14">
        <f>IFERROR(__xludf.DUMMYFUNCTION("""COMPUTED_VALUE"""),422.2)</f>
        <v>422.2</v>
      </c>
      <c r="AJ961" s="14">
        <f>IFERROR(__xludf.DUMMYFUNCTION("""COMPUTED_VALUE"""),3.06)</f>
        <v>3.06</v>
      </c>
      <c r="AK961" s="14">
        <f>IFERROR(__xludf.DUMMYFUNCTION("""COMPUTED_VALUE"""),2.94)</f>
        <v>2.94</v>
      </c>
      <c r="AL961" s="14">
        <f>IFERROR(__xludf.DUMMYFUNCTION("""COMPUTED_VALUE"""),3.18)</f>
        <v>3.18</v>
      </c>
      <c r="AM961" s="14">
        <f>IFERROR(__xludf.DUMMYFUNCTION("""COMPUTED_VALUE"""),3.2)</f>
        <v>3.2</v>
      </c>
      <c r="AN961" s="14">
        <f>IFERROR(__xludf.DUMMYFUNCTION("""COMPUTED_VALUE"""),3.13)</f>
        <v>3.13</v>
      </c>
      <c r="AO961" s="14">
        <f>IFERROR(__xludf.DUMMYFUNCTION("""COMPUTED_VALUE"""),3.1019999999999994)</f>
        <v>3.102</v>
      </c>
      <c r="AP961" s="14">
        <f>IFERROR(__xludf.DUMMYFUNCTION("""COMPUTED_VALUE"""),15.0)</f>
        <v>15</v>
      </c>
      <c r="AQ961" s="14">
        <f>IFERROR(__xludf.DUMMYFUNCTION("""COMPUTED_VALUE"""),23.0)</f>
        <v>23</v>
      </c>
      <c r="AR961" s="14">
        <f>IFERROR(__xludf.DUMMYFUNCTION("""COMPUTED_VALUE"""),77.0)</f>
        <v>77</v>
      </c>
      <c r="AS961" s="14">
        <f>IFERROR(__xludf.DUMMYFUNCTION("""COMPUTED_VALUE"""),1.0)</f>
        <v>1</v>
      </c>
      <c r="AT961" s="14">
        <f>IFERROR(__xludf.DUMMYFUNCTION("""COMPUTED_VALUE"""),0.61)</f>
        <v>0.61</v>
      </c>
      <c r="AU961" s="14">
        <f>IFERROR(__xludf.DUMMYFUNCTION("""COMPUTED_VALUE"""),1515000.0)</f>
        <v>1515000</v>
      </c>
      <c r="AV961" s="14">
        <f>IFERROR(__xludf.DUMMYFUNCTION("""COMPUTED_VALUE"""),0.18)</f>
        <v>0.18</v>
      </c>
      <c r="AW961" s="14">
        <f>IFERROR(__xludf.DUMMYFUNCTION("""COMPUTED_VALUE"""),8.4)</f>
        <v>8.4</v>
      </c>
      <c r="AX961" s="14">
        <f>IFERROR(__xludf.DUMMYFUNCTION("""COMPUTED_VALUE"""),103900.0)</f>
        <v>103900</v>
      </c>
      <c r="AY961" s="14">
        <f>IFERROR(__xludf.DUMMYFUNCTION("""COMPUTED_VALUE"""),3.0)</f>
        <v>3</v>
      </c>
      <c r="AZ961" s="14">
        <f>IFERROR(__xludf.DUMMYFUNCTION("""COMPUTED_VALUE"""),0.489)</f>
        <v>0.489</v>
      </c>
      <c r="BA961" s="14">
        <f t="shared" si="1"/>
        <v>11.889</v>
      </c>
    </row>
    <row r="962" ht="14.25" customHeight="1">
      <c r="A962" s="10" t="str">
        <f>IFERROR(__xludf.DUMMYFUNCTION("""COMPUTED_VALUE"""),"311023FE03")</f>
        <v>311023FE03</v>
      </c>
      <c r="B962" s="12" t="str">
        <f>IFERROR(__xludf.DUMMYFUNCTION("""COMPUTED_VALUE"""),"QYO-Arrayanal")</f>
        <v>QYO-Arrayanal</v>
      </c>
      <c r="C962" s="12"/>
      <c r="D962" s="12"/>
      <c r="E962" s="44">
        <f>IFERROR(__xludf.DUMMYFUNCTION("""COMPUTED_VALUE"""),45230.0)</f>
        <v>45230</v>
      </c>
      <c r="F962" s="12" t="str">
        <f>IFERROR(__xludf.DUMMYFUNCTION("""COMPUTED_VALUE"""),"TIPO I")</f>
        <v>TIPO I</v>
      </c>
      <c r="G962" s="12" t="str">
        <f>IFERROR(__xludf.DUMMYFUNCTION("""COMPUTED_VALUE"""),"Lecho natural rocoso con cobertura vegetal arbórea, durante el monitoreo se observa color, no se percibe olor.
Altitud: 2818 msnm.")</f>
        <v>Lecho natural rocoso con cobertura vegetal arbórea, durante el monitoreo se observa color, no se percibe olor.
Altitud: 2818 msnm.</v>
      </c>
      <c r="H962" s="45">
        <f>IFERROR(__xludf.DUMMYFUNCTION("""COMPUTED_VALUE"""),0.6666666666678793)</f>
        <v>0.6666666667</v>
      </c>
      <c r="I962" s="45">
        <f>IFERROR(__xludf.DUMMYFUNCTION("""COMPUTED_VALUE"""),0.75)</f>
        <v>0.75</v>
      </c>
      <c r="J962" s="12">
        <f>IFERROR(__xludf.DUMMYFUNCTION("""COMPUTED_VALUE"""),3.5)</f>
        <v>3.5</v>
      </c>
      <c r="K962" s="12">
        <f>IFERROR(__xludf.DUMMYFUNCTION("""COMPUTED_VALUE"""),0.37)</f>
        <v>0.37</v>
      </c>
      <c r="L962" s="14">
        <f>IFERROR(__xludf.DUMMYFUNCTION("""COMPUTED_VALUE"""),153.071)</f>
        <v>153.071</v>
      </c>
      <c r="M962" s="14">
        <f>IFERROR(__xludf.DUMMYFUNCTION("""COMPUTED_VALUE"""),151.289)</f>
        <v>151.289</v>
      </c>
      <c r="N962" s="14">
        <f>IFERROR(__xludf.DUMMYFUNCTION("""COMPUTED_VALUE"""),148.97)</f>
        <v>148.97</v>
      </c>
      <c r="O962" s="14">
        <f>IFERROR(__xludf.DUMMYFUNCTION("""COMPUTED_VALUE"""),152.63)</f>
        <v>152.63</v>
      </c>
      <c r="P962" s="14">
        <f>IFERROR(__xludf.DUMMYFUNCTION("""COMPUTED_VALUE"""),150.192)</f>
        <v>150.192</v>
      </c>
      <c r="Q962" s="14">
        <f>IFERROR(__xludf.DUMMYFUNCTION("""COMPUTED_VALUE"""),151.23)</f>
        <v>151.23</v>
      </c>
      <c r="R962" s="48">
        <f>IFERROR(__xludf.DUMMYFUNCTION("""COMPUTED_VALUE"""),6.94)</f>
        <v>6.94</v>
      </c>
      <c r="S962" s="48">
        <f>IFERROR(__xludf.DUMMYFUNCTION("""COMPUTED_VALUE"""),6.86)</f>
        <v>6.86</v>
      </c>
      <c r="T962" s="48">
        <f>IFERROR(__xludf.DUMMYFUNCTION("""COMPUTED_VALUE"""),6.88)</f>
        <v>6.88</v>
      </c>
      <c r="U962" s="48">
        <f>IFERROR(__xludf.DUMMYFUNCTION("""COMPUTED_VALUE"""),6.9)</f>
        <v>6.9</v>
      </c>
      <c r="V962" s="48">
        <f>IFERROR(__xludf.DUMMYFUNCTION("""COMPUTED_VALUE"""),7.03)</f>
        <v>7.03</v>
      </c>
      <c r="W962" s="14">
        <f>IFERROR(__xludf.DUMMYFUNCTION("""COMPUTED_VALUE"""),6.922)</f>
        <v>6.922</v>
      </c>
      <c r="X962" s="14">
        <f>IFERROR(__xludf.DUMMYFUNCTION("""COMPUTED_VALUE"""),14.3)</f>
        <v>14.3</v>
      </c>
      <c r="Y962" s="14">
        <f>IFERROR(__xludf.DUMMYFUNCTION("""COMPUTED_VALUE"""),14.6)</f>
        <v>14.6</v>
      </c>
      <c r="Z962" s="14">
        <f>IFERROR(__xludf.DUMMYFUNCTION("""COMPUTED_VALUE"""),14.4)</f>
        <v>14.4</v>
      </c>
      <c r="AA962" s="14">
        <f>IFERROR(__xludf.DUMMYFUNCTION("""COMPUTED_VALUE"""),14.5)</f>
        <v>14.5</v>
      </c>
      <c r="AB962" s="14">
        <f>IFERROR(__xludf.DUMMYFUNCTION("""COMPUTED_VALUE"""),14.2)</f>
        <v>14.2</v>
      </c>
      <c r="AC962" s="14">
        <f>IFERROR(__xludf.DUMMYFUNCTION("""COMPUTED_VALUE"""),14.4)</f>
        <v>14.4</v>
      </c>
      <c r="AD962" s="48">
        <f>IFERROR(__xludf.DUMMYFUNCTION("""COMPUTED_VALUE"""),129.5)</f>
        <v>129.5</v>
      </c>
      <c r="AE962" s="48">
        <f>IFERROR(__xludf.DUMMYFUNCTION("""COMPUTED_VALUE"""),116.2)</f>
        <v>116.2</v>
      </c>
      <c r="AF962" s="48">
        <f>IFERROR(__xludf.DUMMYFUNCTION("""COMPUTED_VALUE"""),109.8)</f>
        <v>109.8</v>
      </c>
      <c r="AG962" s="48">
        <f>IFERROR(__xludf.DUMMYFUNCTION("""COMPUTED_VALUE"""),111.2)</f>
        <v>111.2</v>
      </c>
      <c r="AH962" s="48">
        <f>IFERROR(__xludf.DUMMYFUNCTION("""COMPUTED_VALUE"""),110.3)</f>
        <v>110.3</v>
      </c>
      <c r="AI962" s="14">
        <f>IFERROR(__xludf.DUMMYFUNCTION("""COMPUTED_VALUE"""),115.4)</f>
        <v>115.4</v>
      </c>
      <c r="AJ962" s="14">
        <f>IFERROR(__xludf.DUMMYFUNCTION("""COMPUTED_VALUE"""),5.29)</f>
        <v>5.29</v>
      </c>
      <c r="AK962" s="14">
        <f>IFERROR(__xludf.DUMMYFUNCTION("""COMPUTED_VALUE"""),5.45)</f>
        <v>5.45</v>
      </c>
      <c r="AL962" s="14">
        <f>IFERROR(__xludf.DUMMYFUNCTION("""COMPUTED_VALUE"""),4.93)</f>
        <v>4.93</v>
      </c>
      <c r="AM962" s="14">
        <f>IFERROR(__xludf.DUMMYFUNCTION("""COMPUTED_VALUE"""),5.01)</f>
        <v>5.01</v>
      </c>
      <c r="AN962" s="14">
        <f>IFERROR(__xludf.DUMMYFUNCTION("""COMPUTED_VALUE"""),5.07)</f>
        <v>5.07</v>
      </c>
      <c r="AO962" s="14">
        <f>IFERROR(__xludf.DUMMYFUNCTION("""COMPUTED_VALUE"""),5.15)</f>
        <v>5.15</v>
      </c>
      <c r="AP962" s="14">
        <f>IFERROR(__xludf.DUMMYFUNCTION("""COMPUTED_VALUE"""),8.0)</f>
        <v>8</v>
      </c>
      <c r="AQ962" s="14">
        <f>IFERROR(__xludf.DUMMYFUNCTION("""COMPUTED_VALUE"""),15.0)</f>
        <v>15</v>
      </c>
      <c r="AR962" s="14">
        <f>IFERROR(__xludf.DUMMYFUNCTION("""COMPUTED_VALUE"""),16.0)</f>
        <v>16</v>
      </c>
      <c r="AS962" s="14">
        <f>IFERROR(__xludf.DUMMYFUNCTION("""COMPUTED_VALUE"""),1.0)</f>
        <v>1</v>
      </c>
      <c r="AT962" s="14">
        <f>IFERROR(__xludf.DUMMYFUNCTION("""COMPUTED_VALUE"""),0.07)</f>
        <v>0.07</v>
      </c>
      <c r="AU962" s="14">
        <f>IFERROR(__xludf.DUMMYFUNCTION("""COMPUTED_VALUE"""),1.483E8)</f>
        <v>148300000</v>
      </c>
      <c r="AV962" s="14">
        <f>IFERROR(__xludf.DUMMYFUNCTION("""COMPUTED_VALUE"""),0.25)</f>
        <v>0.25</v>
      </c>
      <c r="AW962" s="14">
        <f>IFERROR(__xludf.DUMMYFUNCTION("""COMPUTED_VALUE"""),3.4)</f>
        <v>3.4</v>
      </c>
      <c r="AX962" s="14">
        <f>IFERROR(__xludf.DUMMYFUNCTION("""COMPUTED_VALUE"""),1.204E8)</f>
        <v>120400000</v>
      </c>
      <c r="AY962" s="14">
        <f>IFERROR(__xludf.DUMMYFUNCTION("""COMPUTED_VALUE"""),1.7)</f>
        <v>1.7</v>
      </c>
      <c r="AZ962" s="14">
        <f>IFERROR(__xludf.DUMMYFUNCTION("""COMPUTED_VALUE"""),0.048)</f>
        <v>0.048</v>
      </c>
      <c r="BA962" s="14">
        <f t="shared" si="1"/>
        <v>5.148</v>
      </c>
    </row>
    <row r="963" ht="14.25" customHeight="1">
      <c r="A963" s="10" t="str">
        <f>IFERROR(__xludf.DUMMYFUNCTION("""COMPUTED_VALUE"""),"311023FE01")</f>
        <v>311023FE01</v>
      </c>
      <c r="B963" s="12" t="str">
        <f>IFERROR(__xludf.DUMMYFUNCTION("""COMPUTED_VALUE"""),"QYO-Bolonia")</f>
        <v>QYO-Bolonia</v>
      </c>
      <c r="C963" s="12"/>
      <c r="D963" s="12"/>
      <c r="E963" s="44">
        <f>IFERROR(__xludf.DUMMYFUNCTION("""COMPUTED_VALUE"""),45230.0)</f>
        <v>45230</v>
      </c>
      <c r="F963" s="12" t="str">
        <f>IFERROR(__xludf.DUMMYFUNCTION("""COMPUTED_VALUE"""),"TIPO I")</f>
        <v>TIPO I</v>
      </c>
      <c r="G963" s="12" t="str">
        <f>IFERROR(__xludf.DUMMYFUNCTION("""COMPUTED_VALUE"""),"Lecho del cauce natural, se observa color y se percibe olor.")</f>
        <v>Lecho del cauce natural, se observa color y se percibe olor.</v>
      </c>
      <c r="H963" s="45">
        <f>IFERROR(__xludf.DUMMYFUNCTION("""COMPUTED_VALUE"""),0.3333333333321207)</f>
        <v>0.3333333333</v>
      </c>
      <c r="I963" s="45">
        <f>IFERROR(__xludf.DUMMYFUNCTION("""COMPUTED_VALUE"""),0.4166666666678793)</f>
        <v>0.4166666667</v>
      </c>
      <c r="J963" s="12">
        <f>IFERROR(__xludf.DUMMYFUNCTION("""COMPUTED_VALUE"""),4.7)</f>
        <v>4.7</v>
      </c>
      <c r="K963" s="12">
        <f>IFERROR(__xludf.DUMMYFUNCTION("""COMPUTED_VALUE"""),0.47)</f>
        <v>0.47</v>
      </c>
      <c r="L963" s="14">
        <f>IFERROR(__xludf.DUMMYFUNCTION("""COMPUTED_VALUE"""),406.055)</f>
        <v>406.055</v>
      </c>
      <c r="M963" s="14">
        <f>IFERROR(__xludf.DUMMYFUNCTION("""COMPUTED_VALUE"""),405.114)</f>
        <v>405.114</v>
      </c>
      <c r="N963" s="14">
        <f>IFERROR(__xludf.DUMMYFUNCTION("""COMPUTED_VALUE"""),407.2)</f>
        <v>407.2</v>
      </c>
      <c r="O963" s="14">
        <f>IFERROR(__xludf.DUMMYFUNCTION("""COMPUTED_VALUE"""),411.136)</f>
        <v>411.136</v>
      </c>
      <c r="P963" s="14">
        <f>IFERROR(__xludf.DUMMYFUNCTION("""COMPUTED_VALUE"""),412.393)</f>
        <v>412.393</v>
      </c>
      <c r="Q963" s="14">
        <f>IFERROR(__xludf.DUMMYFUNCTION("""COMPUTED_VALUE"""),408.379)</f>
        <v>408.379</v>
      </c>
      <c r="R963" s="48">
        <f>IFERROR(__xludf.DUMMYFUNCTION("""COMPUTED_VALUE"""),7.16)</f>
        <v>7.16</v>
      </c>
      <c r="S963" s="48">
        <f>IFERROR(__xludf.DUMMYFUNCTION("""COMPUTED_VALUE"""),7.19)</f>
        <v>7.19</v>
      </c>
      <c r="T963" s="48">
        <f>IFERROR(__xludf.DUMMYFUNCTION("""COMPUTED_VALUE"""),7.23)</f>
        <v>7.23</v>
      </c>
      <c r="U963" s="48">
        <f>IFERROR(__xludf.DUMMYFUNCTION("""COMPUTED_VALUE"""),7.07)</f>
        <v>7.07</v>
      </c>
      <c r="V963" s="48">
        <f>IFERROR(__xludf.DUMMYFUNCTION("""COMPUTED_VALUE"""),7.14)</f>
        <v>7.14</v>
      </c>
      <c r="W963" s="14">
        <f>IFERROR(__xludf.DUMMYFUNCTION("""COMPUTED_VALUE"""),7.1579999999999995)</f>
        <v>7.158</v>
      </c>
      <c r="X963" s="14">
        <f>IFERROR(__xludf.DUMMYFUNCTION("""COMPUTED_VALUE"""),15.0)</f>
        <v>15</v>
      </c>
      <c r="Y963" s="14">
        <f>IFERROR(__xludf.DUMMYFUNCTION("""COMPUTED_VALUE"""),15.4)</f>
        <v>15.4</v>
      </c>
      <c r="Z963" s="14">
        <f>IFERROR(__xludf.DUMMYFUNCTION("""COMPUTED_VALUE"""),14.3)</f>
        <v>14.3</v>
      </c>
      <c r="AA963" s="14">
        <f>IFERROR(__xludf.DUMMYFUNCTION("""COMPUTED_VALUE"""),14.3)</f>
        <v>14.3</v>
      </c>
      <c r="AB963" s="14">
        <f>IFERROR(__xludf.DUMMYFUNCTION("""COMPUTED_VALUE"""),14.8)</f>
        <v>14.8</v>
      </c>
      <c r="AC963" s="14">
        <f>IFERROR(__xludf.DUMMYFUNCTION("""COMPUTED_VALUE"""),14.76)</f>
        <v>14.76</v>
      </c>
      <c r="AD963" s="48">
        <f>IFERROR(__xludf.DUMMYFUNCTION("""COMPUTED_VALUE"""),163.2)</f>
        <v>163.2</v>
      </c>
      <c r="AE963" s="48">
        <f>IFERROR(__xludf.DUMMYFUNCTION("""COMPUTED_VALUE"""),149.0)</f>
        <v>149</v>
      </c>
      <c r="AF963" s="48">
        <f>IFERROR(__xludf.DUMMYFUNCTION("""COMPUTED_VALUE"""),186.0)</f>
        <v>186</v>
      </c>
      <c r="AG963" s="48">
        <f>IFERROR(__xludf.DUMMYFUNCTION("""COMPUTED_VALUE"""),163.9)</f>
        <v>163.9</v>
      </c>
      <c r="AH963" s="48">
        <f>IFERROR(__xludf.DUMMYFUNCTION("""COMPUTED_VALUE"""),161.5)</f>
        <v>161.5</v>
      </c>
      <c r="AI963" s="14">
        <f>IFERROR(__xludf.DUMMYFUNCTION("""COMPUTED_VALUE"""),164.72)</f>
        <v>164.72</v>
      </c>
      <c r="AJ963" s="14">
        <f>IFERROR(__xludf.DUMMYFUNCTION("""COMPUTED_VALUE"""),1.95)</f>
        <v>1.95</v>
      </c>
      <c r="AK963" s="14">
        <f>IFERROR(__xludf.DUMMYFUNCTION("""COMPUTED_VALUE"""),2.14)</f>
        <v>2.14</v>
      </c>
      <c r="AL963" s="14">
        <f>IFERROR(__xludf.DUMMYFUNCTION("""COMPUTED_VALUE"""),2.83)</f>
        <v>2.83</v>
      </c>
      <c r="AM963" s="14">
        <f>IFERROR(__xludf.DUMMYFUNCTION("""COMPUTED_VALUE"""),2.72)</f>
        <v>2.72</v>
      </c>
      <c r="AN963" s="14">
        <f>IFERROR(__xludf.DUMMYFUNCTION("""COMPUTED_VALUE"""),2.42)</f>
        <v>2.42</v>
      </c>
      <c r="AO963" s="14">
        <f>IFERROR(__xludf.DUMMYFUNCTION("""COMPUTED_VALUE"""),2.412)</f>
        <v>2.412</v>
      </c>
      <c r="AP963" s="14">
        <f>IFERROR(__xludf.DUMMYFUNCTION("""COMPUTED_VALUE"""),12.0)</f>
        <v>12</v>
      </c>
      <c r="AQ963" s="14">
        <f>IFERROR(__xludf.DUMMYFUNCTION("""COMPUTED_VALUE"""),19.0)</f>
        <v>19</v>
      </c>
      <c r="AR963" s="14">
        <f>IFERROR(__xludf.DUMMYFUNCTION("""COMPUTED_VALUE"""),41.0)</f>
        <v>41</v>
      </c>
      <c r="AS963" s="14">
        <f>IFERROR(__xludf.DUMMYFUNCTION("""COMPUTED_VALUE"""),1.0)</f>
        <v>1</v>
      </c>
      <c r="AT963" s="14">
        <f>IFERROR(__xludf.DUMMYFUNCTION("""COMPUTED_VALUE"""),0.07)</f>
        <v>0.07</v>
      </c>
      <c r="AU963" s="14">
        <f>IFERROR(__xludf.DUMMYFUNCTION("""COMPUTED_VALUE"""),1.095E8)</f>
        <v>109500000</v>
      </c>
      <c r="AV963" s="14">
        <f>IFERROR(__xludf.DUMMYFUNCTION("""COMPUTED_VALUE"""),0.33)</f>
        <v>0.33</v>
      </c>
      <c r="AW963" s="14">
        <f>IFERROR(__xludf.DUMMYFUNCTION("""COMPUTED_VALUE"""),4.5)</f>
        <v>4.5</v>
      </c>
      <c r="AX963" s="14">
        <f>IFERROR(__xludf.DUMMYFUNCTION("""COMPUTED_VALUE"""),1.01E8)</f>
        <v>101000000</v>
      </c>
      <c r="AY963" s="14">
        <f>IFERROR(__xludf.DUMMYFUNCTION("""COMPUTED_VALUE"""),1.8)</f>
        <v>1.8</v>
      </c>
      <c r="AZ963" s="14">
        <f>IFERROR(__xludf.DUMMYFUNCTION("""COMPUTED_VALUE"""),0.104)</f>
        <v>0.104</v>
      </c>
      <c r="BA963" s="14">
        <f t="shared" si="1"/>
        <v>6.404</v>
      </c>
    </row>
    <row r="964" ht="14.25" customHeight="1">
      <c r="A964" s="10" t="str">
        <f>IFERROR(__xludf.DUMMYFUNCTION("""COMPUTED_VALUE"""),"311023FE02")</f>
        <v>311023FE02</v>
      </c>
      <c r="B964" s="12" t="str">
        <f>IFERROR(__xludf.DUMMYFUNCTION("""COMPUTED_VALUE"""),"QYO-Monte Blanco")</f>
        <v>QYO-Monte Blanco</v>
      </c>
      <c r="C964" s="12"/>
      <c r="D964" s="12"/>
      <c r="E964" s="44">
        <f>IFERROR(__xludf.DUMMYFUNCTION("""COMPUTED_VALUE"""),45230.0)</f>
        <v>45230</v>
      </c>
      <c r="F964" s="12" t="str">
        <f>IFERROR(__xludf.DUMMYFUNCTION("""COMPUTED_VALUE"""),"TIPO I")</f>
        <v>TIPO I</v>
      </c>
      <c r="G964" s="12" t="str">
        <f>IFERROR(__xludf.DUMMYFUNCTION("""COMPUTED_VALUE"""),"Lecho natural, rocoso-arenoso, se observa color y se percibe olor.")</f>
        <v>Lecho natural, rocoso-arenoso, se observa color y se percibe olor.</v>
      </c>
      <c r="H964" s="45">
        <f>IFERROR(__xludf.DUMMYFUNCTION("""COMPUTED_VALUE"""),0.5)</f>
        <v>0.5</v>
      </c>
      <c r="I964" s="45">
        <f>IFERROR(__xludf.DUMMYFUNCTION("""COMPUTED_VALUE"""),0.5833333333321207)</f>
        <v>0.5833333333</v>
      </c>
      <c r="J964" s="12">
        <f>IFERROR(__xludf.DUMMYFUNCTION("""COMPUTED_VALUE"""),4.85)</f>
        <v>4.85</v>
      </c>
      <c r="K964" s="12">
        <f>IFERROR(__xludf.DUMMYFUNCTION("""COMPUTED_VALUE"""),0.59)</f>
        <v>0.59</v>
      </c>
      <c r="L964" s="14">
        <f>IFERROR(__xludf.DUMMYFUNCTION("""COMPUTED_VALUE"""),506.777)</f>
        <v>506.777</v>
      </c>
      <c r="M964" s="14">
        <f>IFERROR(__xludf.DUMMYFUNCTION("""COMPUTED_VALUE"""),505.034)</f>
        <v>505.034</v>
      </c>
      <c r="N964" s="14">
        <f>IFERROR(__xludf.DUMMYFUNCTION("""COMPUTED_VALUE"""),518.828)</f>
        <v>518.828</v>
      </c>
      <c r="O964" s="14">
        <f>IFERROR(__xludf.DUMMYFUNCTION("""COMPUTED_VALUE"""),520.16)</f>
        <v>520.16</v>
      </c>
      <c r="P964" s="14">
        <f>IFERROR(__xludf.DUMMYFUNCTION("""COMPUTED_VALUE"""),522.239)</f>
        <v>522.239</v>
      </c>
      <c r="Q964" s="14">
        <f>IFERROR(__xludf.DUMMYFUNCTION("""COMPUTED_VALUE"""),514.608)</f>
        <v>514.608</v>
      </c>
      <c r="R964" s="48">
        <f>IFERROR(__xludf.DUMMYFUNCTION("""COMPUTED_VALUE"""),7.17)</f>
        <v>7.17</v>
      </c>
      <c r="S964" s="48">
        <f>IFERROR(__xludf.DUMMYFUNCTION("""COMPUTED_VALUE"""),7.08)</f>
        <v>7.08</v>
      </c>
      <c r="T964" s="48">
        <f>IFERROR(__xludf.DUMMYFUNCTION("""COMPUTED_VALUE"""),7.25)</f>
        <v>7.25</v>
      </c>
      <c r="U964" s="48">
        <f>IFERROR(__xludf.DUMMYFUNCTION("""COMPUTED_VALUE"""),7.3)</f>
        <v>7.3</v>
      </c>
      <c r="V964" s="48">
        <f>IFERROR(__xludf.DUMMYFUNCTION("""COMPUTED_VALUE"""),7.12)</f>
        <v>7.12</v>
      </c>
      <c r="W964" s="14">
        <f>IFERROR(__xludf.DUMMYFUNCTION("""COMPUTED_VALUE"""),7.184)</f>
        <v>7.184</v>
      </c>
      <c r="X964" s="14">
        <f>IFERROR(__xludf.DUMMYFUNCTION("""COMPUTED_VALUE"""),17.0)</f>
        <v>17</v>
      </c>
      <c r="Y964" s="14">
        <f>IFERROR(__xludf.DUMMYFUNCTION("""COMPUTED_VALUE"""),16.7)</f>
        <v>16.7</v>
      </c>
      <c r="Z964" s="14">
        <f>IFERROR(__xludf.DUMMYFUNCTION("""COMPUTED_VALUE"""),17.0)</f>
        <v>17</v>
      </c>
      <c r="AA964" s="14">
        <f>IFERROR(__xludf.DUMMYFUNCTION("""COMPUTED_VALUE"""),16.9)</f>
        <v>16.9</v>
      </c>
      <c r="AB964" s="14">
        <f>IFERROR(__xludf.DUMMYFUNCTION("""COMPUTED_VALUE"""),17.1)</f>
        <v>17.1</v>
      </c>
      <c r="AC964" s="14">
        <f>IFERROR(__xludf.DUMMYFUNCTION("""COMPUTED_VALUE"""),16.939999999999998)</f>
        <v>16.94</v>
      </c>
      <c r="AD964" s="48">
        <f>IFERROR(__xludf.DUMMYFUNCTION("""COMPUTED_VALUE"""),283.0)</f>
        <v>283</v>
      </c>
      <c r="AE964" s="48">
        <f>IFERROR(__xludf.DUMMYFUNCTION("""COMPUTED_VALUE"""),287.0)</f>
        <v>287</v>
      </c>
      <c r="AF964" s="48">
        <f>IFERROR(__xludf.DUMMYFUNCTION("""COMPUTED_VALUE"""),290.0)</f>
        <v>290</v>
      </c>
      <c r="AG964" s="48">
        <f>IFERROR(__xludf.DUMMYFUNCTION("""COMPUTED_VALUE"""),278.0)</f>
        <v>278</v>
      </c>
      <c r="AH964" s="48">
        <f>IFERROR(__xludf.DUMMYFUNCTION("""COMPUTED_VALUE"""),284.0)</f>
        <v>284</v>
      </c>
      <c r="AI964" s="14">
        <f>IFERROR(__xludf.DUMMYFUNCTION("""COMPUTED_VALUE"""),284.4)</f>
        <v>284.4</v>
      </c>
      <c r="AJ964" s="14">
        <f>IFERROR(__xludf.DUMMYFUNCTION("""COMPUTED_VALUE"""),1.3)</f>
        <v>1.3</v>
      </c>
      <c r="AK964" s="14">
        <f>IFERROR(__xludf.DUMMYFUNCTION("""COMPUTED_VALUE"""),1.71)</f>
        <v>1.71</v>
      </c>
      <c r="AL964" s="14">
        <f>IFERROR(__xludf.DUMMYFUNCTION("""COMPUTED_VALUE"""),1.77)</f>
        <v>1.77</v>
      </c>
      <c r="AM964" s="14">
        <f>IFERROR(__xludf.DUMMYFUNCTION("""COMPUTED_VALUE"""),2.08)</f>
        <v>2.08</v>
      </c>
      <c r="AN964" s="14">
        <f>IFERROR(__xludf.DUMMYFUNCTION("""COMPUTED_VALUE"""),1.86)</f>
        <v>1.86</v>
      </c>
      <c r="AO964" s="14">
        <f>IFERROR(__xludf.DUMMYFUNCTION("""COMPUTED_VALUE"""),1.7439999999999998)</f>
        <v>1.744</v>
      </c>
      <c r="AP964" s="14">
        <f>IFERROR(__xludf.DUMMYFUNCTION("""COMPUTED_VALUE"""),21.0)</f>
        <v>21</v>
      </c>
      <c r="AQ964" s="14">
        <f>IFERROR(__xludf.DUMMYFUNCTION("""COMPUTED_VALUE"""),33.0)</f>
        <v>33</v>
      </c>
      <c r="AR964" s="14">
        <f>IFERROR(__xludf.DUMMYFUNCTION("""COMPUTED_VALUE"""),35.0)</f>
        <v>35</v>
      </c>
      <c r="AS964" s="14">
        <f>IFERROR(__xludf.DUMMYFUNCTION("""COMPUTED_VALUE"""),1.0)</f>
        <v>1</v>
      </c>
      <c r="AT964" s="14">
        <f>IFERROR(__xludf.DUMMYFUNCTION("""COMPUTED_VALUE"""),0.89)</f>
        <v>0.89</v>
      </c>
      <c r="AU964" s="14">
        <f>IFERROR(__xludf.DUMMYFUNCTION("""COMPUTED_VALUE"""),1789000.0)</f>
        <v>1789000</v>
      </c>
      <c r="AV964" s="14">
        <f>IFERROR(__xludf.DUMMYFUNCTION("""COMPUTED_VALUE"""),1.01)</f>
        <v>1.01</v>
      </c>
      <c r="AW964" s="14">
        <f>IFERROR(__xludf.DUMMYFUNCTION("""COMPUTED_VALUE"""),11.8)</f>
        <v>11.8</v>
      </c>
      <c r="AX964" s="14">
        <f>IFERROR(__xludf.DUMMYFUNCTION("""COMPUTED_VALUE"""),1050000.0)</f>
        <v>1050000</v>
      </c>
      <c r="AY964" s="14">
        <f>IFERROR(__xludf.DUMMYFUNCTION("""COMPUTED_VALUE"""),1.0)</f>
        <v>1</v>
      </c>
      <c r="AZ964" s="14">
        <f>IFERROR(__xludf.DUMMYFUNCTION("""COMPUTED_VALUE"""),0.14)</f>
        <v>0.14</v>
      </c>
      <c r="BA964" s="14">
        <f t="shared" si="1"/>
        <v>12.94</v>
      </c>
    </row>
    <row r="965" ht="14.25" customHeight="1">
      <c r="A965" s="10" t="str">
        <f>IFERROR(__xludf.DUMMYFUNCTION("""COMPUTED_VALUE"""),"301023HA01")</f>
        <v>301023HA01</v>
      </c>
      <c r="B965" s="12" t="str">
        <f>IFERROR(__xludf.DUMMYFUNCTION("""COMPUTED_VALUE"""),"COR-Britalia")</f>
        <v>COR-Britalia</v>
      </c>
      <c r="C965" s="12"/>
      <c r="D965" s="12"/>
      <c r="E965" s="44">
        <f>IFERROR(__xludf.DUMMYFUNCTION("""COMPUTED_VALUE"""),45229.0)</f>
        <v>45229</v>
      </c>
      <c r="F965" s="12" t="str">
        <f>IFERROR(__xludf.DUMMYFUNCTION("""COMPUTED_VALUE"""),"TIPO I")</f>
        <v>TIPO I</v>
      </c>
      <c r="G965" s="12" t="str">
        <f>IFERROR(__xludf.DUMMYFUNCTION("""COMPUTED_VALUE"""),"Canal artificial con sedimentos, cobertura vegetal arbórea y pastizales, durante el monitoreo se observa color, no se percibe olor. 
Altitud: 2579 msnm. ")</f>
        <v>Canal artificial con sedimentos, cobertura vegetal arbórea y pastizales, durante el monitoreo se observa color, no se percibe olor. 
Altitud: 2579 msnm. </v>
      </c>
      <c r="H965" s="45">
        <f>IFERROR(__xludf.DUMMYFUNCTION("""COMPUTED_VALUE"""),0.3333333333321207)</f>
        <v>0.3333333333</v>
      </c>
      <c r="I965" s="45">
        <f>IFERROR(__xludf.DUMMYFUNCTION("""COMPUTED_VALUE"""),0.4166666666678793)</f>
        <v>0.4166666667</v>
      </c>
      <c r="J965" s="12">
        <f>IFERROR(__xludf.DUMMYFUNCTION("""COMPUTED_VALUE"""),3.0)</f>
        <v>3</v>
      </c>
      <c r="K965" s="12">
        <f>IFERROR(__xludf.DUMMYFUNCTION("""COMPUTED_VALUE"""),0.07)</f>
        <v>0.07</v>
      </c>
      <c r="L965" s="14">
        <f>IFERROR(__xludf.DUMMYFUNCTION("""COMPUTED_VALUE"""),28.887)</f>
        <v>28.887</v>
      </c>
      <c r="M965" s="14">
        <f>IFERROR(__xludf.DUMMYFUNCTION("""COMPUTED_VALUE"""),29.946)</f>
        <v>29.946</v>
      </c>
      <c r="N965" s="14">
        <f>IFERROR(__xludf.DUMMYFUNCTION("""COMPUTED_VALUE"""),30.385)</f>
        <v>30.385</v>
      </c>
      <c r="O965" s="14">
        <f>IFERROR(__xludf.DUMMYFUNCTION("""COMPUTED_VALUE"""),31.065)</f>
        <v>31.065</v>
      </c>
      <c r="P965" s="14">
        <f>IFERROR(__xludf.DUMMYFUNCTION("""COMPUTED_VALUE"""),31.438)</f>
        <v>31.438</v>
      </c>
      <c r="Q965" s="14">
        <f>IFERROR(__xludf.DUMMYFUNCTION("""COMPUTED_VALUE"""),30.344)</f>
        <v>30.344</v>
      </c>
      <c r="R965" s="48">
        <f>IFERROR(__xludf.DUMMYFUNCTION("""COMPUTED_VALUE"""),7.23)</f>
        <v>7.23</v>
      </c>
      <c r="S965" s="48">
        <f>IFERROR(__xludf.DUMMYFUNCTION("""COMPUTED_VALUE"""),6.87)</f>
        <v>6.87</v>
      </c>
      <c r="T965" s="48">
        <f>IFERROR(__xludf.DUMMYFUNCTION("""COMPUTED_VALUE"""),6.81)</f>
        <v>6.81</v>
      </c>
      <c r="U965" s="48">
        <f>IFERROR(__xludf.DUMMYFUNCTION("""COMPUTED_VALUE"""),6.82)</f>
        <v>6.82</v>
      </c>
      <c r="V965" s="48">
        <f>IFERROR(__xludf.DUMMYFUNCTION("""COMPUTED_VALUE"""),6.81)</f>
        <v>6.81</v>
      </c>
      <c r="W965" s="14">
        <f>IFERROR(__xludf.DUMMYFUNCTION("""COMPUTED_VALUE"""),6.9079999999999995)</f>
        <v>6.908</v>
      </c>
      <c r="X965" s="14">
        <f>IFERROR(__xludf.DUMMYFUNCTION("""COMPUTED_VALUE"""),21.0)</f>
        <v>21</v>
      </c>
      <c r="Y965" s="14">
        <f>IFERROR(__xludf.DUMMYFUNCTION("""COMPUTED_VALUE"""),21.3)</f>
        <v>21.3</v>
      </c>
      <c r="Z965" s="14">
        <f>IFERROR(__xludf.DUMMYFUNCTION("""COMPUTED_VALUE"""),21.1)</f>
        <v>21.1</v>
      </c>
      <c r="AA965" s="14">
        <f>IFERROR(__xludf.DUMMYFUNCTION("""COMPUTED_VALUE"""),21.3)</f>
        <v>21.3</v>
      </c>
      <c r="AB965" s="14">
        <f>IFERROR(__xludf.DUMMYFUNCTION("""COMPUTED_VALUE"""),21.2)</f>
        <v>21.2</v>
      </c>
      <c r="AC965" s="14">
        <f>IFERROR(__xludf.DUMMYFUNCTION("""COMPUTED_VALUE"""),21.18)</f>
        <v>21.18</v>
      </c>
      <c r="AD965" s="48">
        <f>IFERROR(__xludf.DUMMYFUNCTION("""COMPUTED_VALUE"""),390.0)</f>
        <v>390</v>
      </c>
      <c r="AE965" s="48">
        <f>IFERROR(__xludf.DUMMYFUNCTION("""COMPUTED_VALUE"""),343.0)</f>
        <v>343</v>
      </c>
      <c r="AF965" s="48">
        <f>IFERROR(__xludf.DUMMYFUNCTION("""COMPUTED_VALUE"""),323.0)</f>
        <v>323</v>
      </c>
      <c r="AG965" s="48">
        <f>IFERROR(__xludf.DUMMYFUNCTION("""COMPUTED_VALUE"""),363.0)</f>
        <v>363</v>
      </c>
      <c r="AH965" s="48">
        <f>IFERROR(__xludf.DUMMYFUNCTION("""COMPUTED_VALUE"""),362.0)</f>
        <v>362</v>
      </c>
      <c r="AI965" s="14">
        <f>IFERROR(__xludf.DUMMYFUNCTION("""COMPUTED_VALUE"""),356.2)</f>
        <v>356.2</v>
      </c>
      <c r="AJ965" s="14">
        <f>IFERROR(__xludf.DUMMYFUNCTION("""COMPUTED_VALUE"""),2.29)</f>
        <v>2.29</v>
      </c>
      <c r="AK965" s="14">
        <f>IFERROR(__xludf.DUMMYFUNCTION("""COMPUTED_VALUE"""),1.32)</f>
        <v>1.32</v>
      </c>
      <c r="AL965" s="14">
        <f>IFERROR(__xludf.DUMMYFUNCTION("""COMPUTED_VALUE"""),1.51)</f>
        <v>1.51</v>
      </c>
      <c r="AM965" s="14">
        <f>IFERROR(__xludf.DUMMYFUNCTION("""COMPUTED_VALUE"""),1.77)</f>
        <v>1.77</v>
      </c>
      <c r="AN965" s="14">
        <f>IFERROR(__xludf.DUMMYFUNCTION("""COMPUTED_VALUE"""),1.58)</f>
        <v>1.58</v>
      </c>
      <c r="AO965" s="14">
        <f>IFERROR(__xludf.DUMMYFUNCTION("""COMPUTED_VALUE"""),1.6940000000000002)</f>
        <v>1.694</v>
      </c>
      <c r="AP965" s="14">
        <f>IFERROR(__xludf.DUMMYFUNCTION("""COMPUTED_VALUE"""),12.0)</f>
        <v>12</v>
      </c>
      <c r="AQ965" s="14">
        <f>IFERROR(__xludf.DUMMYFUNCTION("""COMPUTED_VALUE"""),18.0)</f>
        <v>18</v>
      </c>
      <c r="AR965" s="14">
        <f>IFERROR(__xludf.DUMMYFUNCTION("""COMPUTED_VALUE"""),12.0)</f>
        <v>12</v>
      </c>
      <c r="AS965" s="14">
        <f>IFERROR(__xludf.DUMMYFUNCTION("""COMPUTED_VALUE"""),1.0)</f>
        <v>1</v>
      </c>
      <c r="AT965" s="14">
        <f>IFERROR(__xludf.DUMMYFUNCTION("""COMPUTED_VALUE"""),0.38)</f>
        <v>0.38</v>
      </c>
      <c r="AU965" s="14">
        <f>IFERROR(__xludf.DUMMYFUNCTION("""COMPUTED_VALUE"""),158500.0)</f>
        <v>158500</v>
      </c>
      <c r="AV965" s="14">
        <f>IFERROR(__xludf.DUMMYFUNCTION("""COMPUTED_VALUE"""),0.31)</f>
        <v>0.31</v>
      </c>
      <c r="AW965" s="14">
        <f>IFERROR(__xludf.DUMMYFUNCTION("""COMPUTED_VALUE"""),9.5)</f>
        <v>9.5</v>
      </c>
      <c r="AX965" s="14">
        <f>IFERROR(__xludf.DUMMYFUNCTION("""COMPUTED_VALUE"""),146700.0)</f>
        <v>146700</v>
      </c>
      <c r="AY965" s="14">
        <f>IFERROR(__xludf.DUMMYFUNCTION("""COMPUTED_VALUE"""),2.8)</f>
        <v>2.8</v>
      </c>
      <c r="AZ965" s="14">
        <f>IFERROR(__xludf.DUMMYFUNCTION("""COMPUTED_VALUE"""),0.223)</f>
        <v>0.223</v>
      </c>
      <c r="BA965" s="14">
        <f t="shared" si="1"/>
        <v>12.523</v>
      </c>
    </row>
    <row r="966" ht="14.25" customHeight="1">
      <c r="A966" s="10" t="str">
        <f>IFERROR(__xludf.DUMMYFUNCTION("""COMPUTED_VALUE"""),"011123FE02")</f>
        <v>011123FE02</v>
      </c>
      <c r="B966" s="12" t="str">
        <f>IFERROR(__xludf.DUMMYFUNCTION("""COMPUTED_VALUE"""),"COR-Humedal Córdoba")</f>
        <v>COR-Humedal Córdoba</v>
      </c>
      <c r="C966" s="12"/>
      <c r="D966" s="12"/>
      <c r="E966" s="44">
        <f>IFERROR(__xludf.DUMMYFUNCTION("""COMPUTED_VALUE"""),45231.0)</f>
        <v>45231</v>
      </c>
      <c r="F966" s="12" t="str">
        <f>IFERROR(__xludf.DUMMYFUNCTION("""COMPUTED_VALUE"""),"TIPO I")</f>
        <v>TIPO I</v>
      </c>
      <c r="G966" s="12" t="str">
        <f>IFERROR(__xludf.DUMMYFUNCTION("""COMPUTED_VALUE"""),"Canal natural rocoso - arenoso, durante el monitoreo se percibe olor, se observa color y paso de material flotante constante, por condiciones climatológicas no se realiza toma de las dos últimas alicuotas y caudales.
Altitud: 2575 msnm. ")</f>
        <v>Canal natural rocoso - arenoso, durante el monitoreo se percibe olor, se observa color y paso de material flotante constante, por condiciones climatológicas no se realiza toma de las dos últimas alicuotas y caudales.
Altitud: 2575 msnm. </v>
      </c>
      <c r="H966" s="45">
        <f>IFERROR(__xludf.DUMMYFUNCTION("""COMPUTED_VALUE"""),0.5833333333321207)</f>
        <v>0.5833333333</v>
      </c>
      <c r="I966" s="45">
        <f>IFERROR(__xludf.DUMMYFUNCTION("""COMPUTED_VALUE"""),0.6666666666678793)</f>
        <v>0.6666666667</v>
      </c>
      <c r="J966" s="12">
        <f>IFERROR(__xludf.DUMMYFUNCTION("""COMPUTED_VALUE"""),10.354)</f>
        <v>10.354</v>
      </c>
      <c r="K966" s="12">
        <f>IFERROR(__xludf.DUMMYFUNCTION("""COMPUTED_VALUE"""),1.33)</f>
        <v>1.33</v>
      </c>
      <c r="L966" s="14">
        <f>IFERROR(__xludf.DUMMYFUNCTION("""COMPUTED_VALUE"""),3378.0)</f>
        <v>3378</v>
      </c>
      <c r="M966" s="14">
        <f>IFERROR(__xludf.DUMMYFUNCTION("""COMPUTED_VALUE"""),3100.0)</f>
        <v>3100</v>
      </c>
      <c r="N966" s="14">
        <f>IFERROR(__xludf.DUMMYFUNCTION("""COMPUTED_VALUE"""),2944.0)</f>
        <v>2944</v>
      </c>
      <c r="O966" s="14"/>
      <c r="P966" s="14"/>
      <c r="Q966" s="14">
        <f>IFERROR(__xludf.DUMMYFUNCTION("""COMPUTED_VALUE"""),3141.0)</f>
        <v>3141</v>
      </c>
      <c r="R966" s="48">
        <f>IFERROR(__xludf.DUMMYFUNCTION("""COMPUTED_VALUE"""),6.79)</f>
        <v>6.79</v>
      </c>
      <c r="S966" s="48">
        <f>IFERROR(__xludf.DUMMYFUNCTION("""COMPUTED_VALUE"""),6.57)</f>
        <v>6.57</v>
      </c>
      <c r="T966" s="48">
        <f>IFERROR(__xludf.DUMMYFUNCTION("""COMPUTED_VALUE"""),6.91)</f>
        <v>6.91</v>
      </c>
      <c r="U966" s="48"/>
      <c r="V966" s="48"/>
      <c r="W966" s="14">
        <f>IFERROR(__xludf.DUMMYFUNCTION("""COMPUTED_VALUE"""),6.756666666666667)</f>
        <v>6.756666667</v>
      </c>
      <c r="X966" s="14">
        <f>IFERROR(__xludf.DUMMYFUNCTION("""COMPUTED_VALUE"""),19.0)</f>
        <v>19</v>
      </c>
      <c r="Y966" s="14">
        <f>IFERROR(__xludf.DUMMYFUNCTION("""COMPUTED_VALUE"""),19.1)</f>
        <v>19.1</v>
      </c>
      <c r="Z966" s="14">
        <f>IFERROR(__xludf.DUMMYFUNCTION("""COMPUTED_VALUE"""),18.7)</f>
        <v>18.7</v>
      </c>
      <c r="AA966" s="14"/>
      <c r="AB966" s="14"/>
      <c r="AC966" s="14">
        <f>IFERROR(__xludf.DUMMYFUNCTION("""COMPUTED_VALUE"""),18.933333333333334)</f>
        <v>18.93333333</v>
      </c>
      <c r="AD966" s="48">
        <f>IFERROR(__xludf.DUMMYFUNCTION("""COMPUTED_VALUE"""),194.3)</f>
        <v>194.3</v>
      </c>
      <c r="AE966" s="48">
        <f>IFERROR(__xludf.DUMMYFUNCTION("""COMPUTED_VALUE"""),206.0)</f>
        <v>206</v>
      </c>
      <c r="AF966" s="48">
        <f>IFERROR(__xludf.DUMMYFUNCTION("""COMPUTED_VALUE"""),212.0)</f>
        <v>212</v>
      </c>
      <c r="AG966" s="48"/>
      <c r="AH966" s="48"/>
      <c r="AI966" s="14">
        <f>IFERROR(__xludf.DUMMYFUNCTION("""COMPUTED_VALUE"""),204.1)</f>
        <v>204.1</v>
      </c>
      <c r="AJ966" s="14">
        <f>IFERROR(__xludf.DUMMYFUNCTION("""COMPUTED_VALUE"""),3.1)</f>
        <v>3.1</v>
      </c>
      <c r="AK966" s="14">
        <f>IFERROR(__xludf.DUMMYFUNCTION("""COMPUTED_VALUE"""),3.18)</f>
        <v>3.18</v>
      </c>
      <c r="AL966" s="14">
        <f>IFERROR(__xludf.DUMMYFUNCTION("""COMPUTED_VALUE"""),2.52)</f>
        <v>2.52</v>
      </c>
      <c r="AM966" s="14"/>
      <c r="AN966" s="14"/>
      <c r="AO966" s="14">
        <f>IFERROR(__xludf.DUMMYFUNCTION("""COMPUTED_VALUE"""),2.9333333333333336)</f>
        <v>2.933333333</v>
      </c>
      <c r="AP966" s="14">
        <f>IFERROR(__xludf.DUMMYFUNCTION("""COMPUTED_VALUE"""),12.0)</f>
        <v>12</v>
      </c>
      <c r="AQ966" s="14">
        <f>IFERROR(__xludf.DUMMYFUNCTION("""COMPUTED_VALUE"""),16.0)</f>
        <v>16</v>
      </c>
      <c r="AR966" s="14">
        <f>IFERROR(__xludf.DUMMYFUNCTION("""COMPUTED_VALUE"""),25.0)</f>
        <v>25</v>
      </c>
      <c r="AS966" s="14">
        <f>IFERROR(__xludf.DUMMYFUNCTION("""COMPUTED_VALUE"""),1.0)</f>
        <v>1</v>
      </c>
      <c r="AT966" s="14">
        <f>IFERROR(__xludf.DUMMYFUNCTION("""COMPUTED_VALUE"""),0.07)</f>
        <v>0.07</v>
      </c>
      <c r="AU966" s="14">
        <f>IFERROR(__xludf.DUMMYFUNCTION("""COMPUTED_VALUE"""),1354000.0)</f>
        <v>1354000</v>
      </c>
      <c r="AV966" s="14">
        <f>IFERROR(__xludf.DUMMYFUNCTION("""COMPUTED_VALUE"""),0.18)</f>
        <v>0.18</v>
      </c>
      <c r="AW966" s="14">
        <f>IFERROR(__xludf.DUMMYFUNCTION("""COMPUTED_VALUE"""),3.6)</f>
        <v>3.6</v>
      </c>
      <c r="AX966" s="14">
        <f>IFERROR(__xludf.DUMMYFUNCTION("""COMPUTED_VALUE"""),1046000.0)</f>
        <v>1046000</v>
      </c>
      <c r="AY966" s="14">
        <f>IFERROR(__xludf.DUMMYFUNCTION("""COMPUTED_VALUE"""),3.5)</f>
        <v>3.5</v>
      </c>
      <c r="AZ966" s="14">
        <f>IFERROR(__xludf.DUMMYFUNCTION("""COMPUTED_VALUE"""),0.109)</f>
        <v>0.109</v>
      </c>
      <c r="BA966" s="14">
        <f t="shared" si="1"/>
        <v>7.209</v>
      </c>
    </row>
    <row r="967" ht="14.25" customHeight="1">
      <c r="A967" s="10" t="str">
        <f>IFERROR(__xludf.DUMMYFUNCTION("""COMPUTED_VALUE"""),"211123HA01")</f>
        <v>211123HA01</v>
      </c>
      <c r="B967" s="12" t="str">
        <f>IFERROR(__xludf.DUMMYFUNCTION("""COMPUTED_VALUE"""),"CRN-La Castellana")</f>
        <v>CRN-La Castellana</v>
      </c>
      <c r="C967" s="12"/>
      <c r="D967" s="12"/>
      <c r="E967" s="44">
        <f>IFERROR(__xludf.DUMMYFUNCTION("""COMPUTED_VALUE"""),45251.0)</f>
        <v>45251</v>
      </c>
      <c r="F967" s="12" t="str">
        <f>IFERROR(__xludf.DUMMYFUNCTION("""COMPUTED_VALUE"""),"TIPO I")</f>
        <v>TIPO I</v>
      </c>
      <c r="G967" s="12" t="str">
        <f>IFERROR(__xludf.DUMMYFUNCTION("""COMPUTED_VALUE"""),"Canal en concreto, durante el monitoreo se observa color y se percibe olor.
Altitud: 2562 msnm.  ")</f>
        <v>Canal en concreto, durante el monitoreo se observa color y se percibe olor.
Altitud: 2562 msnm.  </v>
      </c>
      <c r="H967" s="45">
        <f>IFERROR(__xludf.DUMMYFUNCTION("""COMPUTED_VALUE"""),0.25)</f>
        <v>0.25</v>
      </c>
      <c r="I967" s="45">
        <f>IFERROR(__xludf.DUMMYFUNCTION("""COMPUTED_VALUE"""),0.3333333333321207)</f>
        <v>0.3333333333</v>
      </c>
      <c r="J967" s="12">
        <f>IFERROR(__xludf.DUMMYFUNCTION("""COMPUTED_VALUE"""),5.0)</f>
        <v>5</v>
      </c>
      <c r="K967" s="12">
        <f>IFERROR(__xludf.DUMMYFUNCTION("""COMPUTED_VALUE"""),0.19)</f>
        <v>0.19</v>
      </c>
      <c r="L967" s="14">
        <f>IFERROR(__xludf.DUMMYFUNCTION("""COMPUTED_VALUE"""),191.986)</f>
        <v>191.986</v>
      </c>
      <c r="M967" s="14">
        <f>IFERROR(__xludf.DUMMYFUNCTION("""COMPUTED_VALUE"""),194.439)</f>
        <v>194.439</v>
      </c>
      <c r="N967" s="14">
        <f>IFERROR(__xludf.DUMMYFUNCTION("""COMPUTED_VALUE"""),221.198)</f>
        <v>221.198</v>
      </c>
      <c r="O967" s="14">
        <f>IFERROR(__xludf.DUMMYFUNCTION("""COMPUTED_VALUE"""),270.902)</f>
        <v>270.902</v>
      </c>
      <c r="P967" s="14">
        <f>IFERROR(__xludf.DUMMYFUNCTION("""COMPUTED_VALUE"""),281.744)</f>
        <v>281.744</v>
      </c>
      <c r="Q967" s="14">
        <f>IFERROR(__xludf.DUMMYFUNCTION("""COMPUTED_VALUE"""),232.054)</f>
        <v>232.054</v>
      </c>
      <c r="R967" s="48">
        <f>IFERROR(__xludf.DUMMYFUNCTION("""COMPUTED_VALUE"""),7.05)</f>
        <v>7.05</v>
      </c>
      <c r="S967" s="48">
        <f>IFERROR(__xludf.DUMMYFUNCTION("""COMPUTED_VALUE"""),7.14)</f>
        <v>7.14</v>
      </c>
      <c r="T967" s="48">
        <f>IFERROR(__xludf.DUMMYFUNCTION("""COMPUTED_VALUE"""),7.49)</f>
        <v>7.49</v>
      </c>
      <c r="U967" s="48">
        <f>IFERROR(__xludf.DUMMYFUNCTION("""COMPUTED_VALUE"""),7.5)</f>
        <v>7.5</v>
      </c>
      <c r="V967" s="48">
        <f>IFERROR(__xludf.DUMMYFUNCTION("""COMPUTED_VALUE"""),7.58)</f>
        <v>7.58</v>
      </c>
      <c r="W967" s="14">
        <f>IFERROR(__xludf.DUMMYFUNCTION("""COMPUTED_VALUE"""),7.351999999999999)</f>
        <v>7.352</v>
      </c>
      <c r="X967" s="14">
        <f>IFERROR(__xludf.DUMMYFUNCTION("""COMPUTED_VALUE"""),18.0)</f>
        <v>18</v>
      </c>
      <c r="Y967" s="14">
        <f>IFERROR(__xludf.DUMMYFUNCTION("""COMPUTED_VALUE"""),18.1)</f>
        <v>18.1</v>
      </c>
      <c r="Z967" s="14">
        <f>IFERROR(__xludf.DUMMYFUNCTION("""COMPUTED_VALUE"""),19.6)</f>
        <v>19.6</v>
      </c>
      <c r="AA967" s="14">
        <f>IFERROR(__xludf.DUMMYFUNCTION("""COMPUTED_VALUE"""),20.1)</f>
        <v>20.1</v>
      </c>
      <c r="AB967" s="14">
        <f>IFERROR(__xludf.DUMMYFUNCTION("""COMPUTED_VALUE"""),20.4)</f>
        <v>20.4</v>
      </c>
      <c r="AC967" s="14">
        <f>IFERROR(__xludf.DUMMYFUNCTION("""COMPUTED_VALUE"""),19.240000000000002)</f>
        <v>19.24</v>
      </c>
      <c r="AD967" s="48">
        <f>IFERROR(__xludf.DUMMYFUNCTION("""COMPUTED_VALUE"""),199.0)</f>
        <v>199</v>
      </c>
      <c r="AE967" s="48">
        <f>IFERROR(__xludf.DUMMYFUNCTION("""COMPUTED_VALUE"""),249.0)</f>
        <v>249</v>
      </c>
      <c r="AF967" s="48">
        <f>IFERROR(__xludf.DUMMYFUNCTION("""COMPUTED_VALUE"""),343.0)</f>
        <v>343</v>
      </c>
      <c r="AG967" s="48">
        <f>IFERROR(__xludf.DUMMYFUNCTION("""COMPUTED_VALUE"""),417.0)</f>
        <v>417</v>
      </c>
      <c r="AH967" s="48">
        <f>IFERROR(__xludf.DUMMYFUNCTION("""COMPUTED_VALUE"""),433.0)</f>
        <v>433</v>
      </c>
      <c r="AI967" s="14">
        <f>IFERROR(__xludf.DUMMYFUNCTION("""COMPUTED_VALUE"""),328.2)</f>
        <v>328.2</v>
      </c>
      <c r="AJ967" s="14">
        <f>IFERROR(__xludf.DUMMYFUNCTION("""COMPUTED_VALUE"""),1.06)</f>
        <v>1.06</v>
      </c>
      <c r="AK967" s="14">
        <f>IFERROR(__xludf.DUMMYFUNCTION("""COMPUTED_VALUE"""),1.09)</f>
        <v>1.09</v>
      </c>
      <c r="AL967" s="14">
        <f>IFERROR(__xludf.DUMMYFUNCTION("""COMPUTED_VALUE"""),1.37)</f>
        <v>1.37</v>
      </c>
      <c r="AM967" s="14">
        <f>IFERROR(__xludf.DUMMYFUNCTION("""COMPUTED_VALUE"""),1.63)</f>
        <v>1.63</v>
      </c>
      <c r="AN967" s="14">
        <f>IFERROR(__xludf.DUMMYFUNCTION("""COMPUTED_VALUE"""),1.55)</f>
        <v>1.55</v>
      </c>
      <c r="AO967" s="14">
        <f>IFERROR(__xludf.DUMMYFUNCTION("""COMPUTED_VALUE"""),1.34)</f>
        <v>1.34</v>
      </c>
      <c r="AP967" s="14">
        <f>IFERROR(__xludf.DUMMYFUNCTION("""COMPUTED_VALUE"""),32.0)</f>
        <v>32</v>
      </c>
      <c r="AQ967" s="14">
        <f>IFERROR(__xludf.DUMMYFUNCTION("""COMPUTED_VALUE"""),49.0)</f>
        <v>49</v>
      </c>
      <c r="AR967" s="14">
        <f>IFERROR(__xludf.DUMMYFUNCTION("""COMPUTED_VALUE"""),73.0)</f>
        <v>73</v>
      </c>
      <c r="AS967" s="14">
        <f>IFERROR(__xludf.DUMMYFUNCTION("""COMPUTED_VALUE"""),41.0)</f>
        <v>41</v>
      </c>
      <c r="AT967" s="14">
        <f>IFERROR(__xludf.DUMMYFUNCTION("""COMPUTED_VALUE"""),1.25)</f>
        <v>1.25</v>
      </c>
      <c r="AU967" s="14">
        <f>IFERROR(__xludf.DUMMYFUNCTION("""COMPUTED_VALUE"""),1.017E8)</f>
        <v>101700000</v>
      </c>
      <c r="AV967" s="14">
        <f>IFERROR(__xludf.DUMMYFUNCTION("""COMPUTED_VALUE"""),2.69)</f>
        <v>2.69</v>
      </c>
      <c r="AW967" s="14">
        <f>IFERROR(__xludf.DUMMYFUNCTION("""COMPUTED_VALUE"""),16.8)</f>
        <v>16.8</v>
      </c>
      <c r="AX967" s="14">
        <f>IFERROR(__xludf.DUMMYFUNCTION("""COMPUTED_VALUE"""),8.8E7)</f>
        <v>88000000</v>
      </c>
      <c r="AY967" s="14">
        <f>IFERROR(__xludf.DUMMYFUNCTION("""COMPUTED_VALUE"""),1.1)</f>
        <v>1.1</v>
      </c>
      <c r="AZ967" s="14">
        <f>IFERROR(__xludf.DUMMYFUNCTION("""COMPUTED_VALUE"""),0.007)</f>
        <v>0.007</v>
      </c>
      <c r="BA967" s="14">
        <f t="shared" si="1"/>
        <v>17.907</v>
      </c>
    </row>
    <row r="968" ht="14.25" customHeight="1">
      <c r="A968" s="10" t="str">
        <f>IFERROR(__xludf.DUMMYFUNCTION("""COMPUTED_VALUE"""),"211123HA02")</f>
        <v>211123HA02</v>
      </c>
      <c r="B968" s="12" t="str">
        <f>IFERROR(__xludf.DUMMYFUNCTION("""COMPUTED_VALUE"""),"CRN-Entre Ríos")</f>
        <v>CRN-Entre Ríos</v>
      </c>
      <c r="C968" s="12"/>
      <c r="D968" s="12"/>
      <c r="E968" s="44">
        <f>IFERROR(__xludf.DUMMYFUNCTION("""COMPUTED_VALUE"""),45251.0)</f>
        <v>45251</v>
      </c>
      <c r="F968" s="12" t="str">
        <f>IFERROR(__xludf.DUMMYFUNCTION("""COMPUTED_VALUE"""),"TIPO I")</f>
        <v>TIPO I</v>
      </c>
      <c r="G968" s="12" t="str">
        <f>IFERROR(__xludf.DUMMYFUNCTION("""COMPUTED_VALUE"""),"Canal artificial en concreto, se observa color, presencia de material flotante. Altitud:2566msnm")</f>
        <v>Canal artificial en concreto, se observa color, presencia de material flotante. Altitud:2566msnm</v>
      </c>
      <c r="H968" s="45">
        <f>IFERROR(__xludf.DUMMYFUNCTION("""COMPUTED_VALUE"""),0.4166666666678793)</f>
        <v>0.4166666667</v>
      </c>
      <c r="I968" s="45">
        <f>IFERROR(__xludf.DUMMYFUNCTION("""COMPUTED_VALUE"""),0.5)</f>
        <v>0.5</v>
      </c>
      <c r="J968" s="12">
        <f>IFERROR(__xludf.DUMMYFUNCTION("""COMPUTED_VALUE"""),7.5)</f>
        <v>7.5</v>
      </c>
      <c r="K968" s="12">
        <f>IFERROR(__xludf.DUMMYFUNCTION("""COMPUTED_VALUE"""),0.22)</f>
        <v>0.22</v>
      </c>
      <c r="L968" s="14">
        <f>IFERROR(__xludf.DUMMYFUNCTION("""COMPUTED_VALUE"""),421.072)</f>
        <v>421.072</v>
      </c>
      <c r="M968" s="14">
        <f>IFERROR(__xludf.DUMMYFUNCTION("""COMPUTED_VALUE"""),425.036)</f>
        <v>425.036</v>
      </c>
      <c r="N968" s="14">
        <f>IFERROR(__xludf.DUMMYFUNCTION("""COMPUTED_VALUE"""),431.387)</f>
        <v>431.387</v>
      </c>
      <c r="O968" s="14">
        <f>IFERROR(__xludf.DUMMYFUNCTION("""COMPUTED_VALUE"""),460.047)</f>
        <v>460.047</v>
      </c>
      <c r="P968" s="14">
        <f>IFERROR(__xludf.DUMMYFUNCTION("""COMPUTED_VALUE"""),458.469)</f>
        <v>458.469</v>
      </c>
      <c r="Q968" s="14">
        <f>IFERROR(__xludf.DUMMYFUNCTION("""COMPUTED_VALUE"""),439.202)</f>
        <v>439.202</v>
      </c>
      <c r="R968" s="48">
        <f>IFERROR(__xludf.DUMMYFUNCTION("""COMPUTED_VALUE"""),7.46)</f>
        <v>7.46</v>
      </c>
      <c r="S968" s="48">
        <f>IFERROR(__xludf.DUMMYFUNCTION("""COMPUTED_VALUE"""),7.37)</f>
        <v>7.37</v>
      </c>
      <c r="T968" s="48">
        <f>IFERROR(__xludf.DUMMYFUNCTION("""COMPUTED_VALUE"""),7.41)</f>
        <v>7.41</v>
      </c>
      <c r="U968" s="48">
        <f>IFERROR(__xludf.DUMMYFUNCTION("""COMPUTED_VALUE"""),7.28)</f>
        <v>7.28</v>
      </c>
      <c r="V968" s="48">
        <f>IFERROR(__xludf.DUMMYFUNCTION("""COMPUTED_VALUE"""),7.31)</f>
        <v>7.31</v>
      </c>
      <c r="W968" s="14">
        <f>IFERROR(__xludf.DUMMYFUNCTION("""COMPUTED_VALUE"""),7.366000000000001)</f>
        <v>7.366</v>
      </c>
      <c r="X968" s="14">
        <f>IFERROR(__xludf.DUMMYFUNCTION("""COMPUTED_VALUE"""),22.7)</f>
        <v>22.7</v>
      </c>
      <c r="Y968" s="14">
        <f>IFERROR(__xludf.DUMMYFUNCTION("""COMPUTED_VALUE"""),22.9)</f>
        <v>22.9</v>
      </c>
      <c r="Z968" s="14">
        <f>IFERROR(__xludf.DUMMYFUNCTION("""COMPUTED_VALUE"""),22.8)</f>
        <v>22.8</v>
      </c>
      <c r="AA968" s="14">
        <f>IFERROR(__xludf.DUMMYFUNCTION("""COMPUTED_VALUE"""),22.7)</f>
        <v>22.7</v>
      </c>
      <c r="AB968" s="14">
        <f>IFERROR(__xludf.DUMMYFUNCTION("""COMPUTED_VALUE"""),22.6)</f>
        <v>22.6</v>
      </c>
      <c r="AC968" s="14">
        <f>IFERROR(__xludf.DUMMYFUNCTION("""COMPUTED_VALUE"""),22.74)</f>
        <v>22.74</v>
      </c>
      <c r="AD968" s="48">
        <f>IFERROR(__xludf.DUMMYFUNCTION("""COMPUTED_VALUE"""),466.0)</f>
        <v>466</v>
      </c>
      <c r="AE968" s="48">
        <f>IFERROR(__xludf.DUMMYFUNCTION("""COMPUTED_VALUE"""),460.0)</f>
        <v>460</v>
      </c>
      <c r="AF968" s="48">
        <f>IFERROR(__xludf.DUMMYFUNCTION("""COMPUTED_VALUE"""),486.0)</f>
        <v>486</v>
      </c>
      <c r="AG968" s="48">
        <f>IFERROR(__xludf.DUMMYFUNCTION("""COMPUTED_VALUE"""),499.0)</f>
        <v>499</v>
      </c>
      <c r="AH968" s="48">
        <f>IFERROR(__xludf.DUMMYFUNCTION("""COMPUTED_VALUE"""),516.0)</f>
        <v>516</v>
      </c>
      <c r="AI968" s="14">
        <f>IFERROR(__xludf.DUMMYFUNCTION("""COMPUTED_VALUE"""),485.4)</f>
        <v>485.4</v>
      </c>
      <c r="AJ968" s="14">
        <f>IFERROR(__xludf.DUMMYFUNCTION("""COMPUTED_VALUE"""),0.98)</f>
        <v>0.98</v>
      </c>
      <c r="AK968" s="14">
        <f>IFERROR(__xludf.DUMMYFUNCTION("""COMPUTED_VALUE"""),1.18)</f>
        <v>1.18</v>
      </c>
      <c r="AL968" s="14">
        <f>IFERROR(__xludf.DUMMYFUNCTION("""COMPUTED_VALUE"""),1.24)</f>
        <v>1.24</v>
      </c>
      <c r="AM968" s="14">
        <f>IFERROR(__xludf.DUMMYFUNCTION("""COMPUTED_VALUE"""),1.27)</f>
        <v>1.27</v>
      </c>
      <c r="AN968" s="14">
        <f>IFERROR(__xludf.DUMMYFUNCTION("""COMPUTED_VALUE"""),1.11)</f>
        <v>1.11</v>
      </c>
      <c r="AO968" s="14">
        <f>IFERROR(__xludf.DUMMYFUNCTION("""COMPUTED_VALUE"""),1.1560000000000001)</f>
        <v>1.156</v>
      </c>
      <c r="AP968" s="14">
        <f>IFERROR(__xludf.DUMMYFUNCTION("""COMPUTED_VALUE"""),104.0)</f>
        <v>104</v>
      </c>
      <c r="AQ968" s="14">
        <f>IFERROR(__xludf.DUMMYFUNCTION("""COMPUTED_VALUE"""),160.0)</f>
        <v>160</v>
      </c>
      <c r="AR968" s="14">
        <f>IFERROR(__xludf.DUMMYFUNCTION("""COMPUTED_VALUE"""),165.0)</f>
        <v>165</v>
      </c>
      <c r="AS968" s="14">
        <f>IFERROR(__xludf.DUMMYFUNCTION("""COMPUTED_VALUE"""),65.0)</f>
        <v>65</v>
      </c>
      <c r="AT968" s="14">
        <f>IFERROR(__xludf.DUMMYFUNCTION("""COMPUTED_VALUE"""),4.12)</f>
        <v>4.12</v>
      </c>
      <c r="AU968" s="14">
        <f>IFERROR(__xludf.DUMMYFUNCTION("""COMPUTED_VALUE"""),1.16E8)</f>
        <v>116000000</v>
      </c>
      <c r="AV968" s="14">
        <f>IFERROR(__xludf.DUMMYFUNCTION("""COMPUTED_VALUE"""),3.22)</f>
        <v>3.22</v>
      </c>
      <c r="AW968" s="14">
        <f>IFERROR(__xludf.DUMMYFUNCTION("""COMPUTED_VALUE"""),20.4)</f>
        <v>20.4</v>
      </c>
      <c r="AX968" s="14">
        <f>IFERROR(__xludf.DUMMYFUNCTION("""COMPUTED_VALUE"""),1.01E8)</f>
        <v>101000000</v>
      </c>
      <c r="AY968" s="14">
        <f>IFERROR(__xludf.DUMMYFUNCTION("""COMPUTED_VALUE"""),1.0)</f>
        <v>1</v>
      </c>
      <c r="AZ968" s="14">
        <f>IFERROR(__xludf.DUMMYFUNCTION("""COMPUTED_VALUE"""),0.007)</f>
        <v>0.007</v>
      </c>
      <c r="BA968" s="14">
        <f t="shared" si="1"/>
        <v>21.407</v>
      </c>
    </row>
    <row r="969" ht="14.25" customHeight="1">
      <c r="A969" s="10" t="str">
        <f>IFERROR(__xludf.DUMMYFUNCTION("""COMPUTED_VALUE"""),"201123FE01")</f>
        <v>201123FE01</v>
      </c>
      <c r="B969" s="12" t="str">
        <f>IFERROR(__xludf.DUMMYFUNCTION("""COMPUTED_VALUE"""),"CRN-Quebrada Chicó")</f>
        <v>CRN-Quebrada Chicó</v>
      </c>
      <c r="C969" s="12"/>
      <c r="D969" s="12"/>
      <c r="E969" s="44">
        <f>IFERROR(__xludf.DUMMYFUNCTION("""COMPUTED_VALUE"""),45250.0)</f>
        <v>45250</v>
      </c>
      <c r="F969" s="12" t="str">
        <f>IFERROR(__xludf.DUMMYFUNCTION("""COMPUTED_VALUE"""),"TIPO I")</f>
        <v>TIPO I</v>
      </c>
      <c r="G969" s="12" t="str">
        <f>IFERROR(__xludf.DUMMYFUNCTION("""COMPUTED_VALUE"""),"Toma de muestra en tubería en concreto, no se observa color, no se percibe olor.
Altitud: 2610 msnm. ")</f>
        <v>Toma de muestra en tubería en concreto, no se observa color, no se percibe olor.
Altitud: 2610 msnm. </v>
      </c>
      <c r="H969" s="45">
        <f>IFERROR(__xludf.DUMMYFUNCTION("""COMPUTED_VALUE"""),0.3333333333321207)</f>
        <v>0.3333333333</v>
      </c>
      <c r="I969" s="45">
        <f>IFERROR(__xludf.DUMMYFUNCTION("""COMPUTED_VALUE"""),0.4166666666678793)</f>
        <v>0.4166666667</v>
      </c>
      <c r="J969" s="12"/>
      <c r="K969" s="12"/>
      <c r="L969" s="14">
        <f>IFERROR(__xludf.DUMMYFUNCTION("""COMPUTED_VALUE"""),3.77)</f>
        <v>3.77</v>
      </c>
      <c r="M969" s="14">
        <f>IFERROR(__xludf.DUMMYFUNCTION("""COMPUTED_VALUE"""),3.603)</f>
        <v>3.603</v>
      </c>
      <c r="N969" s="14">
        <f>IFERROR(__xludf.DUMMYFUNCTION("""COMPUTED_VALUE"""),3.659)</f>
        <v>3.659</v>
      </c>
      <c r="O969" s="14">
        <f>IFERROR(__xludf.DUMMYFUNCTION("""COMPUTED_VALUE"""),3.706)</f>
        <v>3.706</v>
      </c>
      <c r="P969" s="14">
        <f>IFERROR(__xludf.DUMMYFUNCTION("""COMPUTED_VALUE"""),3.627)</f>
        <v>3.627</v>
      </c>
      <c r="Q969" s="14">
        <f>IFERROR(__xludf.DUMMYFUNCTION("""COMPUTED_VALUE"""),3.673)</f>
        <v>3.673</v>
      </c>
      <c r="R969" s="48">
        <f>IFERROR(__xludf.DUMMYFUNCTION("""COMPUTED_VALUE"""),6.7)</f>
        <v>6.7</v>
      </c>
      <c r="S969" s="48">
        <f>IFERROR(__xludf.DUMMYFUNCTION("""COMPUTED_VALUE"""),6.64)</f>
        <v>6.64</v>
      </c>
      <c r="T969" s="48">
        <f>IFERROR(__xludf.DUMMYFUNCTION("""COMPUTED_VALUE"""),6.31)</f>
        <v>6.31</v>
      </c>
      <c r="U969" s="48">
        <f>IFERROR(__xludf.DUMMYFUNCTION("""COMPUTED_VALUE"""),6.53)</f>
        <v>6.53</v>
      </c>
      <c r="V969" s="48">
        <f>IFERROR(__xludf.DUMMYFUNCTION("""COMPUTED_VALUE"""),6.47)</f>
        <v>6.47</v>
      </c>
      <c r="W969" s="14">
        <f>IFERROR(__xludf.DUMMYFUNCTION("""COMPUTED_VALUE"""),6.529999999999999)</f>
        <v>6.53</v>
      </c>
      <c r="X969" s="14">
        <f>IFERROR(__xludf.DUMMYFUNCTION("""COMPUTED_VALUE"""),16.8)</f>
        <v>16.8</v>
      </c>
      <c r="Y969" s="14">
        <f>IFERROR(__xludf.DUMMYFUNCTION("""COMPUTED_VALUE"""),17.0)</f>
        <v>17</v>
      </c>
      <c r="Z969" s="14">
        <f>IFERROR(__xludf.DUMMYFUNCTION("""COMPUTED_VALUE"""),16.8)</f>
        <v>16.8</v>
      </c>
      <c r="AA969" s="14">
        <f>IFERROR(__xludf.DUMMYFUNCTION("""COMPUTED_VALUE"""),16.9)</f>
        <v>16.9</v>
      </c>
      <c r="AB969" s="14">
        <f>IFERROR(__xludf.DUMMYFUNCTION("""COMPUTED_VALUE"""),16.8)</f>
        <v>16.8</v>
      </c>
      <c r="AC969" s="14">
        <f>IFERROR(__xludf.DUMMYFUNCTION("""COMPUTED_VALUE"""),16.86)</f>
        <v>16.86</v>
      </c>
      <c r="AD969" s="48">
        <f>IFERROR(__xludf.DUMMYFUNCTION("""COMPUTED_VALUE"""),85.4)</f>
        <v>85.4</v>
      </c>
      <c r="AE969" s="48">
        <f>IFERROR(__xludf.DUMMYFUNCTION("""COMPUTED_VALUE"""),84.3)</f>
        <v>84.3</v>
      </c>
      <c r="AF969" s="48">
        <f>IFERROR(__xludf.DUMMYFUNCTION("""COMPUTED_VALUE"""),89.3)</f>
        <v>89.3</v>
      </c>
      <c r="AG969" s="48">
        <f>IFERROR(__xludf.DUMMYFUNCTION("""COMPUTED_VALUE"""),86.1)</f>
        <v>86.1</v>
      </c>
      <c r="AH969" s="48">
        <f>IFERROR(__xludf.DUMMYFUNCTION("""COMPUTED_VALUE"""),102.9)</f>
        <v>102.9</v>
      </c>
      <c r="AI969" s="14">
        <f>IFERROR(__xludf.DUMMYFUNCTION("""COMPUTED_VALUE"""),89.6)</f>
        <v>89.6</v>
      </c>
      <c r="AJ969" s="14">
        <f>IFERROR(__xludf.DUMMYFUNCTION("""COMPUTED_VALUE"""),6.04)</f>
        <v>6.04</v>
      </c>
      <c r="AK969" s="14">
        <f>IFERROR(__xludf.DUMMYFUNCTION("""COMPUTED_VALUE"""),6.33)</f>
        <v>6.33</v>
      </c>
      <c r="AL969" s="14">
        <f>IFERROR(__xludf.DUMMYFUNCTION("""COMPUTED_VALUE"""),6.14)</f>
        <v>6.14</v>
      </c>
      <c r="AM969" s="14">
        <f>IFERROR(__xludf.DUMMYFUNCTION("""COMPUTED_VALUE"""),6.42)</f>
        <v>6.42</v>
      </c>
      <c r="AN969" s="14">
        <f>IFERROR(__xludf.DUMMYFUNCTION("""COMPUTED_VALUE"""),6.24)</f>
        <v>6.24</v>
      </c>
      <c r="AO969" s="14">
        <f>IFERROR(__xludf.DUMMYFUNCTION("""COMPUTED_VALUE"""),6.234)</f>
        <v>6.234</v>
      </c>
      <c r="AP969" s="14">
        <f>IFERROR(__xludf.DUMMYFUNCTION("""COMPUTED_VALUE"""),5.0)</f>
        <v>5</v>
      </c>
      <c r="AQ969" s="14">
        <f>IFERROR(__xludf.DUMMYFUNCTION("""COMPUTED_VALUE"""),7.0)</f>
        <v>7</v>
      </c>
      <c r="AR969" s="14">
        <f>IFERROR(__xludf.DUMMYFUNCTION("""COMPUTED_VALUE"""),28.0)</f>
        <v>28</v>
      </c>
      <c r="AS969" s="14">
        <f>IFERROR(__xludf.DUMMYFUNCTION("""COMPUTED_VALUE"""),1.0)</f>
        <v>1</v>
      </c>
      <c r="AT969" s="14">
        <f>IFERROR(__xludf.DUMMYFUNCTION("""COMPUTED_VALUE"""),0.18)</f>
        <v>0.18</v>
      </c>
      <c r="AU969" s="14">
        <f>IFERROR(__xludf.DUMMYFUNCTION("""COMPUTED_VALUE"""),1.483E7)</f>
        <v>14830000</v>
      </c>
      <c r="AV969" s="14">
        <f>IFERROR(__xludf.DUMMYFUNCTION("""COMPUTED_VALUE"""),0.27)</f>
        <v>0.27</v>
      </c>
      <c r="AW969" s="14">
        <f>IFERROR(__xludf.DUMMYFUNCTION("""COMPUTED_VALUE"""),2.5)</f>
        <v>2.5</v>
      </c>
      <c r="AX969" s="14">
        <f>IFERROR(__xludf.DUMMYFUNCTION("""COMPUTED_VALUE"""),1.296E7)</f>
        <v>12960000</v>
      </c>
      <c r="AY969" s="14">
        <f>IFERROR(__xludf.DUMMYFUNCTION("""COMPUTED_VALUE"""),1.5)</f>
        <v>1.5</v>
      </c>
      <c r="AZ969" s="14">
        <f>IFERROR(__xludf.DUMMYFUNCTION("""COMPUTED_VALUE"""),0.211)</f>
        <v>0.211</v>
      </c>
      <c r="BA969" s="14">
        <f t="shared" si="1"/>
        <v>4.211</v>
      </c>
    </row>
    <row r="970" ht="14.25" customHeight="1">
      <c r="A970" s="10" t="str">
        <f>IFERROR(__xludf.DUMMYFUNCTION("""COMPUTED_VALUE"""),"221123FE02")</f>
        <v>221123FE02</v>
      </c>
      <c r="B970" s="12" t="str">
        <f>IFERROR(__xludf.DUMMYFUNCTION("""COMPUTED_VALUE"""),"CON-Callejas")</f>
        <v>CON-Callejas</v>
      </c>
      <c r="C970" s="12"/>
      <c r="D970" s="12"/>
      <c r="E970" s="44">
        <f>IFERROR(__xludf.DUMMYFUNCTION("""COMPUTED_VALUE"""),45252.0)</f>
        <v>45252</v>
      </c>
      <c r="F970" s="12" t="str">
        <f>IFERROR(__xludf.DUMMYFUNCTION("""COMPUTED_VALUE"""),"TIPO I")</f>
        <v>TIPO I</v>
      </c>
      <c r="G970" s="12" t="str">
        <f>IFERROR(__xludf.DUMMYFUNCTION("""COMPUTED_VALUE"""),"Canal artificial en concreto, durante el monitoreo se observa color, no se percibe olor.  No se realiza toma de la cuarta y quinta alícuota y caudal por fuertes precipitaciones. 
Altitud: 2566 mssm.  ")</f>
        <v>Canal artificial en concreto, durante el monitoreo se observa color, no se percibe olor.  No se realiza toma de la cuarta y quinta alícuota y caudal por fuertes precipitaciones. 
Altitud: 2566 mssm.  </v>
      </c>
      <c r="H970" s="45">
        <f>IFERROR(__xludf.DUMMYFUNCTION("""COMPUTED_VALUE"""),0.5)</f>
        <v>0.5</v>
      </c>
      <c r="I970" s="45">
        <f>IFERROR(__xludf.DUMMYFUNCTION("""COMPUTED_VALUE"""),0.5833333333321207)</f>
        <v>0.5833333333</v>
      </c>
      <c r="J970" s="12">
        <f>IFERROR(__xludf.DUMMYFUNCTION("""COMPUTED_VALUE"""),2.0)</f>
        <v>2</v>
      </c>
      <c r="K970" s="12">
        <f>IFERROR(__xludf.DUMMYFUNCTION("""COMPUTED_VALUE"""),0.07)</f>
        <v>0.07</v>
      </c>
      <c r="L970" s="14">
        <f>IFERROR(__xludf.DUMMYFUNCTION("""COMPUTED_VALUE"""),21.326)</f>
        <v>21.326</v>
      </c>
      <c r="M970" s="14">
        <f>IFERROR(__xludf.DUMMYFUNCTION("""COMPUTED_VALUE"""),21.655)</f>
        <v>21.655</v>
      </c>
      <c r="N970" s="14">
        <f>IFERROR(__xludf.DUMMYFUNCTION("""COMPUTED_VALUE"""),21.516)</f>
        <v>21.516</v>
      </c>
      <c r="O970" s="14"/>
      <c r="P970" s="14"/>
      <c r="Q970" s="14">
        <f>IFERROR(__xludf.DUMMYFUNCTION("""COMPUTED_VALUE"""),21.499)</f>
        <v>21.499</v>
      </c>
      <c r="R970" s="48">
        <f>IFERROR(__xludf.DUMMYFUNCTION("""COMPUTED_VALUE"""),8.56)</f>
        <v>8.56</v>
      </c>
      <c r="S970" s="48">
        <f>IFERROR(__xludf.DUMMYFUNCTION("""COMPUTED_VALUE"""),8.66)</f>
        <v>8.66</v>
      </c>
      <c r="T970" s="48">
        <f>IFERROR(__xludf.DUMMYFUNCTION("""COMPUTED_VALUE"""),8.73)</f>
        <v>8.73</v>
      </c>
      <c r="U970" s="48"/>
      <c r="V970" s="48"/>
      <c r="W970" s="14">
        <f>IFERROR(__xludf.DUMMYFUNCTION("""COMPUTED_VALUE"""),8.65)</f>
        <v>8.65</v>
      </c>
      <c r="X970" s="14">
        <f>IFERROR(__xludf.DUMMYFUNCTION("""COMPUTED_VALUE"""),25.3)</f>
        <v>25.3</v>
      </c>
      <c r="Y970" s="14">
        <f>IFERROR(__xludf.DUMMYFUNCTION("""COMPUTED_VALUE"""),25.3)</f>
        <v>25.3</v>
      </c>
      <c r="Z970" s="14">
        <f>IFERROR(__xludf.DUMMYFUNCTION("""COMPUTED_VALUE"""),22.7)</f>
        <v>22.7</v>
      </c>
      <c r="AA970" s="14"/>
      <c r="AB970" s="14"/>
      <c r="AC970" s="14">
        <f>IFERROR(__xludf.DUMMYFUNCTION("""COMPUTED_VALUE"""),24.433333333333334)</f>
        <v>24.43333333</v>
      </c>
      <c r="AD970" s="48">
        <f>IFERROR(__xludf.DUMMYFUNCTION("""COMPUTED_VALUE"""),338.0)</f>
        <v>338</v>
      </c>
      <c r="AE970" s="48">
        <f>IFERROR(__xludf.DUMMYFUNCTION("""COMPUTED_VALUE"""),314.0)</f>
        <v>314</v>
      </c>
      <c r="AF970" s="48">
        <f>IFERROR(__xludf.DUMMYFUNCTION("""COMPUTED_VALUE"""),299.0)</f>
        <v>299</v>
      </c>
      <c r="AG970" s="48"/>
      <c r="AH970" s="48"/>
      <c r="AI970" s="14">
        <f>IFERROR(__xludf.DUMMYFUNCTION("""COMPUTED_VALUE"""),317.0)</f>
        <v>317</v>
      </c>
      <c r="AJ970" s="14">
        <f>IFERROR(__xludf.DUMMYFUNCTION("""COMPUTED_VALUE"""),4.19)</f>
        <v>4.19</v>
      </c>
      <c r="AK970" s="14">
        <f>IFERROR(__xludf.DUMMYFUNCTION("""COMPUTED_VALUE"""),4.05)</f>
        <v>4.05</v>
      </c>
      <c r="AL970" s="14">
        <f>IFERROR(__xludf.DUMMYFUNCTION("""COMPUTED_VALUE"""),4.2)</f>
        <v>4.2</v>
      </c>
      <c r="AM970" s="14"/>
      <c r="AN970" s="14"/>
      <c r="AO970" s="14">
        <f>IFERROR(__xludf.DUMMYFUNCTION("""COMPUTED_VALUE"""),4.146666666666667)</f>
        <v>4.146666667</v>
      </c>
      <c r="AP970" s="14">
        <f>IFERROR(__xludf.DUMMYFUNCTION("""COMPUTED_VALUE"""),22.0)</f>
        <v>22</v>
      </c>
      <c r="AQ970" s="14">
        <f>IFERROR(__xludf.DUMMYFUNCTION("""COMPUTED_VALUE"""),35.0)</f>
        <v>35</v>
      </c>
      <c r="AR970" s="14">
        <f>IFERROR(__xludf.DUMMYFUNCTION("""COMPUTED_VALUE"""),15.0)</f>
        <v>15</v>
      </c>
      <c r="AS970" s="14">
        <f>IFERROR(__xludf.DUMMYFUNCTION("""COMPUTED_VALUE"""),1.0)</f>
        <v>1</v>
      </c>
      <c r="AT970" s="14">
        <f>IFERROR(__xludf.DUMMYFUNCTION("""COMPUTED_VALUE"""),0.39)</f>
        <v>0.39</v>
      </c>
      <c r="AU970" s="14">
        <f>IFERROR(__xludf.DUMMYFUNCTION("""COMPUTED_VALUE"""),8.86E7)</f>
        <v>88600000</v>
      </c>
      <c r="AV970" s="14">
        <f>IFERROR(__xludf.DUMMYFUNCTION("""COMPUTED_VALUE"""),0.7)</f>
        <v>0.7</v>
      </c>
      <c r="AW970" s="14">
        <f>IFERROR(__xludf.DUMMYFUNCTION("""COMPUTED_VALUE"""),8.1)</f>
        <v>8.1</v>
      </c>
      <c r="AX970" s="14">
        <f>IFERROR(__xludf.DUMMYFUNCTION("""COMPUTED_VALUE"""),6.2E7)</f>
        <v>62000000</v>
      </c>
      <c r="AY970" s="14">
        <f>IFERROR(__xludf.DUMMYFUNCTION("""COMPUTED_VALUE"""),1.0)</f>
        <v>1</v>
      </c>
      <c r="AZ970" s="14">
        <f>IFERROR(__xludf.DUMMYFUNCTION("""COMPUTED_VALUE"""),0.256)</f>
        <v>0.256</v>
      </c>
      <c r="BA970" s="14">
        <f t="shared" si="1"/>
        <v>9.356</v>
      </c>
    </row>
    <row r="971" ht="14.25" customHeight="1">
      <c r="A971" s="10" t="str">
        <f>IFERROR(__xludf.DUMMYFUNCTION("""COMPUTED_VALUE"""),"231123HA01")</f>
        <v>231123HA01</v>
      </c>
      <c r="B971" s="12" t="str">
        <f>IFERROR(__xludf.DUMMYFUNCTION("""COMPUTED_VALUE"""),"COR-Humedal Córdoba")</f>
        <v>COR-Humedal Córdoba</v>
      </c>
      <c r="C971" s="12"/>
      <c r="D971" s="12"/>
      <c r="E971" s="44">
        <f>IFERROR(__xludf.DUMMYFUNCTION("""COMPUTED_VALUE"""),45253.0)</f>
        <v>45253</v>
      </c>
      <c r="F971" s="12" t="str">
        <f>IFERROR(__xludf.DUMMYFUNCTION("""COMPUTED_VALUE"""),"TIPO I")</f>
        <v>TIPO I</v>
      </c>
      <c r="G971" s="12" t="str">
        <f>IFERROR(__xludf.DUMMYFUNCTION("""COMPUTED_VALUE"""),"Canal natural rocoso-arenoso, durante el monitoreo se percibe olor, se observa color y residuos sólidos sobre la superficie del cuerpo de agua.
Altitud: 2560.")</f>
        <v>Canal natural rocoso-arenoso, durante el monitoreo se percibe olor, se observa color y residuos sólidos sobre la superficie del cuerpo de agua.
Altitud: 2560.</v>
      </c>
      <c r="H971" s="45">
        <f>IFERROR(__xludf.DUMMYFUNCTION("""COMPUTED_VALUE"""),0.25)</f>
        <v>0.25</v>
      </c>
      <c r="I971" s="45">
        <f>IFERROR(__xludf.DUMMYFUNCTION("""COMPUTED_VALUE"""),0.3333333333321207)</f>
        <v>0.3333333333</v>
      </c>
      <c r="J971" s="12">
        <f>IFERROR(__xludf.DUMMYFUNCTION("""COMPUTED_VALUE"""),7.2)</f>
        <v>7.2</v>
      </c>
      <c r="K971" s="12">
        <f>IFERROR(__xludf.DUMMYFUNCTION("""COMPUTED_VALUE"""),0.44)</f>
        <v>0.44</v>
      </c>
      <c r="L971" s="14">
        <f>IFERROR(__xludf.DUMMYFUNCTION("""COMPUTED_VALUE"""),677.587)</f>
        <v>677.587</v>
      </c>
      <c r="M971" s="14">
        <f>IFERROR(__xludf.DUMMYFUNCTION("""COMPUTED_VALUE"""),684.386)</f>
        <v>684.386</v>
      </c>
      <c r="N971" s="14">
        <f>IFERROR(__xludf.DUMMYFUNCTION("""COMPUTED_VALUE"""),682.752)</f>
        <v>682.752</v>
      </c>
      <c r="O971" s="14">
        <f>IFERROR(__xludf.DUMMYFUNCTION("""COMPUTED_VALUE"""),694.529)</f>
        <v>694.529</v>
      </c>
      <c r="P971" s="14">
        <f>IFERROR(__xludf.DUMMYFUNCTION("""COMPUTED_VALUE"""),711.442)</f>
        <v>711.442</v>
      </c>
      <c r="Q971" s="14">
        <f>IFERROR(__xludf.DUMMYFUNCTION("""COMPUTED_VALUE"""),690.139)</f>
        <v>690.139</v>
      </c>
      <c r="R971" s="48">
        <f>IFERROR(__xludf.DUMMYFUNCTION("""COMPUTED_VALUE"""),6.84)</f>
        <v>6.84</v>
      </c>
      <c r="S971" s="48">
        <f>IFERROR(__xludf.DUMMYFUNCTION("""COMPUTED_VALUE"""),7.09)</f>
        <v>7.09</v>
      </c>
      <c r="T971" s="48">
        <f>IFERROR(__xludf.DUMMYFUNCTION("""COMPUTED_VALUE"""),6.96)</f>
        <v>6.96</v>
      </c>
      <c r="U971" s="48">
        <f>IFERROR(__xludf.DUMMYFUNCTION("""COMPUTED_VALUE"""),6.82)</f>
        <v>6.82</v>
      </c>
      <c r="V971" s="48">
        <f>IFERROR(__xludf.DUMMYFUNCTION("""COMPUTED_VALUE"""),6.76)</f>
        <v>6.76</v>
      </c>
      <c r="W971" s="14">
        <f>IFERROR(__xludf.DUMMYFUNCTION("""COMPUTED_VALUE"""),6.894)</f>
        <v>6.894</v>
      </c>
      <c r="X971" s="14">
        <f>IFERROR(__xludf.DUMMYFUNCTION("""COMPUTED_VALUE"""),17.9)</f>
        <v>17.9</v>
      </c>
      <c r="Y971" s="14">
        <f>IFERROR(__xludf.DUMMYFUNCTION("""COMPUTED_VALUE"""),18.4)</f>
        <v>18.4</v>
      </c>
      <c r="Z971" s="14">
        <f>IFERROR(__xludf.DUMMYFUNCTION("""COMPUTED_VALUE"""),18.1)</f>
        <v>18.1</v>
      </c>
      <c r="AA971" s="14">
        <f>IFERROR(__xludf.DUMMYFUNCTION("""COMPUTED_VALUE"""),17.4)</f>
        <v>17.4</v>
      </c>
      <c r="AB971" s="14">
        <f>IFERROR(__xludf.DUMMYFUNCTION("""COMPUTED_VALUE"""),18.1)</f>
        <v>18.1</v>
      </c>
      <c r="AC971" s="14">
        <f>IFERROR(__xludf.DUMMYFUNCTION("""COMPUTED_VALUE"""),17.98)</f>
        <v>17.98</v>
      </c>
      <c r="AD971" s="48">
        <f>IFERROR(__xludf.DUMMYFUNCTION("""COMPUTED_VALUE"""),397.0)</f>
        <v>397</v>
      </c>
      <c r="AE971" s="48">
        <f>IFERROR(__xludf.DUMMYFUNCTION("""COMPUTED_VALUE"""),394.0)</f>
        <v>394</v>
      </c>
      <c r="AF971" s="48">
        <f>IFERROR(__xludf.DUMMYFUNCTION("""COMPUTED_VALUE"""),403.0)</f>
        <v>403</v>
      </c>
      <c r="AG971" s="48">
        <f>IFERROR(__xludf.DUMMYFUNCTION("""COMPUTED_VALUE"""),397.0)</f>
        <v>397</v>
      </c>
      <c r="AH971" s="48">
        <f>IFERROR(__xludf.DUMMYFUNCTION("""COMPUTED_VALUE"""),401.0)</f>
        <v>401</v>
      </c>
      <c r="AI971" s="14">
        <f>IFERROR(__xludf.DUMMYFUNCTION("""COMPUTED_VALUE"""),398.4)</f>
        <v>398.4</v>
      </c>
      <c r="AJ971" s="14">
        <f>IFERROR(__xludf.DUMMYFUNCTION("""COMPUTED_VALUE"""),2.89)</f>
        <v>2.89</v>
      </c>
      <c r="AK971" s="14">
        <f>IFERROR(__xludf.DUMMYFUNCTION("""COMPUTED_VALUE"""),3.27)</f>
        <v>3.27</v>
      </c>
      <c r="AL971" s="14">
        <f>IFERROR(__xludf.DUMMYFUNCTION("""COMPUTED_VALUE"""),2.96)</f>
        <v>2.96</v>
      </c>
      <c r="AM971" s="14">
        <f>IFERROR(__xludf.DUMMYFUNCTION("""COMPUTED_VALUE"""),3.13)</f>
        <v>3.13</v>
      </c>
      <c r="AN971" s="14">
        <f>IFERROR(__xludf.DUMMYFUNCTION("""COMPUTED_VALUE"""),3.05)</f>
        <v>3.05</v>
      </c>
      <c r="AO971" s="14">
        <f>IFERROR(__xludf.DUMMYFUNCTION("""COMPUTED_VALUE"""),3.06)</f>
        <v>3.06</v>
      </c>
      <c r="AP971" s="14">
        <f>IFERROR(__xludf.DUMMYFUNCTION("""COMPUTED_VALUE"""),29.0)</f>
        <v>29</v>
      </c>
      <c r="AQ971" s="14">
        <f>IFERROR(__xludf.DUMMYFUNCTION("""COMPUTED_VALUE"""),43.0)</f>
        <v>43</v>
      </c>
      <c r="AR971" s="14">
        <f>IFERROR(__xludf.DUMMYFUNCTION("""COMPUTED_VALUE"""),32.0)</f>
        <v>32</v>
      </c>
      <c r="AS971" s="14">
        <f>IFERROR(__xludf.DUMMYFUNCTION("""COMPUTED_VALUE"""),14.1)</f>
        <v>14.1</v>
      </c>
      <c r="AT971" s="14">
        <f>IFERROR(__xludf.DUMMYFUNCTION("""COMPUTED_VALUE"""),1.48)</f>
        <v>1.48</v>
      </c>
      <c r="AU971" s="14">
        <f>IFERROR(__xludf.DUMMYFUNCTION("""COMPUTED_VALUE"""),1.19E8)</f>
        <v>119000000</v>
      </c>
      <c r="AV971" s="14">
        <f>IFERROR(__xludf.DUMMYFUNCTION("""COMPUTED_VALUE"""),1.15)</f>
        <v>1.15</v>
      </c>
      <c r="AW971" s="14">
        <f>IFERROR(__xludf.DUMMYFUNCTION("""COMPUTED_VALUE"""),18.2)</f>
        <v>18.2</v>
      </c>
      <c r="AX971" s="14">
        <f>IFERROR(__xludf.DUMMYFUNCTION("""COMPUTED_VALUE"""),1.18E8)</f>
        <v>118000000</v>
      </c>
      <c r="AY971" s="14">
        <f>IFERROR(__xludf.DUMMYFUNCTION("""COMPUTED_VALUE"""),0.7)</f>
        <v>0.7</v>
      </c>
      <c r="AZ971" s="14">
        <f>IFERROR(__xludf.DUMMYFUNCTION("""COMPUTED_VALUE"""),0.007)</f>
        <v>0.007</v>
      </c>
      <c r="BA971" s="14">
        <f t="shared" si="1"/>
        <v>18.907</v>
      </c>
    </row>
    <row r="972" ht="14.25" customHeight="1">
      <c r="A972" s="10" t="str">
        <f>IFERROR(__xludf.DUMMYFUNCTION("""COMPUTED_VALUE"""),"201123FE03")</f>
        <v>201123FE03</v>
      </c>
      <c r="B972" s="12" t="str">
        <f>IFERROR(__xludf.DUMMYFUNCTION("""COMPUTED_VALUE"""),"CRN-El Virrey")</f>
        <v>CRN-El Virrey</v>
      </c>
      <c r="C972" s="12"/>
      <c r="D972" s="12"/>
      <c r="E972" s="44">
        <f>IFERROR(__xludf.DUMMYFUNCTION("""COMPUTED_VALUE"""),45250.0)</f>
        <v>45250</v>
      </c>
      <c r="F972" s="12" t="str">
        <f>IFERROR(__xludf.DUMMYFUNCTION("""COMPUTED_VALUE"""),"TIPO I")</f>
        <v>TIPO I</v>
      </c>
      <c r="G972" s="12" t="str">
        <f>IFERROR(__xludf.DUMMYFUNCTION("""COMPUTED_VALUE"""),"Canal artificial en ladrillo, se observa color y se percibe olor, debido a las fuertes precipitaciones se toman solamente tres muestras.")</f>
        <v>Canal artificial en ladrillo, se observa color y se percibe olor, debido a las fuertes precipitaciones se toman solamente tres muestras.</v>
      </c>
      <c r="H972" s="45">
        <f>IFERROR(__xludf.DUMMYFUNCTION("""COMPUTED_VALUE"""),0.6666666666678793)</f>
        <v>0.6666666667</v>
      </c>
      <c r="I972" s="45">
        <f>IFERROR(__xludf.DUMMYFUNCTION("""COMPUTED_VALUE"""),0.75)</f>
        <v>0.75</v>
      </c>
      <c r="J972" s="12">
        <f>IFERROR(__xludf.DUMMYFUNCTION("""COMPUTED_VALUE"""),2.3)</f>
        <v>2.3</v>
      </c>
      <c r="K972" s="12">
        <f>IFERROR(__xludf.DUMMYFUNCTION("""COMPUTED_VALUE"""),0.14)</f>
        <v>0.14</v>
      </c>
      <c r="L972" s="14">
        <f>IFERROR(__xludf.DUMMYFUNCTION("""COMPUTED_VALUE"""),133.742)</f>
        <v>133.742</v>
      </c>
      <c r="M972" s="14">
        <f>IFERROR(__xludf.DUMMYFUNCTION("""COMPUTED_VALUE"""),135.464)</f>
        <v>135.464</v>
      </c>
      <c r="N972" s="14">
        <f>IFERROR(__xludf.DUMMYFUNCTION("""COMPUTED_VALUE"""),148.83)</f>
        <v>148.83</v>
      </c>
      <c r="O972" s="14"/>
      <c r="P972" s="14"/>
      <c r="Q972" s="14">
        <f>IFERROR(__xludf.DUMMYFUNCTION("""COMPUTED_VALUE"""),139.345)</f>
        <v>139.345</v>
      </c>
      <c r="R972" s="48">
        <f>IFERROR(__xludf.DUMMYFUNCTION("""COMPUTED_VALUE"""),6.97)</f>
        <v>6.97</v>
      </c>
      <c r="S972" s="48">
        <f>IFERROR(__xludf.DUMMYFUNCTION("""COMPUTED_VALUE"""),7.02)</f>
        <v>7.02</v>
      </c>
      <c r="T972" s="48">
        <f>IFERROR(__xludf.DUMMYFUNCTION("""COMPUTED_VALUE"""),7.04)</f>
        <v>7.04</v>
      </c>
      <c r="U972" s="48"/>
      <c r="V972" s="48"/>
      <c r="W972" s="14">
        <f>IFERROR(__xludf.DUMMYFUNCTION("""COMPUTED_VALUE"""),7.009999999999999)</f>
        <v>7.01</v>
      </c>
      <c r="X972" s="14">
        <f>IFERROR(__xludf.DUMMYFUNCTION("""COMPUTED_VALUE"""),19.3)</f>
        <v>19.3</v>
      </c>
      <c r="Y972" s="14">
        <f>IFERROR(__xludf.DUMMYFUNCTION("""COMPUTED_VALUE"""),19.5)</f>
        <v>19.5</v>
      </c>
      <c r="Z972" s="14">
        <f>IFERROR(__xludf.DUMMYFUNCTION("""COMPUTED_VALUE"""),19.5)</f>
        <v>19.5</v>
      </c>
      <c r="AA972" s="14"/>
      <c r="AB972" s="14"/>
      <c r="AC972" s="14">
        <f>IFERROR(__xludf.DUMMYFUNCTION("""COMPUTED_VALUE"""),19.433333333333334)</f>
        <v>19.43333333</v>
      </c>
      <c r="AD972" s="48">
        <f>IFERROR(__xludf.DUMMYFUNCTION("""COMPUTED_VALUE"""),312.0)</f>
        <v>312</v>
      </c>
      <c r="AE972" s="48">
        <f>IFERROR(__xludf.DUMMYFUNCTION("""COMPUTED_VALUE"""),300.0)</f>
        <v>300</v>
      </c>
      <c r="AF972" s="48">
        <f>IFERROR(__xludf.DUMMYFUNCTION("""COMPUTED_VALUE"""),297.0)</f>
        <v>297</v>
      </c>
      <c r="AG972" s="48"/>
      <c r="AH972" s="48"/>
      <c r="AI972" s="14">
        <f>IFERROR(__xludf.DUMMYFUNCTION("""COMPUTED_VALUE"""),303.0)</f>
        <v>303</v>
      </c>
      <c r="AJ972" s="14">
        <f>IFERROR(__xludf.DUMMYFUNCTION("""COMPUTED_VALUE"""),2.74)</f>
        <v>2.74</v>
      </c>
      <c r="AK972" s="14">
        <f>IFERROR(__xludf.DUMMYFUNCTION("""COMPUTED_VALUE"""),2.23)</f>
        <v>2.23</v>
      </c>
      <c r="AL972" s="14">
        <f>IFERROR(__xludf.DUMMYFUNCTION("""COMPUTED_VALUE"""),2.43)</f>
        <v>2.43</v>
      </c>
      <c r="AM972" s="14"/>
      <c r="AN972" s="14"/>
      <c r="AO972" s="14">
        <f>IFERROR(__xludf.DUMMYFUNCTION("""COMPUTED_VALUE"""),2.466666666666667)</f>
        <v>2.466666667</v>
      </c>
      <c r="AP972" s="14">
        <f>IFERROR(__xludf.DUMMYFUNCTION("""COMPUTED_VALUE"""),84.0)</f>
        <v>84</v>
      </c>
      <c r="AQ972" s="14">
        <f>IFERROR(__xludf.DUMMYFUNCTION("""COMPUTED_VALUE"""),121.0)</f>
        <v>121</v>
      </c>
      <c r="AR972" s="14">
        <f>IFERROR(__xludf.DUMMYFUNCTION("""COMPUTED_VALUE"""),66.0)</f>
        <v>66</v>
      </c>
      <c r="AS972" s="14">
        <f>IFERROR(__xludf.DUMMYFUNCTION("""COMPUTED_VALUE"""),36.0)</f>
        <v>36</v>
      </c>
      <c r="AT972" s="14">
        <f>IFERROR(__xludf.DUMMYFUNCTION("""COMPUTED_VALUE"""),8.69)</f>
        <v>8.69</v>
      </c>
      <c r="AU972" s="14">
        <f>IFERROR(__xludf.DUMMYFUNCTION("""COMPUTED_VALUE"""),1.274E7)</f>
        <v>12740000</v>
      </c>
      <c r="AV972" s="14">
        <f>IFERROR(__xludf.DUMMYFUNCTION("""COMPUTED_VALUE"""),2.11)</f>
        <v>2.11</v>
      </c>
      <c r="AW972" s="14">
        <f>IFERROR(__xludf.DUMMYFUNCTION("""COMPUTED_VALUE"""),18.8)</f>
        <v>18.8</v>
      </c>
      <c r="AX972" s="14">
        <f>IFERROR(__xludf.DUMMYFUNCTION("""COMPUTED_VALUE"""),8800000.0)</f>
        <v>8800000</v>
      </c>
      <c r="AY972" s="14">
        <f>IFERROR(__xludf.DUMMYFUNCTION("""COMPUTED_VALUE"""),0.1)</f>
        <v>0.1</v>
      </c>
      <c r="AZ972" s="14">
        <f>IFERROR(__xludf.DUMMYFUNCTION("""COMPUTED_VALUE"""),0.007)</f>
        <v>0.007</v>
      </c>
      <c r="BA972" s="14">
        <f t="shared" si="1"/>
        <v>18.907</v>
      </c>
    </row>
    <row r="973" ht="14.25" customHeight="1">
      <c r="A973" s="10" t="str">
        <f>IFERROR(__xludf.DUMMYFUNCTION("""COMPUTED_VALUE"""),"271123FE02")</f>
        <v>271123FE02</v>
      </c>
      <c r="B973" s="12" t="str">
        <f>IFERROR(__xludf.DUMMYFUNCTION("""COMPUTED_VALUE"""),"HCO-Los Lagartos")</f>
        <v>HCO-Los Lagartos</v>
      </c>
      <c r="C973" s="12"/>
      <c r="D973" s="12"/>
      <c r="E973" s="44">
        <f>IFERROR(__xludf.DUMMYFUNCTION("""COMPUTED_VALUE"""),45257.0)</f>
        <v>45257</v>
      </c>
      <c r="F973" s="12" t="str">
        <f>IFERROR(__xludf.DUMMYFUNCTION("""COMPUTED_VALUE"""),"TIPO I")</f>
        <v>TIPO I</v>
      </c>
      <c r="G973" s="12" t="str">
        <f>IFERROR(__xludf.DUMMYFUNCTION("""COMPUTED_VALUE"""),"Monitoreo realizado en canal artificial en concreto; durante la toma de muestras se observa color y material flotante. Se percibe olor.
Altitud: 2558 m.s.n.m. ")</f>
        <v>Monitoreo realizado en canal artificial en concreto; durante la toma de muestras se observa color y material flotante. Se percibe olor.
Altitud: 2558 m.s.n.m. </v>
      </c>
      <c r="H973" s="45">
        <f>IFERROR(__xludf.DUMMYFUNCTION("""COMPUTED_VALUE"""),0.5)</f>
        <v>0.5</v>
      </c>
      <c r="I973" s="45">
        <f>IFERROR(__xludf.DUMMYFUNCTION("""COMPUTED_VALUE"""),0.5833333333321207)</f>
        <v>0.5833333333</v>
      </c>
      <c r="J973" s="12">
        <f>IFERROR(__xludf.DUMMYFUNCTION("""COMPUTED_VALUE"""),6.3)</f>
        <v>6.3</v>
      </c>
      <c r="K973" s="12">
        <f>IFERROR(__xludf.DUMMYFUNCTION("""COMPUTED_VALUE"""),0.59)</f>
        <v>0.59</v>
      </c>
      <c r="L973" s="14">
        <f>IFERROR(__xludf.DUMMYFUNCTION("""COMPUTED_VALUE"""),265.425)</f>
        <v>265.425</v>
      </c>
      <c r="M973" s="14">
        <f>IFERROR(__xludf.DUMMYFUNCTION("""COMPUTED_VALUE"""),283.478)</f>
        <v>283.478</v>
      </c>
      <c r="N973" s="14">
        <f>IFERROR(__xludf.DUMMYFUNCTION("""COMPUTED_VALUE"""),296.001)</f>
        <v>296.001</v>
      </c>
      <c r="O973" s="14">
        <f>IFERROR(__xludf.DUMMYFUNCTION("""COMPUTED_VALUE"""),317.118)</f>
        <v>317.118</v>
      </c>
      <c r="P973" s="14">
        <f>IFERROR(__xludf.DUMMYFUNCTION("""COMPUTED_VALUE"""),316.479)</f>
        <v>316.479</v>
      </c>
      <c r="Q973" s="14">
        <f>IFERROR(__xludf.DUMMYFUNCTION("""COMPUTED_VALUE"""),295.7)</f>
        <v>295.7</v>
      </c>
      <c r="R973" s="48">
        <f>IFERROR(__xludf.DUMMYFUNCTION("""COMPUTED_VALUE"""),6.64)</f>
        <v>6.64</v>
      </c>
      <c r="S973" s="48">
        <f>IFERROR(__xludf.DUMMYFUNCTION("""COMPUTED_VALUE"""),6.65)</f>
        <v>6.65</v>
      </c>
      <c r="T973" s="48">
        <f>IFERROR(__xludf.DUMMYFUNCTION("""COMPUTED_VALUE"""),6.68)</f>
        <v>6.68</v>
      </c>
      <c r="U973" s="48">
        <f>IFERROR(__xludf.DUMMYFUNCTION("""COMPUTED_VALUE"""),6.74)</f>
        <v>6.74</v>
      </c>
      <c r="V973" s="48">
        <f>IFERROR(__xludf.DUMMYFUNCTION("""COMPUTED_VALUE"""),6.71)</f>
        <v>6.71</v>
      </c>
      <c r="W973" s="14">
        <f>IFERROR(__xludf.DUMMYFUNCTION("""COMPUTED_VALUE"""),6.684)</f>
        <v>6.684</v>
      </c>
      <c r="X973" s="14">
        <f>IFERROR(__xludf.DUMMYFUNCTION("""COMPUTED_VALUE"""),18.3)</f>
        <v>18.3</v>
      </c>
      <c r="Y973" s="14">
        <f>IFERROR(__xludf.DUMMYFUNCTION("""COMPUTED_VALUE"""),20.8)</f>
        <v>20.8</v>
      </c>
      <c r="Z973" s="14">
        <f>IFERROR(__xludf.DUMMYFUNCTION("""COMPUTED_VALUE"""),18.0)</f>
        <v>18</v>
      </c>
      <c r="AA973" s="14">
        <f>IFERROR(__xludf.DUMMYFUNCTION("""COMPUTED_VALUE"""),18.1)</f>
        <v>18.1</v>
      </c>
      <c r="AB973" s="14">
        <f>IFERROR(__xludf.DUMMYFUNCTION("""COMPUTED_VALUE"""),18.2)</f>
        <v>18.2</v>
      </c>
      <c r="AC973" s="14">
        <f>IFERROR(__xludf.DUMMYFUNCTION("""COMPUTED_VALUE"""),18.68)</f>
        <v>18.68</v>
      </c>
      <c r="AD973" s="48">
        <f>IFERROR(__xludf.DUMMYFUNCTION("""COMPUTED_VALUE"""),392.0)</f>
        <v>392</v>
      </c>
      <c r="AE973" s="48">
        <f>IFERROR(__xludf.DUMMYFUNCTION("""COMPUTED_VALUE"""),404.0)</f>
        <v>404</v>
      </c>
      <c r="AF973" s="48">
        <f>IFERROR(__xludf.DUMMYFUNCTION("""COMPUTED_VALUE"""),396.0)</f>
        <v>396</v>
      </c>
      <c r="AG973" s="48">
        <f>IFERROR(__xludf.DUMMYFUNCTION("""COMPUTED_VALUE"""),392.0)</f>
        <v>392</v>
      </c>
      <c r="AH973" s="48">
        <f>IFERROR(__xludf.DUMMYFUNCTION("""COMPUTED_VALUE"""),390.0)</f>
        <v>390</v>
      </c>
      <c r="AI973" s="14">
        <f>IFERROR(__xludf.DUMMYFUNCTION("""COMPUTED_VALUE"""),394.8)</f>
        <v>394.8</v>
      </c>
      <c r="AJ973" s="14">
        <f>IFERROR(__xludf.DUMMYFUNCTION("""COMPUTED_VALUE"""),0.89)</f>
        <v>0.89</v>
      </c>
      <c r="AK973" s="14">
        <f>IFERROR(__xludf.DUMMYFUNCTION("""COMPUTED_VALUE"""),0.92)</f>
        <v>0.92</v>
      </c>
      <c r="AL973" s="14">
        <f>IFERROR(__xludf.DUMMYFUNCTION("""COMPUTED_VALUE"""),0.94)</f>
        <v>0.94</v>
      </c>
      <c r="AM973" s="14">
        <f>IFERROR(__xludf.DUMMYFUNCTION("""COMPUTED_VALUE"""),0.99)</f>
        <v>0.99</v>
      </c>
      <c r="AN973" s="14">
        <f>IFERROR(__xludf.DUMMYFUNCTION("""COMPUTED_VALUE"""),1.01)</f>
        <v>1.01</v>
      </c>
      <c r="AO973" s="14">
        <f>IFERROR(__xludf.DUMMYFUNCTION("""COMPUTED_VALUE"""),0.95)</f>
        <v>0.95</v>
      </c>
      <c r="AP973" s="14">
        <f>IFERROR(__xludf.DUMMYFUNCTION("""COMPUTED_VALUE"""),29.0)</f>
        <v>29</v>
      </c>
      <c r="AQ973" s="14">
        <f>IFERROR(__xludf.DUMMYFUNCTION("""COMPUTED_VALUE"""),45.0)</f>
        <v>45</v>
      </c>
      <c r="AR973" s="14">
        <f>IFERROR(__xludf.DUMMYFUNCTION("""COMPUTED_VALUE"""),30.0)</f>
        <v>30</v>
      </c>
      <c r="AS973" s="14">
        <f>IFERROR(__xludf.DUMMYFUNCTION("""COMPUTED_VALUE"""),22.0)</f>
        <v>22</v>
      </c>
      <c r="AT973" s="14">
        <f>IFERROR(__xludf.DUMMYFUNCTION("""COMPUTED_VALUE"""),1.84)</f>
        <v>1.84</v>
      </c>
      <c r="AU973" s="14">
        <f>IFERROR(__xludf.DUMMYFUNCTION("""COMPUTED_VALUE"""),1.894E8)</f>
        <v>189400000</v>
      </c>
      <c r="AV973" s="14">
        <f>IFERROR(__xludf.DUMMYFUNCTION("""COMPUTED_VALUE"""),1.44)</f>
        <v>1.44</v>
      </c>
      <c r="AW973" s="14">
        <f>IFERROR(__xludf.DUMMYFUNCTION("""COMPUTED_VALUE"""),15.4)</f>
        <v>15.4</v>
      </c>
      <c r="AX973" s="14">
        <f>IFERROR(__xludf.DUMMYFUNCTION("""COMPUTED_VALUE"""),1.494E8)</f>
        <v>149400000</v>
      </c>
      <c r="AY973" s="14">
        <f>IFERROR(__xludf.DUMMYFUNCTION("""COMPUTED_VALUE"""),0.3)</f>
        <v>0.3</v>
      </c>
      <c r="AZ973" s="14">
        <f>IFERROR(__xludf.DUMMYFUNCTION("""COMPUTED_VALUE"""),0.007)</f>
        <v>0.007</v>
      </c>
      <c r="BA973" s="14">
        <f t="shared" si="1"/>
        <v>15.707</v>
      </c>
    </row>
    <row r="974" ht="14.25" customHeight="1">
      <c r="A974" s="10" t="str">
        <f>IFERROR(__xludf.DUMMYFUNCTION("""COMPUTED_VALUE"""),"221123FE01")</f>
        <v>221123FE01</v>
      </c>
      <c r="B974" s="12" t="str">
        <f>IFERROR(__xludf.DUMMYFUNCTION("""COMPUTED_VALUE"""),"CON-Bella Suiza")</f>
        <v>CON-Bella Suiza</v>
      </c>
      <c r="C974" s="12"/>
      <c r="D974" s="12"/>
      <c r="E974" s="44">
        <f>IFERROR(__xludf.DUMMYFUNCTION("""COMPUTED_VALUE"""),45252.0)</f>
        <v>45252</v>
      </c>
      <c r="F974" s="12" t="str">
        <f>IFERROR(__xludf.DUMMYFUNCTION("""COMPUTED_VALUE"""),"TIPO I")</f>
        <v>TIPO I</v>
      </c>
      <c r="G974" s="12" t="str">
        <f>IFERROR(__xludf.DUMMYFUNCTION("""COMPUTED_VALUE"""),"Canal en concreto, se observa color y se percibe olor. Altitud: 2582 msnm. ")</f>
        <v>Canal en concreto, se observa color y se percibe olor. Altitud: 2582 msnm. </v>
      </c>
      <c r="H974" s="45">
        <f>IFERROR(__xludf.DUMMYFUNCTION("""COMPUTED_VALUE"""),0.3333333333321207)</f>
        <v>0.3333333333</v>
      </c>
      <c r="I974" s="45">
        <f>IFERROR(__xludf.DUMMYFUNCTION("""COMPUTED_VALUE"""),0.4166666666678793)</f>
        <v>0.4166666667</v>
      </c>
      <c r="J974" s="12">
        <f>IFERROR(__xludf.DUMMYFUNCTION("""COMPUTED_VALUE"""),1.0)</f>
        <v>1</v>
      </c>
      <c r="K974" s="12">
        <f>IFERROR(__xludf.DUMMYFUNCTION("""COMPUTED_VALUE"""),0.07)</f>
        <v>0.07</v>
      </c>
      <c r="L974" s="14">
        <f>IFERROR(__xludf.DUMMYFUNCTION("""COMPUTED_VALUE"""),13.456)</f>
        <v>13.456</v>
      </c>
      <c r="M974" s="14">
        <f>IFERROR(__xludf.DUMMYFUNCTION("""COMPUTED_VALUE"""),13.602)</f>
        <v>13.602</v>
      </c>
      <c r="N974" s="14">
        <f>IFERROR(__xludf.DUMMYFUNCTION("""COMPUTED_VALUE"""),13.704)</f>
        <v>13.704</v>
      </c>
      <c r="O974" s="14">
        <f>IFERROR(__xludf.DUMMYFUNCTION("""COMPUTED_VALUE"""),13.726)</f>
        <v>13.726</v>
      </c>
      <c r="P974" s="14">
        <f>IFERROR(__xludf.DUMMYFUNCTION("""COMPUTED_VALUE"""),14.154)</f>
        <v>14.154</v>
      </c>
      <c r="Q974" s="14">
        <f>IFERROR(__xludf.DUMMYFUNCTION("""COMPUTED_VALUE"""),13.728)</f>
        <v>13.728</v>
      </c>
      <c r="R974" s="48">
        <f>IFERROR(__xludf.DUMMYFUNCTION("""COMPUTED_VALUE"""),7.29)</f>
        <v>7.29</v>
      </c>
      <c r="S974" s="48">
        <f>IFERROR(__xludf.DUMMYFUNCTION("""COMPUTED_VALUE"""),7.24)</f>
        <v>7.24</v>
      </c>
      <c r="T974" s="48">
        <f>IFERROR(__xludf.DUMMYFUNCTION("""COMPUTED_VALUE"""),7.16)</f>
        <v>7.16</v>
      </c>
      <c r="U974" s="48">
        <f>IFERROR(__xludf.DUMMYFUNCTION("""COMPUTED_VALUE"""),7.18)</f>
        <v>7.18</v>
      </c>
      <c r="V974" s="48">
        <f>IFERROR(__xludf.DUMMYFUNCTION("""COMPUTED_VALUE"""),7.11)</f>
        <v>7.11</v>
      </c>
      <c r="W974" s="14">
        <f>IFERROR(__xludf.DUMMYFUNCTION("""COMPUTED_VALUE"""),7.196000000000001)</f>
        <v>7.196</v>
      </c>
      <c r="X974" s="14">
        <f>IFERROR(__xludf.DUMMYFUNCTION("""COMPUTED_VALUE"""),19.0)</f>
        <v>19</v>
      </c>
      <c r="Y974" s="14">
        <f>IFERROR(__xludf.DUMMYFUNCTION("""COMPUTED_VALUE"""),18.7)</f>
        <v>18.7</v>
      </c>
      <c r="Z974" s="14">
        <f>IFERROR(__xludf.DUMMYFUNCTION("""COMPUTED_VALUE"""),19.0)</f>
        <v>19</v>
      </c>
      <c r="AA974" s="14">
        <f>IFERROR(__xludf.DUMMYFUNCTION("""COMPUTED_VALUE"""),19.2)</f>
        <v>19.2</v>
      </c>
      <c r="AB974" s="14">
        <f>IFERROR(__xludf.DUMMYFUNCTION("""COMPUTED_VALUE"""),19.4)</f>
        <v>19.4</v>
      </c>
      <c r="AC974" s="14">
        <f>IFERROR(__xludf.DUMMYFUNCTION("""COMPUTED_VALUE"""),19.060000000000002)</f>
        <v>19.06</v>
      </c>
      <c r="AD974" s="48">
        <f>IFERROR(__xludf.DUMMYFUNCTION("""COMPUTED_VALUE"""),416.0)</f>
        <v>416</v>
      </c>
      <c r="AE974" s="48">
        <f>IFERROR(__xludf.DUMMYFUNCTION("""COMPUTED_VALUE"""),422.0)</f>
        <v>422</v>
      </c>
      <c r="AF974" s="48">
        <f>IFERROR(__xludf.DUMMYFUNCTION("""COMPUTED_VALUE"""),385.0)</f>
        <v>385</v>
      </c>
      <c r="AG974" s="48">
        <f>IFERROR(__xludf.DUMMYFUNCTION("""COMPUTED_VALUE"""),420.0)</f>
        <v>420</v>
      </c>
      <c r="AH974" s="48">
        <f>IFERROR(__xludf.DUMMYFUNCTION("""COMPUTED_VALUE"""),428.0)</f>
        <v>428</v>
      </c>
      <c r="AI974" s="14">
        <f>IFERROR(__xludf.DUMMYFUNCTION("""COMPUTED_VALUE"""),414.2)</f>
        <v>414.2</v>
      </c>
      <c r="AJ974" s="14">
        <f>IFERROR(__xludf.DUMMYFUNCTION("""COMPUTED_VALUE"""),2.38)</f>
        <v>2.38</v>
      </c>
      <c r="AK974" s="14">
        <f>IFERROR(__xludf.DUMMYFUNCTION("""COMPUTED_VALUE"""),2.03)</f>
        <v>2.03</v>
      </c>
      <c r="AL974" s="14">
        <f>IFERROR(__xludf.DUMMYFUNCTION("""COMPUTED_VALUE"""),2.79)</f>
        <v>2.79</v>
      </c>
      <c r="AM974" s="14">
        <f>IFERROR(__xludf.DUMMYFUNCTION("""COMPUTED_VALUE"""),2.27)</f>
        <v>2.27</v>
      </c>
      <c r="AN974" s="14">
        <f>IFERROR(__xludf.DUMMYFUNCTION("""COMPUTED_VALUE"""),2.69)</f>
        <v>2.69</v>
      </c>
      <c r="AO974" s="14">
        <f>IFERROR(__xludf.DUMMYFUNCTION("""COMPUTED_VALUE"""),2.432)</f>
        <v>2.432</v>
      </c>
      <c r="AP974" s="14">
        <f>IFERROR(__xludf.DUMMYFUNCTION("""COMPUTED_VALUE"""),23.0)</f>
        <v>23</v>
      </c>
      <c r="AQ974" s="14">
        <f>IFERROR(__xludf.DUMMYFUNCTION("""COMPUTED_VALUE"""),36.0)</f>
        <v>36</v>
      </c>
      <c r="AR974" s="14">
        <f>IFERROR(__xludf.DUMMYFUNCTION("""COMPUTED_VALUE"""),27.0)</f>
        <v>27</v>
      </c>
      <c r="AS974" s="14">
        <f>IFERROR(__xludf.DUMMYFUNCTION("""COMPUTED_VALUE"""),3.7)</f>
        <v>3.7</v>
      </c>
      <c r="AT974" s="14">
        <f>IFERROR(__xludf.DUMMYFUNCTION("""COMPUTED_VALUE"""),0.62)</f>
        <v>0.62</v>
      </c>
      <c r="AU974" s="14">
        <f>IFERROR(__xludf.DUMMYFUNCTION("""COMPUTED_VALUE"""),9.34E7)</f>
        <v>93400000</v>
      </c>
      <c r="AV974" s="14">
        <f>IFERROR(__xludf.DUMMYFUNCTION("""COMPUTED_VALUE"""),1.3)</f>
        <v>1.3</v>
      </c>
      <c r="AW974" s="14">
        <f>IFERROR(__xludf.DUMMYFUNCTION("""COMPUTED_VALUE"""),19.0)</f>
        <v>19</v>
      </c>
      <c r="AX974" s="14">
        <f>IFERROR(__xludf.DUMMYFUNCTION("""COMPUTED_VALUE"""),7.38E7)</f>
        <v>73800000</v>
      </c>
      <c r="AY974" s="14">
        <f>IFERROR(__xludf.DUMMYFUNCTION("""COMPUTED_VALUE"""),0.5)</f>
        <v>0.5</v>
      </c>
      <c r="AZ974" s="14">
        <f>IFERROR(__xludf.DUMMYFUNCTION("""COMPUTED_VALUE"""),0.007)</f>
        <v>0.007</v>
      </c>
      <c r="BA974" s="14">
        <f t="shared" si="1"/>
        <v>19.507</v>
      </c>
    </row>
    <row r="975" ht="14.25" customHeight="1">
      <c r="A975" s="10" t="str">
        <f>IFERROR(__xludf.DUMMYFUNCTION("""COMPUTED_VALUE"""),"301123FE02")</f>
        <v>301123FE02</v>
      </c>
      <c r="B975" s="12" t="str">
        <f>IFERROR(__xludf.DUMMYFUNCTION("""COMPUTED_VALUE"""),"QCH-Cantarrana")</f>
        <v>QCH-Cantarrana</v>
      </c>
      <c r="C975" s="12"/>
      <c r="D975" s="12"/>
      <c r="E975" s="44">
        <f>IFERROR(__xludf.DUMMYFUNCTION("""COMPUTED_VALUE"""),45260.0)</f>
        <v>45260</v>
      </c>
      <c r="F975" s="12" t="str">
        <f>IFERROR(__xludf.DUMMYFUNCTION("""COMPUTED_VALUE"""),"TIPO I")</f>
        <v>TIPO I</v>
      </c>
      <c r="G975" s="12" t="str">
        <f>IFERROR(__xludf.DUMMYFUNCTION("""COMPUTED_VALUE"""),"El monitoreo se realiza en un canal natural con un entorno rocoso, arenoso. Durante el monitoreo se observa color y se percibe olor.
Altitud: 2656 m.s.n.m.")</f>
        <v>El monitoreo se realiza en un canal natural con un entorno rocoso, arenoso. Durante el monitoreo se observa color y se percibe olor.
Altitud: 2656 m.s.n.m.</v>
      </c>
      <c r="H975" s="45">
        <f>IFERROR(__xludf.DUMMYFUNCTION("""COMPUTED_VALUE"""),0.4166666666678793)</f>
        <v>0.4166666667</v>
      </c>
      <c r="I975" s="45">
        <f>IFERROR(__xludf.DUMMYFUNCTION("""COMPUTED_VALUE"""),0.5)</f>
        <v>0.5</v>
      </c>
      <c r="J975" s="12">
        <f>IFERROR(__xludf.DUMMYFUNCTION("""COMPUTED_VALUE"""),0.5)</f>
        <v>0.5</v>
      </c>
      <c r="K975" s="12">
        <f>IFERROR(__xludf.DUMMYFUNCTION("""COMPUTED_VALUE"""),0.18)</f>
        <v>0.18</v>
      </c>
      <c r="L975" s="14">
        <f>IFERROR(__xludf.DUMMYFUNCTION("""COMPUTED_VALUE"""),36.55)</f>
        <v>36.55</v>
      </c>
      <c r="M975" s="14">
        <f>IFERROR(__xludf.DUMMYFUNCTION("""COMPUTED_VALUE"""),36.872)</f>
        <v>36.872</v>
      </c>
      <c r="N975" s="14">
        <f>IFERROR(__xludf.DUMMYFUNCTION("""COMPUTED_VALUE"""),37.066)</f>
        <v>37.066</v>
      </c>
      <c r="O975" s="14">
        <f>IFERROR(__xludf.DUMMYFUNCTION("""COMPUTED_VALUE"""),37.15)</f>
        <v>37.15</v>
      </c>
      <c r="P975" s="14">
        <f>IFERROR(__xludf.DUMMYFUNCTION("""COMPUTED_VALUE"""),37.49)</f>
        <v>37.49</v>
      </c>
      <c r="Q975" s="14">
        <f>IFERROR(__xludf.DUMMYFUNCTION("""COMPUTED_VALUE"""),37.026)</f>
        <v>37.026</v>
      </c>
      <c r="R975" s="48">
        <f>IFERROR(__xludf.DUMMYFUNCTION("""COMPUTED_VALUE"""),7.87)</f>
        <v>7.87</v>
      </c>
      <c r="S975" s="48">
        <f>IFERROR(__xludf.DUMMYFUNCTION("""COMPUTED_VALUE"""),7.8)</f>
        <v>7.8</v>
      </c>
      <c r="T975" s="48">
        <f>IFERROR(__xludf.DUMMYFUNCTION("""COMPUTED_VALUE"""),7.72)</f>
        <v>7.72</v>
      </c>
      <c r="U975" s="48">
        <f>IFERROR(__xludf.DUMMYFUNCTION("""COMPUTED_VALUE"""),7.62)</f>
        <v>7.62</v>
      </c>
      <c r="V975" s="48">
        <f>IFERROR(__xludf.DUMMYFUNCTION("""COMPUTED_VALUE"""),7.43)</f>
        <v>7.43</v>
      </c>
      <c r="W975" s="14">
        <f>IFERROR(__xludf.DUMMYFUNCTION("""COMPUTED_VALUE"""),7.688)</f>
        <v>7.688</v>
      </c>
      <c r="X975" s="14">
        <f>IFERROR(__xludf.DUMMYFUNCTION("""COMPUTED_VALUE"""),17.3)</f>
        <v>17.3</v>
      </c>
      <c r="Y975" s="14">
        <f>IFERROR(__xludf.DUMMYFUNCTION("""COMPUTED_VALUE"""),16.5)</f>
        <v>16.5</v>
      </c>
      <c r="Z975" s="14">
        <f>IFERROR(__xludf.DUMMYFUNCTION("""COMPUTED_VALUE"""),17.2)</f>
        <v>17.2</v>
      </c>
      <c r="AA975" s="14">
        <f>IFERROR(__xludf.DUMMYFUNCTION("""COMPUTED_VALUE"""),16.9)</f>
        <v>16.9</v>
      </c>
      <c r="AB975" s="14">
        <f>IFERROR(__xludf.DUMMYFUNCTION("""COMPUTED_VALUE"""),17.3)</f>
        <v>17.3</v>
      </c>
      <c r="AC975" s="14">
        <f>IFERROR(__xludf.DUMMYFUNCTION("""COMPUTED_VALUE"""),17.04)</f>
        <v>17.04</v>
      </c>
      <c r="AD975" s="48">
        <f>IFERROR(__xludf.DUMMYFUNCTION("""COMPUTED_VALUE"""),995.0)</f>
        <v>995</v>
      </c>
      <c r="AE975" s="48">
        <f>IFERROR(__xludf.DUMMYFUNCTION("""COMPUTED_VALUE"""),945.0)</f>
        <v>945</v>
      </c>
      <c r="AF975" s="48">
        <f>IFERROR(__xludf.DUMMYFUNCTION("""COMPUTED_VALUE"""),1003.0)</f>
        <v>1003</v>
      </c>
      <c r="AG975" s="48">
        <f>IFERROR(__xludf.DUMMYFUNCTION("""COMPUTED_VALUE"""),991.0)</f>
        <v>991</v>
      </c>
      <c r="AH975" s="48">
        <f>IFERROR(__xludf.DUMMYFUNCTION("""COMPUTED_VALUE"""),926.0)</f>
        <v>926</v>
      </c>
      <c r="AI975" s="14">
        <f>IFERROR(__xludf.DUMMYFUNCTION("""COMPUTED_VALUE"""),972.0)</f>
        <v>972</v>
      </c>
      <c r="AJ975" s="14">
        <f>IFERROR(__xludf.DUMMYFUNCTION("""COMPUTED_VALUE"""),1.89)</f>
        <v>1.89</v>
      </c>
      <c r="AK975" s="14">
        <f>IFERROR(__xludf.DUMMYFUNCTION("""COMPUTED_VALUE"""),1.33)</f>
        <v>1.33</v>
      </c>
      <c r="AL975" s="14">
        <f>IFERROR(__xludf.DUMMYFUNCTION("""COMPUTED_VALUE"""),1.21)</f>
        <v>1.21</v>
      </c>
      <c r="AM975" s="14">
        <f>IFERROR(__xludf.DUMMYFUNCTION("""COMPUTED_VALUE"""),1.08)</f>
        <v>1.08</v>
      </c>
      <c r="AN975" s="14">
        <f>IFERROR(__xludf.DUMMYFUNCTION("""COMPUTED_VALUE"""),0.94)</f>
        <v>0.94</v>
      </c>
      <c r="AO975" s="14">
        <f>IFERROR(__xludf.DUMMYFUNCTION("""COMPUTED_VALUE"""),1.2899999999999998)</f>
        <v>1.29</v>
      </c>
      <c r="AP975" s="14">
        <f>IFERROR(__xludf.DUMMYFUNCTION("""COMPUTED_VALUE"""),329.0)</f>
        <v>329</v>
      </c>
      <c r="AQ975" s="14">
        <f>IFERROR(__xludf.DUMMYFUNCTION("""COMPUTED_VALUE"""),484.0)</f>
        <v>484</v>
      </c>
      <c r="AR975" s="14">
        <f>IFERROR(__xludf.DUMMYFUNCTION("""COMPUTED_VALUE"""),286.0)</f>
        <v>286</v>
      </c>
      <c r="AS975" s="14">
        <f>IFERROR(__xludf.DUMMYFUNCTION("""COMPUTED_VALUE"""),56.0)</f>
        <v>56</v>
      </c>
      <c r="AT975" s="14">
        <f>IFERROR(__xludf.DUMMYFUNCTION("""COMPUTED_VALUE"""),6.48)</f>
        <v>6.48</v>
      </c>
      <c r="AU975" s="14">
        <f>IFERROR(__xludf.DUMMYFUNCTION("""COMPUTED_VALUE"""),98300.0)</f>
        <v>98300</v>
      </c>
      <c r="AV975" s="14">
        <f>IFERROR(__xludf.DUMMYFUNCTION("""COMPUTED_VALUE"""),5.66)</f>
        <v>5.66</v>
      </c>
      <c r="AW975" s="14">
        <f>IFERROR(__xludf.DUMMYFUNCTION("""COMPUTED_VALUE"""),55.4)</f>
        <v>55.4</v>
      </c>
      <c r="AX975" s="14">
        <f>IFERROR(__xludf.DUMMYFUNCTION("""COMPUTED_VALUE"""),31.6)</f>
        <v>31.6</v>
      </c>
      <c r="AY975" s="14">
        <f>IFERROR(__xludf.DUMMYFUNCTION("""COMPUTED_VALUE"""),1.3)</f>
        <v>1.3</v>
      </c>
      <c r="AZ975" s="14">
        <f>IFERROR(__xludf.DUMMYFUNCTION("""COMPUTED_VALUE"""),0.007)</f>
        <v>0.007</v>
      </c>
      <c r="BA975" s="14">
        <f t="shared" si="1"/>
        <v>56.707</v>
      </c>
    </row>
    <row r="976" ht="14.25" customHeight="1">
      <c r="A976" s="10" t="str">
        <f>IFERROR(__xludf.DUMMYFUNCTION("""COMPUTED_VALUE"""),"231123HA02")</f>
        <v>231123HA02</v>
      </c>
      <c r="B976" s="12" t="str">
        <f>IFERROR(__xludf.DUMMYFUNCTION("""COMPUTED_VALUE"""),"CON-Camino del Contador")</f>
        <v>CON-Camino del Contador</v>
      </c>
      <c r="C976" s="12"/>
      <c r="D976" s="12"/>
      <c r="E976" s="44">
        <f>IFERROR(__xludf.DUMMYFUNCTION("""COMPUTED_VALUE"""),45253.0)</f>
        <v>45253</v>
      </c>
      <c r="F976" s="12" t="str">
        <f>IFERROR(__xludf.DUMMYFUNCTION("""COMPUTED_VALUE"""),"TIPO I")</f>
        <v>TIPO I</v>
      </c>
      <c r="G976" s="12" t="str">
        <f>IFERROR(__xludf.DUMMYFUNCTION("""COMPUTED_VALUE"""),"Canal artificial en concreto, se percibe olor se observa color. Aguas abajo del punto de toma de muestra se lleva a cabo limpieza del lecho del canal por parte de la EAAB. ")</f>
        <v>Canal artificial en concreto, se percibe olor se observa color. Aguas abajo del punto de toma de muestra se lleva a cabo limpieza del lecho del canal por parte de la EAAB. </v>
      </c>
      <c r="H976" s="45">
        <f>IFERROR(__xludf.DUMMYFUNCTION("""COMPUTED_VALUE"""),0.4166666666678793)</f>
        <v>0.4166666667</v>
      </c>
      <c r="I976" s="45">
        <f>IFERROR(__xludf.DUMMYFUNCTION("""COMPUTED_VALUE"""),0.5)</f>
        <v>0.5</v>
      </c>
      <c r="J976" s="12">
        <f>IFERROR(__xludf.DUMMYFUNCTION("""COMPUTED_VALUE"""),4.3)</f>
        <v>4.3</v>
      </c>
      <c r="K976" s="12">
        <f>IFERROR(__xludf.DUMMYFUNCTION("""COMPUTED_VALUE"""),0.08)</f>
        <v>0.08</v>
      </c>
      <c r="L976" s="14">
        <f>IFERROR(__xludf.DUMMYFUNCTION("""COMPUTED_VALUE"""),43.93)</f>
        <v>43.93</v>
      </c>
      <c r="M976" s="14">
        <f>IFERROR(__xludf.DUMMYFUNCTION("""COMPUTED_VALUE"""),44.583)</f>
        <v>44.583</v>
      </c>
      <c r="N976" s="14">
        <f>IFERROR(__xludf.DUMMYFUNCTION("""COMPUTED_VALUE"""),45.473)</f>
        <v>45.473</v>
      </c>
      <c r="O976" s="14">
        <f>IFERROR(__xludf.DUMMYFUNCTION("""COMPUTED_VALUE"""),46.317)</f>
        <v>46.317</v>
      </c>
      <c r="P976" s="14">
        <f>IFERROR(__xludf.DUMMYFUNCTION("""COMPUTED_VALUE"""),47.125)</f>
        <v>47.125</v>
      </c>
      <c r="Q976" s="14">
        <f>IFERROR(__xludf.DUMMYFUNCTION("""COMPUTED_VALUE"""),45.485)</f>
        <v>45.485</v>
      </c>
      <c r="R976" s="48">
        <f>IFERROR(__xludf.DUMMYFUNCTION("""COMPUTED_VALUE"""),7.34)</f>
        <v>7.34</v>
      </c>
      <c r="S976" s="48">
        <f>IFERROR(__xludf.DUMMYFUNCTION("""COMPUTED_VALUE"""),7.42)</f>
        <v>7.42</v>
      </c>
      <c r="T976" s="48">
        <f>IFERROR(__xludf.DUMMYFUNCTION("""COMPUTED_VALUE"""),7.56)</f>
        <v>7.56</v>
      </c>
      <c r="U976" s="48">
        <f>IFERROR(__xludf.DUMMYFUNCTION("""COMPUTED_VALUE"""),7.64)</f>
        <v>7.64</v>
      </c>
      <c r="V976" s="48">
        <f>IFERROR(__xludf.DUMMYFUNCTION("""COMPUTED_VALUE"""),7.75)</f>
        <v>7.75</v>
      </c>
      <c r="W976" s="14">
        <f>IFERROR(__xludf.DUMMYFUNCTION("""COMPUTED_VALUE"""),7.542)</f>
        <v>7.542</v>
      </c>
      <c r="X976" s="14">
        <f>IFERROR(__xludf.DUMMYFUNCTION("""COMPUTED_VALUE"""),20.7)</f>
        <v>20.7</v>
      </c>
      <c r="Y976" s="14">
        <f>IFERROR(__xludf.DUMMYFUNCTION("""COMPUTED_VALUE"""),20.7)</f>
        <v>20.7</v>
      </c>
      <c r="Z976" s="14">
        <f>IFERROR(__xludf.DUMMYFUNCTION("""COMPUTED_VALUE"""),20.0)</f>
        <v>20</v>
      </c>
      <c r="AA976" s="14">
        <f>IFERROR(__xludf.DUMMYFUNCTION("""COMPUTED_VALUE"""),21.7)</f>
        <v>21.7</v>
      </c>
      <c r="AB976" s="14">
        <f>IFERROR(__xludf.DUMMYFUNCTION("""COMPUTED_VALUE"""),20.9)</f>
        <v>20.9</v>
      </c>
      <c r="AC976" s="14">
        <f>IFERROR(__xludf.DUMMYFUNCTION("""COMPUTED_VALUE"""),20.8)</f>
        <v>20.8</v>
      </c>
      <c r="AD976" s="48">
        <f>IFERROR(__xludf.DUMMYFUNCTION("""COMPUTED_VALUE"""),608.0)</f>
        <v>608</v>
      </c>
      <c r="AE976" s="48">
        <f>IFERROR(__xludf.DUMMYFUNCTION("""COMPUTED_VALUE"""),604.0)</f>
        <v>604</v>
      </c>
      <c r="AF976" s="48">
        <f>IFERROR(__xludf.DUMMYFUNCTION("""COMPUTED_VALUE"""),633.0)</f>
        <v>633</v>
      </c>
      <c r="AG976" s="48">
        <f>IFERROR(__xludf.DUMMYFUNCTION("""COMPUTED_VALUE"""),706.0)</f>
        <v>706</v>
      </c>
      <c r="AH976" s="48">
        <f>IFERROR(__xludf.DUMMYFUNCTION("""COMPUTED_VALUE"""),737.0)</f>
        <v>737</v>
      </c>
      <c r="AI976" s="14">
        <f>IFERROR(__xludf.DUMMYFUNCTION("""COMPUTED_VALUE"""),657.6)</f>
        <v>657.6</v>
      </c>
      <c r="AJ976" s="14">
        <f>IFERROR(__xludf.DUMMYFUNCTION("""COMPUTED_VALUE"""),2.12)</f>
        <v>2.12</v>
      </c>
      <c r="AK976" s="14">
        <f>IFERROR(__xludf.DUMMYFUNCTION("""COMPUTED_VALUE"""),2.55)</f>
        <v>2.55</v>
      </c>
      <c r="AL976" s="14">
        <f>IFERROR(__xludf.DUMMYFUNCTION("""COMPUTED_VALUE"""),2.84)</f>
        <v>2.84</v>
      </c>
      <c r="AM976" s="14">
        <f>IFERROR(__xludf.DUMMYFUNCTION("""COMPUTED_VALUE"""),2.84)</f>
        <v>2.84</v>
      </c>
      <c r="AN976" s="14">
        <f>IFERROR(__xludf.DUMMYFUNCTION("""COMPUTED_VALUE"""),2.95)</f>
        <v>2.95</v>
      </c>
      <c r="AO976" s="14">
        <f>IFERROR(__xludf.DUMMYFUNCTION("""COMPUTED_VALUE"""),2.66)</f>
        <v>2.66</v>
      </c>
      <c r="AP976" s="14">
        <f>IFERROR(__xludf.DUMMYFUNCTION("""COMPUTED_VALUE"""),34.0)</f>
        <v>34</v>
      </c>
      <c r="AQ976" s="14">
        <f>IFERROR(__xludf.DUMMYFUNCTION("""COMPUTED_VALUE"""),52.0)</f>
        <v>52</v>
      </c>
      <c r="AR976" s="14">
        <f>IFERROR(__xludf.DUMMYFUNCTION("""COMPUTED_VALUE"""),42.0)</f>
        <v>42</v>
      </c>
      <c r="AS976" s="14">
        <f>IFERROR(__xludf.DUMMYFUNCTION("""COMPUTED_VALUE"""),15.1)</f>
        <v>15.1</v>
      </c>
      <c r="AT976" s="14">
        <f>IFERROR(__xludf.DUMMYFUNCTION("""COMPUTED_VALUE"""),2.19)</f>
        <v>2.19</v>
      </c>
      <c r="AU976" s="14">
        <f>IFERROR(__xludf.DUMMYFUNCTION("""COMPUTED_VALUE"""),1.12E8)</f>
        <v>112000000</v>
      </c>
      <c r="AV976" s="14">
        <f>IFERROR(__xludf.DUMMYFUNCTION("""COMPUTED_VALUE"""),3.0)</f>
        <v>3</v>
      </c>
      <c r="AW976" s="14">
        <f>IFERROR(__xludf.DUMMYFUNCTION("""COMPUTED_VALUE"""),32.5)</f>
        <v>32.5</v>
      </c>
      <c r="AX976" s="14">
        <f>IFERROR(__xludf.DUMMYFUNCTION("""COMPUTED_VALUE"""),1.09E8)</f>
        <v>109000000</v>
      </c>
      <c r="AY976" s="14">
        <f>IFERROR(__xludf.DUMMYFUNCTION("""COMPUTED_VALUE"""),1.1)</f>
        <v>1.1</v>
      </c>
      <c r="AZ976" s="14">
        <f>IFERROR(__xludf.DUMMYFUNCTION("""COMPUTED_VALUE"""),0.007)</f>
        <v>0.007</v>
      </c>
      <c r="BA976" s="14">
        <f t="shared" si="1"/>
        <v>33.607</v>
      </c>
    </row>
    <row r="977" ht="14.25" customHeight="1">
      <c r="A977" s="10" t="str">
        <f>IFERROR(__xludf.DUMMYFUNCTION("""COMPUTED_VALUE"""),"301123FE01")</f>
        <v>301123FE01</v>
      </c>
      <c r="B977" s="12" t="str">
        <f>IFERROR(__xludf.DUMMYFUNCTION("""COMPUTED_VALUE"""),"QCH-La Orquídea")</f>
        <v>QCH-La Orquídea</v>
      </c>
      <c r="C977" s="12"/>
      <c r="D977" s="12"/>
      <c r="E977" s="44">
        <f>IFERROR(__xludf.DUMMYFUNCTION("""COMPUTED_VALUE"""),45260.0)</f>
        <v>45260</v>
      </c>
      <c r="F977" s="12" t="str">
        <f>IFERROR(__xludf.DUMMYFUNCTION("""COMPUTED_VALUE"""),"TIPO I")</f>
        <v>TIPO I</v>
      </c>
      <c r="G977" s="12" t="str">
        <f>IFERROR(__xludf.DUMMYFUNCTION("""COMPUTED_VALUE"""),"Salida del cauce en tubería en concreto, se observa color y se percibe olor.")</f>
        <v>Salida del cauce en tubería en concreto, se observa color y se percibe olor.</v>
      </c>
      <c r="H977" s="45">
        <f>IFERROR(__xludf.DUMMYFUNCTION("""COMPUTED_VALUE"""),0.25)</f>
        <v>0.25</v>
      </c>
      <c r="I977" s="45">
        <f>IFERROR(__xludf.DUMMYFUNCTION("""COMPUTED_VALUE"""),0.3333333333321207)</f>
        <v>0.3333333333</v>
      </c>
      <c r="J977" s="12"/>
      <c r="K977" s="12"/>
      <c r="L977" s="14">
        <f>IFERROR(__xludf.DUMMYFUNCTION("""COMPUTED_VALUE"""),4.163)</f>
        <v>4.163</v>
      </c>
      <c r="M977" s="14">
        <f>IFERROR(__xludf.DUMMYFUNCTION("""COMPUTED_VALUE"""),4.416)</f>
        <v>4.416</v>
      </c>
      <c r="N977" s="14">
        <f>IFERROR(__xludf.DUMMYFUNCTION("""COMPUTED_VALUE"""),4.948)</f>
        <v>4.948</v>
      </c>
      <c r="O977" s="14">
        <f>IFERROR(__xludf.DUMMYFUNCTION("""COMPUTED_VALUE"""),5.166)</f>
        <v>5.166</v>
      </c>
      <c r="P977" s="14">
        <f>IFERROR(__xludf.DUMMYFUNCTION("""COMPUTED_VALUE"""),4.288)</f>
        <v>4.288</v>
      </c>
      <c r="Q977" s="14">
        <f>IFERROR(__xludf.DUMMYFUNCTION("""COMPUTED_VALUE"""),4.596)</f>
        <v>4.596</v>
      </c>
      <c r="R977" s="48">
        <f>IFERROR(__xludf.DUMMYFUNCTION("""COMPUTED_VALUE"""),7.55)</f>
        <v>7.55</v>
      </c>
      <c r="S977" s="48">
        <f>IFERROR(__xludf.DUMMYFUNCTION("""COMPUTED_VALUE"""),7.78)</f>
        <v>7.78</v>
      </c>
      <c r="T977" s="48">
        <f>IFERROR(__xludf.DUMMYFUNCTION("""COMPUTED_VALUE"""),7.26)</f>
        <v>7.26</v>
      </c>
      <c r="U977" s="48">
        <f>IFERROR(__xludf.DUMMYFUNCTION("""COMPUTED_VALUE"""),7.84)</f>
        <v>7.84</v>
      </c>
      <c r="V977" s="48">
        <f>IFERROR(__xludf.DUMMYFUNCTION("""COMPUTED_VALUE"""),7.9)</f>
        <v>7.9</v>
      </c>
      <c r="W977" s="14">
        <f>IFERROR(__xludf.DUMMYFUNCTION("""COMPUTED_VALUE"""),7.6659999999999995)</f>
        <v>7.666</v>
      </c>
      <c r="X977" s="14">
        <f>IFERROR(__xludf.DUMMYFUNCTION("""COMPUTED_VALUE"""),14.5)</f>
        <v>14.5</v>
      </c>
      <c r="Y977" s="14">
        <f>IFERROR(__xludf.DUMMYFUNCTION("""COMPUTED_VALUE"""),13.6)</f>
        <v>13.6</v>
      </c>
      <c r="Z977" s="14">
        <f>IFERROR(__xludf.DUMMYFUNCTION("""COMPUTED_VALUE"""),13.4)</f>
        <v>13.4</v>
      </c>
      <c r="AA977" s="14">
        <f>IFERROR(__xludf.DUMMYFUNCTION("""COMPUTED_VALUE"""),15.5)</f>
        <v>15.5</v>
      </c>
      <c r="AB977" s="14">
        <f>IFERROR(__xludf.DUMMYFUNCTION("""COMPUTED_VALUE"""),15.0)</f>
        <v>15</v>
      </c>
      <c r="AC977" s="14">
        <f>IFERROR(__xludf.DUMMYFUNCTION("""COMPUTED_VALUE"""),14.4)</f>
        <v>14.4</v>
      </c>
      <c r="AD977" s="48">
        <f>IFERROR(__xludf.DUMMYFUNCTION("""COMPUTED_VALUE"""),592.0)</f>
        <v>592</v>
      </c>
      <c r="AE977" s="48">
        <f>IFERROR(__xludf.DUMMYFUNCTION("""COMPUTED_VALUE"""),603.0)</f>
        <v>603</v>
      </c>
      <c r="AF977" s="48">
        <f>IFERROR(__xludf.DUMMYFUNCTION("""COMPUTED_VALUE"""),553.0)</f>
        <v>553</v>
      </c>
      <c r="AG977" s="48">
        <f>IFERROR(__xludf.DUMMYFUNCTION("""COMPUTED_VALUE"""),555.0)</f>
        <v>555</v>
      </c>
      <c r="AH977" s="48">
        <f>IFERROR(__xludf.DUMMYFUNCTION("""COMPUTED_VALUE"""),564.0)</f>
        <v>564</v>
      </c>
      <c r="AI977" s="14">
        <f>IFERROR(__xludf.DUMMYFUNCTION("""COMPUTED_VALUE"""),573.4)</f>
        <v>573.4</v>
      </c>
      <c r="AJ977" s="14">
        <f>IFERROR(__xludf.DUMMYFUNCTION("""COMPUTED_VALUE"""),5.38)</f>
        <v>5.38</v>
      </c>
      <c r="AK977" s="14">
        <f>IFERROR(__xludf.DUMMYFUNCTION("""COMPUTED_VALUE"""),4.62)</f>
        <v>4.62</v>
      </c>
      <c r="AL977" s="14">
        <f>IFERROR(__xludf.DUMMYFUNCTION("""COMPUTED_VALUE"""),5.05)</f>
        <v>5.05</v>
      </c>
      <c r="AM977" s="14">
        <f>IFERROR(__xludf.DUMMYFUNCTION("""COMPUTED_VALUE"""),5.24)</f>
        <v>5.24</v>
      </c>
      <c r="AN977" s="14">
        <f>IFERROR(__xludf.DUMMYFUNCTION("""COMPUTED_VALUE"""),4.57)</f>
        <v>4.57</v>
      </c>
      <c r="AO977" s="14">
        <f>IFERROR(__xludf.DUMMYFUNCTION("""COMPUTED_VALUE"""),4.9719999999999995)</f>
        <v>4.972</v>
      </c>
      <c r="AP977" s="14">
        <f>IFERROR(__xludf.DUMMYFUNCTION("""COMPUTED_VALUE"""),21.0)</f>
        <v>21</v>
      </c>
      <c r="AQ977" s="14">
        <f>IFERROR(__xludf.DUMMYFUNCTION("""COMPUTED_VALUE"""),33.0)</f>
        <v>33</v>
      </c>
      <c r="AR977" s="14">
        <f>IFERROR(__xludf.DUMMYFUNCTION("""COMPUTED_VALUE"""),36.0)</f>
        <v>36</v>
      </c>
      <c r="AS977" s="14">
        <f>IFERROR(__xludf.DUMMYFUNCTION("""COMPUTED_VALUE"""),1.0)</f>
        <v>1</v>
      </c>
      <c r="AT977" s="14">
        <f>IFERROR(__xludf.DUMMYFUNCTION("""COMPUTED_VALUE"""),0.07)</f>
        <v>0.07</v>
      </c>
      <c r="AU977" s="14">
        <f>IFERROR(__xludf.DUMMYFUNCTION("""COMPUTED_VALUE"""),73300.0)</f>
        <v>73300</v>
      </c>
      <c r="AV977" s="14">
        <f>IFERROR(__xludf.DUMMYFUNCTION("""COMPUTED_VALUE"""),0.16)</f>
        <v>0.16</v>
      </c>
      <c r="AW977" s="14">
        <f>IFERROR(__xludf.DUMMYFUNCTION("""COMPUTED_VALUE"""),1.1)</f>
        <v>1.1</v>
      </c>
      <c r="AX977" s="14">
        <f>IFERROR(__xludf.DUMMYFUNCTION("""COMPUTED_VALUE"""),296.0)</f>
        <v>296</v>
      </c>
      <c r="AY977" s="14">
        <f>IFERROR(__xludf.DUMMYFUNCTION("""COMPUTED_VALUE"""),2.5)</f>
        <v>2.5</v>
      </c>
      <c r="AZ977" s="14">
        <f>IFERROR(__xludf.DUMMYFUNCTION("""COMPUTED_VALUE"""),0.077)</f>
        <v>0.077</v>
      </c>
      <c r="BA977" s="14">
        <f t="shared" si="1"/>
        <v>3.677</v>
      </c>
    </row>
    <row r="978" ht="14.25" customHeight="1">
      <c r="A978" s="10" t="str">
        <f>IFERROR(__xludf.DUMMYFUNCTION("""COMPUTED_VALUE"""),"291123WI02")</f>
        <v>291123WI02</v>
      </c>
      <c r="B978" s="12" t="str">
        <f>IFERROR(__xludf.DUMMYFUNCTION("""COMPUTED_VALUE"""),"QLI-San Francisco")</f>
        <v>QLI-San Francisco</v>
      </c>
      <c r="C978" s="12"/>
      <c r="D978" s="12"/>
      <c r="E978" s="44">
        <f>IFERROR(__xludf.DUMMYFUNCTION("""COMPUTED_VALUE"""),45259.0)</f>
        <v>45259</v>
      </c>
      <c r="F978" s="12" t="str">
        <f>IFERROR(__xludf.DUMMYFUNCTION("""COMPUTED_VALUE"""),"TIPO I")</f>
        <v>TIPO I</v>
      </c>
      <c r="G978" s="12" t="str">
        <f>IFERROR(__xludf.DUMMYFUNCTION("""COMPUTED_VALUE"""),"Canal natural lecho rocoso arenoso, se observa color y se percibe olor. Altitud: 2561 msnm. ")</f>
        <v>Canal natural lecho rocoso arenoso, se observa color y se percibe olor. Altitud: 2561 msnm. </v>
      </c>
      <c r="H978" s="45">
        <f>IFERROR(__xludf.DUMMYFUNCTION("""COMPUTED_VALUE"""),0.5)</f>
        <v>0.5</v>
      </c>
      <c r="I978" s="45">
        <f>IFERROR(__xludf.DUMMYFUNCTION("""COMPUTED_VALUE"""),0.5833333333321207)</f>
        <v>0.5833333333</v>
      </c>
      <c r="J978" s="12">
        <f>IFERROR(__xludf.DUMMYFUNCTION("""COMPUTED_VALUE"""),1.6)</f>
        <v>1.6</v>
      </c>
      <c r="K978" s="12">
        <f>IFERROR(__xludf.DUMMYFUNCTION("""COMPUTED_VALUE"""),0.15)</f>
        <v>0.15</v>
      </c>
      <c r="L978" s="14">
        <f>IFERROR(__xludf.DUMMYFUNCTION("""COMPUTED_VALUE"""),69.099)</f>
        <v>69.099</v>
      </c>
      <c r="M978" s="14">
        <f>IFERROR(__xludf.DUMMYFUNCTION("""COMPUTED_VALUE"""),69.103)</f>
        <v>69.103</v>
      </c>
      <c r="N978" s="14">
        <f>IFERROR(__xludf.DUMMYFUNCTION("""COMPUTED_VALUE"""),68.754)</f>
        <v>68.754</v>
      </c>
      <c r="O978" s="14">
        <f>IFERROR(__xludf.DUMMYFUNCTION("""COMPUTED_VALUE"""),69.471)</f>
        <v>69.471</v>
      </c>
      <c r="P978" s="14">
        <f>IFERROR(__xludf.DUMMYFUNCTION("""COMPUTED_VALUE"""),69.361)</f>
        <v>69.361</v>
      </c>
      <c r="Q978" s="14">
        <f>IFERROR(__xludf.DUMMYFUNCTION("""COMPUTED_VALUE"""),69.158)</f>
        <v>69.158</v>
      </c>
      <c r="R978" s="48">
        <f>IFERROR(__xludf.DUMMYFUNCTION("""COMPUTED_VALUE"""),7.38)</f>
        <v>7.38</v>
      </c>
      <c r="S978" s="48">
        <f>IFERROR(__xludf.DUMMYFUNCTION("""COMPUTED_VALUE"""),7.43)</f>
        <v>7.43</v>
      </c>
      <c r="T978" s="48">
        <f>IFERROR(__xludf.DUMMYFUNCTION("""COMPUTED_VALUE"""),7.37)</f>
        <v>7.37</v>
      </c>
      <c r="U978" s="48">
        <f>IFERROR(__xludf.DUMMYFUNCTION("""COMPUTED_VALUE"""),7.3)</f>
        <v>7.3</v>
      </c>
      <c r="V978" s="48">
        <f>IFERROR(__xludf.DUMMYFUNCTION("""COMPUTED_VALUE"""),7.45)</f>
        <v>7.45</v>
      </c>
      <c r="W978" s="14">
        <f>IFERROR(__xludf.DUMMYFUNCTION("""COMPUTED_VALUE"""),7.386)</f>
        <v>7.386</v>
      </c>
      <c r="X978" s="14">
        <f>IFERROR(__xludf.DUMMYFUNCTION("""COMPUTED_VALUE"""),16.6)</f>
        <v>16.6</v>
      </c>
      <c r="Y978" s="14">
        <f>IFERROR(__xludf.DUMMYFUNCTION("""COMPUTED_VALUE"""),19.1)</f>
        <v>19.1</v>
      </c>
      <c r="Z978" s="14">
        <f>IFERROR(__xludf.DUMMYFUNCTION("""COMPUTED_VALUE"""),16.8)</f>
        <v>16.8</v>
      </c>
      <c r="AA978" s="14">
        <f>IFERROR(__xludf.DUMMYFUNCTION("""COMPUTED_VALUE"""),17.1)</f>
        <v>17.1</v>
      </c>
      <c r="AB978" s="14">
        <f>IFERROR(__xludf.DUMMYFUNCTION("""COMPUTED_VALUE"""),16.8)</f>
        <v>16.8</v>
      </c>
      <c r="AC978" s="14">
        <f>IFERROR(__xludf.DUMMYFUNCTION("""COMPUTED_VALUE"""),17.279999999999998)</f>
        <v>17.28</v>
      </c>
      <c r="AD978" s="48">
        <f>IFERROR(__xludf.DUMMYFUNCTION("""COMPUTED_VALUE"""),339.0)</f>
        <v>339</v>
      </c>
      <c r="AE978" s="48">
        <f>IFERROR(__xludf.DUMMYFUNCTION("""COMPUTED_VALUE"""),344.0)</f>
        <v>344</v>
      </c>
      <c r="AF978" s="48">
        <f>IFERROR(__xludf.DUMMYFUNCTION("""COMPUTED_VALUE"""),356.0)</f>
        <v>356</v>
      </c>
      <c r="AG978" s="48">
        <f>IFERROR(__xludf.DUMMYFUNCTION("""COMPUTED_VALUE"""),361.0)</f>
        <v>361</v>
      </c>
      <c r="AH978" s="48">
        <f>IFERROR(__xludf.DUMMYFUNCTION("""COMPUTED_VALUE"""),337.0)</f>
        <v>337</v>
      </c>
      <c r="AI978" s="14">
        <f>IFERROR(__xludf.DUMMYFUNCTION("""COMPUTED_VALUE"""),347.4)</f>
        <v>347.4</v>
      </c>
      <c r="AJ978" s="14">
        <f>IFERROR(__xludf.DUMMYFUNCTION("""COMPUTED_VALUE"""),5.84)</f>
        <v>5.84</v>
      </c>
      <c r="AK978" s="14">
        <f>IFERROR(__xludf.DUMMYFUNCTION("""COMPUTED_VALUE"""),5.58)</f>
        <v>5.58</v>
      </c>
      <c r="AL978" s="14">
        <f>IFERROR(__xludf.DUMMYFUNCTION("""COMPUTED_VALUE"""),5.28)</f>
        <v>5.28</v>
      </c>
      <c r="AM978" s="14">
        <f>IFERROR(__xludf.DUMMYFUNCTION("""COMPUTED_VALUE"""),5.11)</f>
        <v>5.11</v>
      </c>
      <c r="AN978" s="14">
        <f>IFERROR(__xludf.DUMMYFUNCTION("""COMPUTED_VALUE"""),5.26)</f>
        <v>5.26</v>
      </c>
      <c r="AO978" s="14">
        <f>IFERROR(__xludf.DUMMYFUNCTION("""COMPUTED_VALUE"""),5.414)</f>
        <v>5.414</v>
      </c>
      <c r="AP978" s="14">
        <f>IFERROR(__xludf.DUMMYFUNCTION("""COMPUTED_VALUE"""),18.0)</f>
        <v>18</v>
      </c>
      <c r="AQ978" s="14">
        <f>IFERROR(__xludf.DUMMYFUNCTION("""COMPUTED_VALUE"""),28.0)</f>
        <v>28</v>
      </c>
      <c r="AR978" s="14">
        <f>IFERROR(__xludf.DUMMYFUNCTION("""COMPUTED_VALUE"""),19.0)</f>
        <v>19</v>
      </c>
      <c r="AS978" s="14">
        <f>IFERROR(__xludf.DUMMYFUNCTION("""COMPUTED_VALUE"""),1.0)</f>
        <v>1</v>
      </c>
      <c r="AT978" s="14">
        <f>IFERROR(__xludf.DUMMYFUNCTION("""COMPUTED_VALUE"""),0.26)</f>
        <v>0.26</v>
      </c>
      <c r="AU978" s="14">
        <f>IFERROR(__xludf.DUMMYFUNCTION("""COMPUTED_VALUE"""),1.296E8)</f>
        <v>129600000</v>
      </c>
      <c r="AV978" s="14">
        <f>IFERROR(__xludf.DUMMYFUNCTION("""COMPUTED_VALUE"""),1.3)</f>
        <v>1.3</v>
      </c>
      <c r="AW978" s="14">
        <f>IFERROR(__xludf.DUMMYFUNCTION("""COMPUTED_VALUE"""),12.3)</f>
        <v>12.3</v>
      </c>
      <c r="AX978" s="14">
        <f>IFERROR(__xludf.DUMMYFUNCTION("""COMPUTED_VALUE"""),1.178E8)</f>
        <v>117800000</v>
      </c>
      <c r="AY978" s="14">
        <f>IFERROR(__xludf.DUMMYFUNCTION("""COMPUTED_VALUE"""),3.0)</f>
        <v>3</v>
      </c>
      <c r="AZ978" s="14">
        <f>IFERROR(__xludf.DUMMYFUNCTION("""COMPUTED_VALUE"""),0.455)</f>
        <v>0.455</v>
      </c>
      <c r="BA978" s="14">
        <f t="shared" si="1"/>
        <v>15.755</v>
      </c>
    </row>
    <row r="979" ht="14.25" customHeight="1">
      <c r="A979" s="10" t="str">
        <f>IFERROR(__xludf.DUMMYFUNCTION("""COMPUTED_VALUE"""),"021223WI01")</f>
        <v>021223WI01</v>
      </c>
      <c r="B979" s="12" t="str">
        <f>IFERROR(__xludf.DUMMYFUNCTION("""COMPUTED_VALUE"""),"QLI-Bella Flor")</f>
        <v>QLI-Bella Flor</v>
      </c>
      <c r="C979" s="12"/>
      <c r="D979" s="12"/>
      <c r="E979" s="44">
        <f>IFERROR(__xludf.DUMMYFUNCTION("""COMPUTED_VALUE"""),45262.0)</f>
        <v>45262</v>
      </c>
      <c r="F979" s="12" t="str">
        <f>IFERROR(__xludf.DUMMYFUNCTION("""COMPUTED_VALUE"""),"TIPO I")</f>
        <v>TIPO I</v>
      </c>
      <c r="G979" s="12" t="str">
        <f>IFERROR(__xludf.DUMMYFUNCTION("""COMPUTED_VALUE"""),"Estructura del canal natural lecho rocoso arenoso, se observa color y se percibe olor. Altitud: 2650 msnm. ")</f>
        <v>Estructura del canal natural lecho rocoso arenoso, se observa color y se percibe olor. Altitud: 2650 msnm. </v>
      </c>
      <c r="H979" s="45">
        <f>IFERROR(__xludf.DUMMYFUNCTION("""COMPUTED_VALUE"""),0.25)</f>
        <v>0.25</v>
      </c>
      <c r="I979" s="45">
        <f>IFERROR(__xludf.DUMMYFUNCTION("""COMPUTED_VALUE"""),0.3333333333321207)</f>
        <v>0.3333333333</v>
      </c>
      <c r="J979" s="12">
        <f>IFERROR(__xludf.DUMMYFUNCTION("""COMPUTED_VALUE"""),1.0)</f>
        <v>1</v>
      </c>
      <c r="K979" s="12">
        <f>IFERROR(__xludf.DUMMYFUNCTION("""COMPUTED_VALUE"""),0.12)</f>
        <v>0.12</v>
      </c>
      <c r="L979" s="14">
        <f>IFERROR(__xludf.DUMMYFUNCTION("""COMPUTED_VALUE"""),23.273)</f>
        <v>23.273</v>
      </c>
      <c r="M979" s="14">
        <f>IFERROR(__xludf.DUMMYFUNCTION("""COMPUTED_VALUE"""),23.624)</f>
        <v>23.624</v>
      </c>
      <c r="N979" s="14">
        <f>IFERROR(__xludf.DUMMYFUNCTION("""COMPUTED_VALUE"""),23.888)</f>
        <v>23.888</v>
      </c>
      <c r="O979" s="14">
        <f>IFERROR(__xludf.DUMMYFUNCTION("""COMPUTED_VALUE"""),24.149)</f>
        <v>24.149</v>
      </c>
      <c r="P979" s="14">
        <f>IFERROR(__xludf.DUMMYFUNCTION("""COMPUTED_VALUE"""),24.564)</f>
        <v>24.564</v>
      </c>
      <c r="Q979" s="14">
        <f>IFERROR(__xludf.DUMMYFUNCTION("""COMPUTED_VALUE"""),23.899)</f>
        <v>23.899</v>
      </c>
      <c r="R979" s="48">
        <f>IFERROR(__xludf.DUMMYFUNCTION("""COMPUTED_VALUE"""),7.15)</f>
        <v>7.15</v>
      </c>
      <c r="S979" s="48">
        <f>IFERROR(__xludf.DUMMYFUNCTION("""COMPUTED_VALUE"""),7.0)</f>
        <v>7</v>
      </c>
      <c r="T979" s="48">
        <f>IFERROR(__xludf.DUMMYFUNCTION("""COMPUTED_VALUE"""),7.2)</f>
        <v>7.2</v>
      </c>
      <c r="U979" s="48">
        <f>IFERROR(__xludf.DUMMYFUNCTION("""COMPUTED_VALUE"""),6.84)</f>
        <v>6.84</v>
      </c>
      <c r="V979" s="48">
        <f>IFERROR(__xludf.DUMMYFUNCTION("""COMPUTED_VALUE"""),7.16)</f>
        <v>7.16</v>
      </c>
      <c r="W979" s="14">
        <f>IFERROR(__xludf.DUMMYFUNCTION("""COMPUTED_VALUE"""),7.07)</f>
        <v>7.07</v>
      </c>
      <c r="X979" s="14">
        <f>IFERROR(__xludf.DUMMYFUNCTION("""COMPUTED_VALUE"""),11.9)</f>
        <v>11.9</v>
      </c>
      <c r="Y979" s="14">
        <f>IFERROR(__xludf.DUMMYFUNCTION("""COMPUTED_VALUE"""),11.6)</f>
        <v>11.6</v>
      </c>
      <c r="Z979" s="14">
        <f>IFERROR(__xludf.DUMMYFUNCTION("""COMPUTED_VALUE"""),12.3)</f>
        <v>12.3</v>
      </c>
      <c r="AA979" s="14">
        <f>IFERROR(__xludf.DUMMYFUNCTION("""COMPUTED_VALUE"""),14.0)</f>
        <v>14</v>
      </c>
      <c r="AB979" s="14">
        <f>IFERROR(__xludf.DUMMYFUNCTION("""COMPUTED_VALUE"""),12.6)</f>
        <v>12.6</v>
      </c>
      <c r="AC979" s="14">
        <f>IFERROR(__xludf.DUMMYFUNCTION("""COMPUTED_VALUE"""),12.48)</f>
        <v>12.48</v>
      </c>
      <c r="AD979" s="48">
        <f>IFERROR(__xludf.DUMMYFUNCTION("""COMPUTED_VALUE"""),319.0)</f>
        <v>319</v>
      </c>
      <c r="AE979" s="48">
        <f>IFERROR(__xludf.DUMMYFUNCTION("""COMPUTED_VALUE"""),336.0)</f>
        <v>336</v>
      </c>
      <c r="AF979" s="48">
        <f>IFERROR(__xludf.DUMMYFUNCTION("""COMPUTED_VALUE"""),313.0)</f>
        <v>313</v>
      </c>
      <c r="AG979" s="48">
        <f>IFERROR(__xludf.DUMMYFUNCTION("""COMPUTED_VALUE"""),235.0)</f>
        <v>235</v>
      </c>
      <c r="AH979" s="48">
        <f>IFERROR(__xludf.DUMMYFUNCTION("""COMPUTED_VALUE"""),322.0)</f>
        <v>322</v>
      </c>
      <c r="AI979" s="14">
        <f>IFERROR(__xludf.DUMMYFUNCTION("""COMPUTED_VALUE"""),305.0)</f>
        <v>305</v>
      </c>
      <c r="AJ979" s="14">
        <f>IFERROR(__xludf.DUMMYFUNCTION("""COMPUTED_VALUE"""),3.37)</f>
        <v>3.37</v>
      </c>
      <c r="AK979" s="14">
        <f>IFERROR(__xludf.DUMMYFUNCTION("""COMPUTED_VALUE"""),3.07)</f>
        <v>3.07</v>
      </c>
      <c r="AL979" s="14">
        <f>IFERROR(__xludf.DUMMYFUNCTION("""COMPUTED_VALUE"""),3.56)</f>
        <v>3.56</v>
      </c>
      <c r="AM979" s="14">
        <f>IFERROR(__xludf.DUMMYFUNCTION("""COMPUTED_VALUE"""),3.64)</f>
        <v>3.64</v>
      </c>
      <c r="AN979" s="14">
        <f>IFERROR(__xludf.DUMMYFUNCTION("""COMPUTED_VALUE"""),3.12)</f>
        <v>3.12</v>
      </c>
      <c r="AO979" s="14">
        <f>IFERROR(__xludf.DUMMYFUNCTION("""COMPUTED_VALUE"""),3.3520000000000003)</f>
        <v>3.352</v>
      </c>
      <c r="AP979" s="14">
        <f>IFERROR(__xludf.DUMMYFUNCTION("""COMPUTED_VALUE"""),31.0)</f>
        <v>31</v>
      </c>
      <c r="AQ979" s="14">
        <f>IFERROR(__xludf.DUMMYFUNCTION("""COMPUTED_VALUE"""),53.0)</f>
        <v>53</v>
      </c>
      <c r="AR979" s="14">
        <f>IFERROR(__xludf.DUMMYFUNCTION("""COMPUTED_VALUE"""),21.0)</f>
        <v>21</v>
      </c>
      <c r="AS979" s="14">
        <f>IFERROR(__xludf.DUMMYFUNCTION("""COMPUTED_VALUE"""),1.0)</f>
        <v>1</v>
      </c>
      <c r="AT979" s="14">
        <f>IFERROR(__xludf.DUMMYFUNCTION("""COMPUTED_VALUE"""),0.27)</f>
        <v>0.27</v>
      </c>
      <c r="AU979" s="14">
        <f>IFERROR(__xludf.DUMMYFUNCTION("""COMPUTED_VALUE"""),1.616E8)</f>
        <v>161600000</v>
      </c>
      <c r="AV979" s="14">
        <f>IFERROR(__xludf.DUMMYFUNCTION("""COMPUTED_VALUE"""),1.23)</f>
        <v>1.23</v>
      </c>
      <c r="AW979" s="14">
        <f>IFERROR(__xludf.DUMMYFUNCTION("""COMPUTED_VALUE"""),11.5)</f>
        <v>11.5</v>
      </c>
      <c r="AX979" s="14">
        <f>IFERROR(__xludf.DUMMYFUNCTION("""COMPUTED_VALUE"""),1.497E8)</f>
        <v>149700000</v>
      </c>
      <c r="AY979" s="14">
        <f>IFERROR(__xludf.DUMMYFUNCTION("""COMPUTED_VALUE"""),0.8)</f>
        <v>0.8</v>
      </c>
      <c r="AZ979" s="14">
        <f>IFERROR(__xludf.DUMMYFUNCTION("""COMPUTED_VALUE"""),0.061)</f>
        <v>0.061</v>
      </c>
      <c r="BA979" s="14">
        <f t="shared" si="1"/>
        <v>12.361</v>
      </c>
    </row>
    <row r="980" ht="14.25" customHeight="1">
      <c r="A980" s="10" t="str">
        <f>IFERROR(__xludf.DUMMYFUNCTION("""COMPUTED_VALUE"""),"011223DU02")</f>
        <v>011223DU02</v>
      </c>
      <c r="B980" s="12" t="str">
        <f>IFERROR(__xludf.DUMMYFUNCTION("""COMPUTED_VALUE"""),"QZA-Meissen")</f>
        <v>QZA-Meissen</v>
      </c>
      <c r="C980" s="12"/>
      <c r="D980" s="12"/>
      <c r="E980" s="44">
        <f>IFERROR(__xludf.DUMMYFUNCTION("""COMPUTED_VALUE"""),45261.0)</f>
        <v>45261</v>
      </c>
      <c r="F980" s="12" t="str">
        <f>IFERROR(__xludf.DUMMYFUNCTION("""COMPUTED_VALUE"""),"TIPO I")</f>
        <v>TIPO I</v>
      </c>
      <c r="G980" s="12" t="str">
        <f>IFERROR(__xludf.DUMMYFUNCTION("""COMPUTED_VALUE"""),"Canal en concreto, durante el monitoreo se observa color y se percibe olor.
Altitud: 2574 msnm.  ")</f>
        <v>Canal en concreto, durante el monitoreo se observa color y se percibe olor.
Altitud: 2574 msnm.  </v>
      </c>
      <c r="H980" s="45">
        <f>IFERROR(__xludf.DUMMYFUNCTION("""COMPUTED_VALUE"""),0.5)</f>
        <v>0.5</v>
      </c>
      <c r="I980" s="45">
        <f>IFERROR(__xludf.DUMMYFUNCTION("""COMPUTED_VALUE"""),0.5833333333321207)</f>
        <v>0.5833333333</v>
      </c>
      <c r="J980" s="12">
        <f>IFERROR(__xludf.DUMMYFUNCTION("""COMPUTED_VALUE"""),0.9)</f>
        <v>0.9</v>
      </c>
      <c r="K980" s="12">
        <f>IFERROR(__xludf.DUMMYFUNCTION("""COMPUTED_VALUE"""),0.15)</f>
        <v>0.15</v>
      </c>
      <c r="L980" s="14">
        <f>IFERROR(__xludf.DUMMYFUNCTION("""COMPUTED_VALUE"""),418.563)</f>
        <v>418.563</v>
      </c>
      <c r="M980" s="14">
        <f>IFERROR(__xludf.DUMMYFUNCTION("""COMPUTED_VALUE"""),421.678)</f>
        <v>421.678</v>
      </c>
      <c r="N980" s="14">
        <f>IFERROR(__xludf.DUMMYFUNCTION("""COMPUTED_VALUE"""),422.218)</f>
        <v>422.218</v>
      </c>
      <c r="O980" s="14">
        <f>IFERROR(__xludf.DUMMYFUNCTION("""COMPUTED_VALUE"""),422.45)</f>
        <v>422.45</v>
      </c>
      <c r="P980" s="14">
        <f>IFERROR(__xludf.DUMMYFUNCTION("""COMPUTED_VALUE"""),421.22)</f>
        <v>421.22</v>
      </c>
      <c r="Q980" s="14">
        <f>IFERROR(__xludf.DUMMYFUNCTION("""COMPUTED_VALUE"""),421.226)</f>
        <v>421.226</v>
      </c>
      <c r="R980" s="48">
        <f>IFERROR(__xludf.DUMMYFUNCTION("""COMPUTED_VALUE"""),7.18)</f>
        <v>7.18</v>
      </c>
      <c r="S980" s="48">
        <f>IFERROR(__xludf.DUMMYFUNCTION("""COMPUTED_VALUE"""),7.12)</f>
        <v>7.12</v>
      </c>
      <c r="T980" s="48">
        <f>IFERROR(__xludf.DUMMYFUNCTION("""COMPUTED_VALUE"""),7.09)</f>
        <v>7.09</v>
      </c>
      <c r="U980" s="48">
        <f>IFERROR(__xludf.DUMMYFUNCTION("""COMPUTED_VALUE"""),6.95)</f>
        <v>6.95</v>
      </c>
      <c r="V980" s="48">
        <f>IFERROR(__xludf.DUMMYFUNCTION("""COMPUTED_VALUE"""),6.77)</f>
        <v>6.77</v>
      </c>
      <c r="W980" s="14">
        <f>IFERROR(__xludf.DUMMYFUNCTION("""COMPUTED_VALUE"""),7.022)</f>
        <v>7.022</v>
      </c>
      <c r="X980" s="14">
        <f>IFERROR(__xludf.DUMMYFUNCTION("""COMPUTED_VALUE"""),23.2)</f>
        <v>23.2</v>
      </c>
      <c r="Y980" s="14">
        <f>IFERROR(__xludf.DUMMYFUNCTION("""COMPUTED_VALUE"""),23.1)</f>
        <v>23.1</v>
      </c>
      <c r="Z980" s="14">
        <f>IFERROR(__xludf.DUMMYFUNCTION("""COMPUTED_VALUE"""),22.9)</f>
        <v>22.9</v>
      </c>
      <c r="AA980" s="14">
        <f>IFERROR(__xludf.DUMMYFUNCTION("""COMPUTED_VALUE"""),23.9)</f>
        <v>23.9</v>
      </c>
      <c r="AB980" s="14">
        <f>IFERROR(__xludf.DUMMYFUNCTION("""COMPUTED_VALUE"""),23.1)</f>
        <v>23.1</v>
      </c>
      <c r="AC980" s="14">
        <f>IFERROR(__xludf.DUMMYFUNCTION("""COMPUTED_VALUE"""),23.24)</f>
        <v>23.24</v>
      </c>
      <c r="AD980" s="48">
        <f>IFERROR(__xludf.DUMMYFUNCTION("""COMPUTED_VALUE"""),580.0)</f>
        <v>580</v>
      </c>
      <c r="AE980" s="48">
        <f>IFERROR(__xludf.DUMMYFUNCTION("""COMPUTED_VALUE"""),592.0)</f>
        <v>592</v>
      </c>
      <c r="AF980" s="48">
        <f>IFERROR(__xludf.DUMMYFUNCTION("""COMPUTED_VALUE"""),590.0)</f>
        <v>590</v>
      </c>
      <c r="AG980" s="48">
        <f>IFERROR(__xludf.DUMMYFUNCTION("""COMPUTED_VALUE"""),548.0)</f>
        <v>548</v>
      </c>
      <c r="AH980" s="48">
        <f>IFERROR(__xludf.DUMMYFUNCTION("""COMPUTED_VALUE"""),563.0)</f>
        <v>563</v>
      </c>
      <c r="AI980" s="14">
        <f>IFERROR(__xludf.DUMMYFUNCTION("""COMPUTED_VALUE"""),574.6)</f>
        <v>574.6</v>
      </c>
      <c r="AJ980" s="14">
        <f>IFERROR(__xludf.DUMMYFUNCTION("""COMPUTED_VALUE"""),0.93)</f>
        <v>0.93</v>
      </c>
      <c r="AK980" s="14">
        <f>IFERROR(__xludf.DUMMYFUNCTION("""COMPUTED_VALUE"""),1.2)</f>
        <v>1.2</v>
      </c>
      <c r="AL980" s="14">
        <f>IFERROR(__xludf.DUMMYFUNCTION("""COMPUTED_VALUE"""),0.88)</f>
        <v>0.88</v>
      </c>
      <c r="AM980" s="14">
        <f>IFERROR(__xludf.DUMMYFUNCTION("""COMPUTED_VALUE"""),1.11)</f>
        <v>1.11</v>
      </c>
      <c r="AN980" s="14">
        <f>IFERROR(__xludf.DUMMYFUNCTION("""COMPUTED_VALUE"""),0.73)</f>
        <v>0.73</v>
      </c>
      <c r="AO980" s="14">
        <f>IFERROR(__xludf.DUMMYFUNCTION("""COMPUTED_VALUE"""),0.97)</f>
        <v>0.97</v>
      </c>
      <c r="AP980" s="14">
        <f>IFERROR(__xludf.DUMMYFUNCTION("""COMPUTED_VALUE"""),131.0)</f>
        <v>131</v>
      </c>
      <c r="AQ980" s="14">
        <f>IFERROR(__xludf.DUMMYFUNCTION("""COMPUTED_VALUE"""),217.0)</f>
        <v>217</v>
      </c>
      <c r="AR980" s="14">
        <f>IFERROR(__xludf.DUMMYFUNCTION("""COMPUTED_VALUE"""),128.0)</f>
        <v>128</v>
      </c>
      <c r="AS980" s="14">
        <f>IFERROR(__xludf.DUMMYFUNCTION("""COMPUTED_VALUE"""),19.0)</f>
        <v>19</v>
      </c>
      <c r="AT980" s="14">
        <f>IFERROR(__xludf.DUMMYFUNCTION("""COMPUTED_VALUE"""),3.28)</f>
        <v>3.28</v>
      </c>
      <c r="AU980" s="14">
        <f>IFERROR(__xludf.DUMMYFUNCTION("""COMPUTED_VALUE"""),1.789E8)</f>
        <v>178900000</v>
      </c>
      <c r="AV980" s="14">
        <f>IFERROR(__xludf.DUMMYFUNCTION("""COMPUTED_VALUE"""),4.1)</f>
        <v>4.1</v>
      </c>
      <c r="AW980" s="14">
        <f>IFERROR(__xludf.DUMMYFUNCTION("""COMPUTED_VALUE"""),30.2)</f>
        <v>30.2</v>
      </c>
      <c r="AX980" s="14">
        <f>IFERROR(__xludf.DUMMYFUNCTION("""COMPUTED_VALUE"""),1.374E8)</f>
        <v>137400000</v>
      </c>
      <c r="AY980" s="14">
        <f>IFERROR(__xludf.DUMMYFUNCTION("""COMPUTED_VALUE"""),0.4)</f>
        <v>0.4</v>
      </c>
      <c r="AZ980" s="14">
        <f>IFERROR(__xludf.DUMMYFUNCTION("""COMPUTED_VALUE"""),0.007)</f>
        <v>0.007</v>
      </c>
      <c r="BA980" s="14">
        <f t="shared" si="1"/>
        <v>30.607</v>
      </c>
    </row>
    <row r="981" ht="14.25" customHeight="1">
      <c r="A981" s="10" t="str">
        <f>IFERROR(__xludf.DUMMYFUNCTION("""COMPUTED_VALUE"""),"011223DU01")</f>
        <v>011223DU01</v>
      </c>
      <c r="B981" s="12" t="str">
        <f>IFERROR(__xludf.DUMMYFUNCTION("""COMPUTED_VALUE"""),"QZA-Molinos")</f>
        <v>QZA-Molinos</v>
      </c>
      <c r="C981" s="12"/>
      <c r="D981" s="12"/>
      <c r="E981" s="44">
        <f>IFERROR(__xludf.DUMMYFUNCTION("""COMPUTED_VALUE"""),45261.0)</f>
        <v>45261</v>
      </c>
      <c r="F981" s="12" t="str">
        <f>IFERROR(__xludf.DUMMYFUNCTION("""COMPUTED_VALUE"""),"TIPO I")</f>
        <v>TIPO I</v>
      </c>
      <c r="G981" s="12" t="str">
        <f>IFERROR(__xludf.DUMMYFUNCTION("""COMPUTED_VALUE"""),"Canal natural lecho rocoso arenoso, durante el monitoreo se observa color y se percibe olor. Altura de 2589 msnm. ")</f>
        <v>Canal natural lecho rocoso arenoso, durante el monitoreo se observa color y se percibe olor. Altura de 2589 msnm. </v>
      </c>
      <c r="H981" s="45">
        <f>IFERROR(__xludf.DUMMYFUNCTION("""COMPUTED_VALUE"""),0.3333333333321207)</f>
        <v>0.3333333333</v>
      </c>
      <c r="I981" s="45">
        <f>IFERROR(__xludf.DUMMYFUNCTION("""COMPUTED_VALUE"""),0.4166666666678793)</f>
        <v>0.4166666667</v>
      </c>
      <c r="J981" s="12">
        <f>IFERROR(__xludf.DUMMYFUNCTION("""COMPUTED_VALUE"""),4.9)</f>
        <v>4.9</v>
      </c>
      <c r="K981" s="12">
        <f>IFERROR(__xludf.DUMMYFUNCTION("""COMPUTED_VALUE"""),0.27)</f>
        <v>0.27</v>
      </c>
      <c r="L981" s="14">
        <f>IFERROR(__xludf.DUMMYFUNCTION("""COMPUTED_VALUE"""),421.09)</f>
        <v>421.09</v>
      </c>
      <c r="M981" s="14">
        <f>IFERROR(__xludf.DUMMYFUNCTION("""COMPUTED_VALUE"""),424.269)</f>
        <v>424.269</v>
      </c>
      <c r="N981" s="14">
        <f>IFERROR(__xludf.DUMMYFUNCTION("""COMPUTED_VALUE"""),421.942)</f>
        <v>421.942</v>
      </c>
      <c r="O981" s="14">
        <f>IFERROR(__xludf.DUMMYFUNCTION("""COMPUTED_VALUE"""),422.33)</f>
        <v>422.33</v>
      </c>
      <c r="P981" s="14">
        <f>IFERROR(__xludf.DUMMYFUNCTION("""COMPUTED_VALUE"""),427.114)</f>
        <v>427.114</v>
      </c>
      <c r="Q981" s="14">
        <f>IFERROR(__xludf.DUMMYFUNCTION("""COMPUTED_VALUE"""),423.349)</f>
        <v>423.349</v>
      </c>
      <c r="R981" s="48">
        <f>IFERROR(__xludf.DUMMYFUNCTION("""COMPUTED_VALUE"""),7.13)</f>
        <v>7.13</v>
      </c>
      <c r="S981" s="48">
        <f>IFERROR(__xludf.DUMMYFUNCTION("""COMPUTED_VALUE"""),7.07)</f>
        <v>7.07</v>
      </c>
      <c r="T981" s="48">
        <f>IFERROR(__xludf.DUMMYFUNCTION("""COMPUTED_VALUE"""),7.11)</f>
        <v>7.11</v>
      </c>
      <c r="U981" s="48">
        <f>IFERROR(__xludf.DUMMYFUNCTION("""COMPUTED_VALUE"""),7.19)</f>
        <v>7.19</v>
      </c>
      <c r="V981" s="48">
        <f>IFERROR(__xludf.DUMMYFUNCTION("""COMPUTED_VALUE"""),7.3)</f>
        <v>7.3</v>
      </c>
      <c r="W981" s="14">
        <f>IFERROR(__xludf.DUMMYFUNCTION("""COMPUTED_VALUE"""),7.159999999999999)</f>
        <v>7.16</v>
      </c>
      <c r="X981" s="14">
        <f>IFERROR(__xludf.DUMMYFUNCTION("""COMPUTED_VALUE"""),14.0)</f>
        <v>14</v>
      </c>
      <c r="Y981" s="14">
        <f>IFERROR(__xludf.DUMMYFUNCTION("""COMPUTED_VALUE"""),13.6)</f>
        <v>13.6</v>
      </c>
      <c r="Z981" s="14">
        <f>IFERROR(__xludf.DUMMYFUNCTION("""COMPUTED_VALUE"""),14.6)</f>
        <v>14.6</v>
      </c>
      <c r="AA981" s="14">
        <f>IFERROR(__xludf.DUMMYFUNCTION("""COMPUTED_VALUE"""),14.6)</f>
        <v>14.6</v>
      </c>
      <c r="AB981" s="14">
        <f>IFERROR(__xludf.DUMMYFUNCTION("""COMPUTED_VALUE"""),14.5)</f>
        <v>14.5</v>
      </c>
      <c r="AC981" s="14">
        <f>IFERROR(__xludf.DUMMYFUNCTION("""COMPUTED_VALUE"""),14.260000000000002)</f>
        <v>14.26</v>
      </c>
      <c r="AD981" s="48">
        <f>IFERROR(__xludf.DUMMYFUNCTION("""COMPUTED_VALUE"""),354.0)</f>
        <v>354</v>
      </c>
      <c r="AE981" s="48">
        <f>IFERROR(__xludf.DUMMYFUNCTION("""COMPUTED_VALUE"""),330.0)</f>
        <v>330</v>
      </c>
      <c r="AF981" s="48">
        <f>IFERROR(__xludf.DUMMYFUNCTION("""COMPUTED_VALUE"""),438.0)</f>
        <v>438</v>
      </c>
      <c r="AG981" s="48">
        <f>IFERROR(__xludf.DUMMYFUNCTION("""COMPUTED_VALUE"""),390.0)</f>
        <v>390</v>
      </c>
      <c r="AH981" s="48">
        <f>IFERROR(__xludf.DUMMYFUNCTION("""COMPUTED_VALUE"""),425.0)</f>
        <v>425</v>
      </c>
      <c r="AI981" s="14">
        <f>IFERROR(__xludf.DUMMYFUNCTION("""COMPUTED_VALUE"""),387.4)</f>
        <v>387.4</v>
      </c>
      <c r="AJ981" s="14">
        <f>IFERROR(__xludf.DUMMYFUNCTION("""COMPUTED_VALUE"""),1.26)</f>
        <v>1.26</v>
      </c>
      <c r="AK981" s="14">
        <f>IFERROR(__xludf.DUMMYFUNCTION("""COMPUTED_VALUE"""),1.08)</f>
        <v>1.08</v>
      </c>
      <c r="AL981" s="14">
        <f>IFERROR(__xludf.DUMMYFUNCTION("""COMPUTED_VALUE"""),1.21)</f>
        <v>1.21</v>
      </c>
      <c r="AM981" s="14">
        <f>IFERROR(__xludf.DUMMYFUNCTION("""COMPUTED_VALUE"""),0.99)</f>
        <v>0.99</v>
      </c>
      <c r="AN981" s="14">
        <f>IFERROR(__xludf.DUMMYFUNCTION("""COMPUTED_VALUE"""),0.9)</f>
        <v>0.9</v>
      </c>
      <c r="AO981" s="14">
        <f>IFERROR(__xludf.DUMMYFUNCTION("""COMPUTED_VALUE"""),1.088)</f>
        <v>1.088</v>
      </c>
      <c r="AP981" s="14">
        <f>IFERROR(__xludf.DUMMYFUNCTION("""COMPUTED_VALUE"""),119.0)</f>
        <v>119</v>
      </c>
      <c r="AQ981" s="14">
        <f>IFERROR(__xludf.DUMMYFUNCTION("""COMPUTED_VALUE"""),177.0)</f>
        <v>177</v>
      </c>
      <c r="AR981" s="14">
        <f>IFERROR(__xludf.DUMMYFUNCTION("""COMPUTED_VALUE"""),72.0)</f>
        <v>72</v>
      </c>
      <c r="AS981" s="14">
        <f>IFERROR(__xludf.DUMMYFUNCTION("""COMPUTED_VALUE"""),17.0)</f>
        <v>17</v>
      </c>
      <c r="AT981" s="14">
        <f>IFERROR(__xludf.DUMMYFUNCTION("""COMPUTED_VALUE"""),1.95)</f>
        <v>1.95</v>
      </c>
      <c r="AU981" s="14">
        <f>IFERROR(__xludf.DUMMYFUNCTION("""COMPUTED_VALUE"""),1.918E8)</f>
        <v>191800000</v>
      </c>
      <c r="AV981" s="14">
        <f>IFERROR(__xludf.DUMMYFUNCTION("""COMPUTED_VALUE"""),2.97)</f>
        <v>2.97</v>
      </c>
      <c r="AW981" s="14">
        <f>IFERROR(__xludf.DUMMYFUNCTION("""COMPUTED_VALUE"""),24.4)</f>
        <v>24.4</v>
      </c>
      <c r="AX981" s="14">
        <f>IFERROR(__xludf.DUMMYFUNCTION("""COMPUTED_VALUE"""),1.553E8)</f>
        <v>155300000</v>
      </c>
      <c r="AY981" s="14">
        <f>IFERROR(__xludf.DUMMYFUNCTION("""COMPUTED_VALUE"""),0.4)</f>
        <v>0.4</v>
      </c>
      <c r="AZ981" s="14">
        <f>IFERROR(__xludf.DUMMYFUNCTION("""COMPUTED_VALUE"""),0.007)</f>
        <v>0.007</v>
      </c>
      <c r="BA981" s="14">
        <f t="shared" si="1"/>
        <v>24.807</v>
      </c>
    </row>
    <row r="982" ht="14.25" customHeight="1">
      <c r="A982" s="10" t="str">
        <f>IFERROR(__xludf.DUMMYFUNCTION("""COMPUTED_VALUE"""),"021223WI02")</f>
        <v>021223WI02</v>
      </c>
      <c r="B982" s="12" t="str">
        <f>IFERROR(__xludf.DUMMYFUNCTION("""COMPUTED_VALUE"""),"QLI-Villa del Diamante")</f>
        <v>QLI-Villa del Diamante</v>
      </c>
      <c r="C982" s="12"/>
      <c r="D982" s="12"/>
      <c r="E982" s="44">
        <f>IFERROR(__xludf.DUMMYFUNCTION("""COMPUTED_VALUE"""),45262.0)</f>
        <v>45262</v>
      </c>
      <c r="F982" s="12" t="str">
        <f>IFERROR(__xludf.DUMMYFUNCTION("""COMPUTED_VALUE"""),"TIPO I")</f>
        <v>TIPO I</v>
      </c>
      <c r="G982" s="12" t="str">
        <f>IFERROR(__xludf.DUMMYFUNCTION("""COMPUTED_VALUE"""),"Se observa color, se percibe olor.  Altitud: 2640 msnm")</f>
        <v>Se observa color, se percibe olor.  Altitud: 2640 msnm</v>
      </c>
      <c r="H982" s="45">
        <f>IFERROR(__xludf.DUMMYFUNCTION("""COMPUTED_VALUE"""),0.4166666666678793)</f>
        <v>0.4166666667</v>
      </c>
      <c r="I982" s="45">
        <f>IFERROR(__xludf.DUMMYFUNCTION("""COMPUTED_VALUE"""),0.5)</f>
        <v>0.5</v>
      </c>
      <c r="J982" s="12">
        <f>IFERROR(__xludf.DUMMYFUNCTION("""COMPUTED_VALUE"""),1.9)</f>
        <v>1.9</v>
      </c>
      <c r="K982" s="12">
        <f>IFERROR(__xludf.DUMMYFUNCTION("""COMPUTED_VALUE"""),0.1)</f>
        <v>0.1</v>
      </c>
      <c r="L982" s="14">
        <f>IFERROR(__xludf.DUMMYFUNCTION("""COMPUTED_VALUE"""),35.11)</f>
        <v>35.11</v>
      </c>
      <c r="M982" s="14">
        <f>IFERROR(__xludf.DUMMYFUNCTION("""COMPUTED_VALUE"""),35.595)</f>
        <v>35.595</v>
      </c>
      <c r="N982" s="14">
        <f>IFERROR(__xludf.DUMMYFUNCTION("""COMPUTED_VALUE"""),35.911)</f>
        <v>35.911</v>
      </c>
      <c r="O982" s="14">
        <f>IFERROR(__xludf.DUMMYFUNCTION("""COMPUTED_VALUE"""),36.743)</f>
        <v>36.743</v>
      </c>
      <c r="P982" s="14">
        <f>IFERROR(__xludf.DUMMYFUNCTION("""COMPUTED_VALUE"""),37.27)</f>
        <v>37.27</v>
      </c>
      <c r="Q982" s="14">
        <f>IFERROR(__xludf.DUMMYFUNCTION("""COMPUTED_VALUE"""),36.126)</f>
        <v>36.126</v>
      </c>
      <c r="R982" s="48">
        <f>IFERROR(__xludf.DUMMYFUNCTION("""COMPUTED_VALUE"""),7.26)</f>
        <v>7.26</v>
      </c>
      <c r="S982" s="48">
        <f>IFERROR(__xludf.DUMMYFUNCTION("""COMPUTED_VALUE"""),7.29)</f>
        <v>7.29</v>
      </c>
      <c r="T982" s="48">
        <f>IFERROR(__xludf.DUMMYFUNCTION("""COMPUTED_VALUE"""),7.33)</f>
        <v>7.33</v>
      </c>
      <c r="U982" s="48">
        <f>IFERROR(__xludf.DUMMYFUNCTION("""COMPUTED_VALUE"""),6.82)</f>
        <v>6.82</v>
      </c>
      <c r="V982" s="48">
        <f>IFERROR(__xludf.DUMMYFUNCTION("""COMPUTED_VALUE"""),7.07)</f>
        <v>7.07</v>
      </c>
      <c r="W982" s="14">
        <f>IFERROR(__xludf.DUMMYFUNCTION("""COMPUTED_VALUE"""),7.154000000000001)</f>
        <v>7.154</v>
      </c>
      <c r="X982" s="14">
        <f>IFERROR(__xludf.DUMMYFUNCTION("""COMPUTED_VALUE"""),15.4)</f>
        <v>15.4</v>
      </c>
      <c r="Y982" s="14">
        <f>IFERROR(__xludf.DUMMYFUNCTION("""COMPUTED_VALUE"""),15.1)</f>
        <v>15.1</v>
      </c>
      <c r="Z982" s="14">
        <f>IFERROR(__xludf.DUMMYFUNCTION("""COMPUTED_VALUE"""),15.9)</f>
        <v>15.9</v>
      </c>
      <c r="AA982" s="14">
        <f>IFERROR(__xludf.DUMMYFUNCTION("""COMPUTED_VALUE"""),16.5)</f>
        <v>16.5</v>
      </c>
      <c r="AB982" s="14">
        <f>IFERROR(__xludf.DUMMYFUNCTION("""COMPUTED_VALUE"""),16.8)</f>
        <v>16.8</v>
      </c>
      <c r="AC982" s="14">
        <f>IFERROR(__xludf.DUMMYFUNCTION("""COMPUTED_VALUE"""),15.940000000000001)</f>
        <v>15.94</v>
      </c>
      <c r="AD982" s="48">
        <f>IFERROR(__xludf.DUMMYFUNCTION("""COMPUTED_VALUE"""),311.0)</f>
        <v>311</v>
      </c>
      <c r="AE982" s="48">
        <f>IFERROR(__xludf.DUMMYFUNCTION("""COMPUTED_VALUE"""),305.0)</f>
        <v>305</v>
      </c>
      <c r="AF982" s="48">
        <f>IFERROR(__xludf.DUMMYFUNCTION("""COMPUTED_VALUE"""),324.0)</f>
        <v>324</v>
      </c>
      <c r="AG982" s="48">
        <f>IFERROR(__xludf.DUMMYFUNCTION("""COMPUTED_VALUE"""),294.0)</f>
        <v>294</v>
      </c>
      <c r="AH982" s="48">
        <f>IFERROR(__xludf.DUMMYFUNCTION("""COMPUTED_VALUE"""),286.0)</f>
        <v>286</v>
      </c>
      <c r="AI982" s="14">
        <f>IFERROR(__xludf.DUMMYFUNCTION("""COMPUTED_VALUE"""),304.0)</f>
        <v>304</v>
      </c>
      <c r="AJ982" s="14">
        <f>IFERROR(__xludf.DUMMYFUNCTION("""COMPUTED_VALUE"""),4.25)</f>
        <v>4.25</v>
      </c>
      <c r="AK982" s="14">
        <f>IFERROR(__xludf.DUMMYFUNCTION("""COMPUTED_VALUE"""),3.86)</f>
        <v>3.86</v>
      </c>
      <c r="AL982" s="14">
        <f>IFERROR(__xludf.DUMMYFUNCTION("""COMPUTED_VALUE"""),3.37)</f>
        <v>3.37</v>
      </c>
      <c r="AM982" s="14">
        <f>IFERROR(__xludf.DUMMYFUNCTION("""COMPUTED_VALUE"""),4.12)</f>
        <v>4.12</v>
      </c>
      <c r="AN982" s="14">
        <f>IFERROR(__xludf.DUMMYFUNCTION("""COMPUTED_VALUE"""),3.04)</f>
        <v>3.04</v>
      </c>
      <c r="AO982" s="14">
        <f>IFERROR(__xludf.DUMMYFUNCTION("""COMPUTED_VALUE"""),3.728)</f>
        <v>3.728</v>
      </c>
      <c r="AP982" s="14">
        <f>IFERROR(__xludf.DUMMYFUNCTION("""COMPUTED_VALUE"""),19.0)</f>
        <v>19</v>
      </c>
      <c r="AQ982" s="14">
        <f>IFERROR(__xludf.DUMMYFUNCTION("""COMPUTED_VALUE"""),30.0)</f>
        <v>30</v>
      </c>
      <c r="AR982" s="14">
        <f>IFERROR(__xludf.DUMMYFUNCTION("""COMPUTED_VALUE"""),19.0)</f>
        <v>19</v>
      </c>
      <c r="AS982" s="14">
        <f>IFERROR(__xludf.DUMMYFUNCTION("""COMPUTED_VALUE"""),1.0)</f>
        <v>1</v>
      </c>
      <c r="AT982" s="14">
        <f>IFERROR(__xludf.DUMMYFUNCTION("""COMPUTED_VALUE"""),0.17)</f>
        <v>0.17</v>
      </c>
      <c r="AU982" s="14">
        <f>IFERROR(__xludf.DUMMYFUNCTION("""COMPUTED_VALUE"""),22580.0)</f>
        <v>22580</v>
      </c>
      <c r="AV982" s="14">
        <f>IFERROR(__xludf.DUMMYFUNCTION("""COMPUTED_VALUE"""),1.02)</f>
        <v>1.02</v>
      </c>
      <c r="AW982" s="14">
        <f>IFERROR(__xludf.DUMMYFUNCTION("""COMPUTED_VALUE"""),8.7)</f>
        <v>8.7</v>
      </c>
      <c r="AX982" s="14">
        <f>IFERROR(__xludf.DUMMYFUNCTION("""COMPUTED_VALUE"""),9360.0)</f>
        <v>9360</v>
      </c>
      <c r="AY982" s="14">
        <f>IFERROR(__xludf.DUMMYFUNCTION("""COMPUTED_VALUE"""),2.9)</f>
        <v>2.9</v>
      </c>
      <c r="AZ982" s="14">
        <f>IFERROR(__xludf.DUMMYFUNCTION("""COMPUTED_VALUE"""),0.262)</f>
        <v>0.262</v>
      </c>
      <c r="BA982" s="14">
        <f t="shared" si="1"/>
        <v>11.862</v>
      </c>
    </row>
    <row r="983" ht="14.25" customHeight="1">
      <c r="A983" s="10" t="str">
        <f>IFERROR(__xludf.DUMMYFUNCTION("""COMPUTED_VALUE"""),"041223WI01")</f>
        <v>041223WI01</v>
      </c>
      <c r="B983" s="12" t="str">
        <f>IFERROR(__xludf.DUMMYFUNCTION("""COMPUTED_VALUE"""),"QYO-Bolonia")</f>
        <v>QYO-Bolonia</v>
      </c>
      <c r="C983" s="12"/>
      <c r="D983" s="12"/>
      <c r="E983" s="44">
        <f>IFERROR(__xludf.DUMMYFUNCTION("""COMPUTED_VALUE"""),45264.0)</f>
        <v>45264</v>
      </c>
      <c r="F983" s="12" t="str">
        <f>IFERROR(__xludf.DUMMYFUNCTION("""COMPUTED_VALUE"""),"TIPO I")</f>
        <v>TIPO I</v>
      </c>
      <c r="G983" s="12" t="str">
        <f>IFERROR(__xludf.DUMMYFUNCTION("""COMPUTED_VALUE"""),"Canal natural, lecho rocoso arenoso, la margen izquierda en concreto, durante el monitoreo se percibe olor, se observa color y residuos sólidos a las márgenes del cauce. 
Altitud: 2735 msnm.")</f>
        <v>Canal natural, lecho rocoso arenoso, la margen izquierda en concreto, durante el monitoreo se percibe olor, se observa color y residuos sólidos a las márgenes del cauce. 
Altitud: 2735 msnm.</v>
      </c>
      <c r="H983" s="45">
        <f>IFERROR(__xludf.DUMMYFUNCTION("""COMPUTED_VALUE"""),0.3333333333321207)</f>
        <v>0.3333333333</v>
      </c>
      <c r="I983" s="45">
        <f>IFERROR(__xludf.DUMMYFUNCTION("""COMPUTED_VALUE"""),0.4166666666678793)</f>
        <v>0.4166666667</v>
      </c>
      <c r="J983" s="12">
        <f>IFERROR(__xludf.DUMMYFUNCTION("""COMPUTED_VALUE"""),3.5)</f>
        <v>3.5</v>
      </c>
      <c r="K983" s="12">
        <f>IFERROR(__xludf.DUMMYFUNCTION("""COMPUTED_VALUE"""),0.28)</f>
        <v>0.28</v>
      </c>
      <c r="L983" s="14">
        <f>IFERROR(__xludf.DUMMYFUNCTION("""COMPUTED_VALUE"""),176.025)</f>
        <v>176.025</v>
      </c>
      <c r="M983" s="14">
        <f>IFERROR(__xludf.DUMMYFUNCTION("""COMPUTED_VALUE"""),176.298)</f>
        <v>176.298</v>
      </c>
      <c r="N983" s="14">
        <f>IFERROR(__xludf.DUMMYFUNCTION("""COMPUTED_VALUE"""),176.489)</f>
        <v>176.489</v>
      </c>
      <c r="O983" s="14">
        <f>IFERROR(__xludf.DUMMYFUNCTION("""COMPUTED_VALUE"""),179.44)</f>
        <v>179.44</v>
      </c>
      <c r="P983" s="14">
        <f>IFERROR(__xludf.DUMMYFUNCTION("""COMPUTED_VALUE"""),178.45)</f>
        <v>178.45</v>
      </c>
      <c r="Q983" s="14">
        <f>IFERROR(__xludf.DUMMYFUNCTION("""COMPUTED_VALUE"""),177.34)</f>
        <v>177.34</v>
      </c>
      <c r="R983" s="48">
        <f>IFERROR(__xludf.DUMMYFUNCTION("""COMPUTED_VALUE"""),7.38)</f>
        <v>7.38</v>
      </c>
      <c r="S983" s="48">
        <f>IFERROR(__xludf.DUMMYFUNCTION("""COMPUTED_VALUE"""),7.1)</f>
        <v>7.1</v>
      </c>
      <c r="T983" s="48">
        <f>IFERROR(__xludf.DUMMYFUNCTION("""COMPUTED_VALUE"""),7.03)</f>
        <v>7.03</v>
      </c>
      <c r="U983" s="48">
        <f>IFERROR(__xludf.DUMMYFUNCTION("""COMPUTED_VALUE"""),6.96)</f>
        <v>6.96</v>
      </c>
      <c r="V983" s="48">
        <f>IFERROR(__xludf.DUMMYFUNCTION("""COMPUTED_VALUE"""),6.82)</f>
        <v>6.82</v>
      </c>
      <c r="W983" s="14">
        <f>IFERROR(__xludf.DUMMYFUNCTION("""COMPUTED_VALUE"""),7.058000000000002)</f>
        <v>7.058</v>
      </c>
      <c r="X983" s="14">
        <f>IFERROR(__xludf.DUMMYFUNCTION("""COMPUTED_VALUE"""),13.3)</f>
        <v>13.3</v>
      </c>
      <c r="Y983" s="14">
        <f>IFERROR(__xludf.DUMMYFUNCTION("""COMPUTED_VALUE"""),13.7)</f>
        <v>13.7</v>
      </c>
      <c r="Z983" s="14">
        <f>IFERROR(__xludf.DUMMYFUNCTION("""COMPUTED_VALUE"""),13.4)</f>
        <v>13.4</v>
      </c>
      <c r="AA983" s="14">
        <f>IFERROR(__xludf.DUMMYFUNCTION("""COMPUTED_VALUE"""),14.1)</f>
        <v>14.1</v>
      </c>
      <c r="AB983" s="14">
        <f>IFERROR(__xludf.DUMMYFUNCTION("""COMPUTED_VALUE"""),15.4)</f>
        <v>15.4</v>
      </c>
      <c r="AC983" s="14">
        <f>IFERROR(__xludf.DUMMYFUNCTION("""COMPUTED_VALUE"""),13.98)</f>
        <v>13.98</v>
      </c>
      <c r="AD983" s="48">
        <f>IFERROR(__xludf.DUMMYFUNCTION("""COMPUTED_VALUE"""),205.0)</f>
        <v>205</v>
      </c>
      <c r="AE983" s="48">
        <f>IFERROR(__xludf.DUMMYFUNCTION("""COMPUTED_VALUE"""),200.0)</f>
        <v>200</v>
      </c>
      <c r="AF983" s="48">
        <f>IFERROR(__xludf.DUMMYFUNCTION("""COMPUTED_VALUE"""),198.0)</f>
        <v>198</v>
      </c>
      <c r="AG983" s="48">
        <f>IFERROR(__xludf.DUMMYFUNCTION("""COMPUTED_VALUE"""),202.0)</f>
        <v>202</v>
      </c>
      <c r="AH983" s="48">
        <f>IFERROR(__xludf.DUMMYFUNCTION("""COMPUTED_VALUE"""),185.0)</f>
        <v>185</v>
      </c>
      <c r="AI983" s="14">
        <f>IFERROR(__xludf.DUMMYFUNCTION("""COMPUTED_VALUE"""),198.0)</f>
        <v>198</v>
      </c>
      <c r="AJ983" s="14">
        <f>IFERROR(__xludf.DUMMYFUNCTION("""COMPUTED_VALUE"""),2.12)</f>
        <v>2.12</v>
      </c>
      <c r="AK983" s="14">
        <f>IFERROR(__xludf.DUMMYFUNCTION("""COMPUTED_VALUE"""),2.22)</f>
        <v>2.22</v>
      </c>
      <c r="AL983" s="14">
        <f>IFERROR(__xludf.DUMMYFUNCTION("""COMPUTED_VALUE"""),2.66)</f>
        <v>2.66</v>
      </c>
      <c r="AM983" s="14">
        <f>IFERROR(__xludf.DUMMYFUNCTION("""COMPUTED_VALUE"""),2.58)</f>
        <v>2.58</v>
      </c>
      <c r="AN983" s="14">
        <f>IFERROR(__xludf.DUMMYFUNCTION("""COMPUTED_VALUE"""),2.85)</f>
        <v>2.85</v>
      </c>
      <c r="AO983" s="14">
        <f>IFERROR(__xludf.DUMMYFUNCTION("""COMPUTED_VALUE"""),2.4859999999999998)</f>
        <v>2.486</v>
      </c>
      <c r="AP983" s="14">
        <f>IFERROR(__xludf.DUMMYFUNCTION("""COMPUTED_VALUE"""),13.0)</f>
        <v>13</v>
      </c>
      <c r="AQ983" s="14">
        <f>IFERROR(__xludf.DUMMYFUNCTION("""COMPUTED_VALUE"""),19.0)</f>
        <v>19</v>
      </c>
      <c r="AR983" s="14">
        <f>IFERROR(__xludf.DUMMYFUNCTION("""COMPUTED_VALUE"""),8.0)</f>
        <v>8</v>
      </c>
      <c r="AS983" s="14">
        <f>IFERROR(__xludf.DUMMYFUNCTION("""COMPUTED_VALUE"""),1.0)</f>
        <v>1</v>
      </c>
      <c r="AT983" s="14">
        <f>IFERROR(__xludf.DUMMYFUNCTION("""COMPUTED_VALUE"""),0.07)</f>
        <v>0.07</v>
      </c>
      <c r="AU983" s="14">
        <f>IFERROR(__xludf.DUMMYFUNCTION("""COMPUTED_VALUE"""),1.722E8)</f>
        <v>172200000</v>
      </c>
      <c r="AV983" s="14">
        <f>IFERROR(__xludf.DUMMYFUNCTION("""COMPUTED_VALUE"""),0.69)</f>
        <v>0.69</v>
      </c>
      <c r="AW983" s="14">
        <f>IFERROR(__xludf.DUMMYFUNCTION("""COMPUTED_VALUE"""),8.1)</f>
        <v>8.1</v>
      </c>
      <c r="AX983" s="14">
        <f>IFERROR(__xludf.DUMMYFUNCTION("""COMPUTED_VALUE"""),1.515E8)</f>
        <v>151500000</v>
      </c>
      <c r="AY983" s="14">
        <f>IFERROR(__xludf.DUMMYFUNCTION("""COMPUTED_VALUE"""),1.1)</f>
        <v>1.1</v>
      </c>
      <c r="AZ983" s="14">
        <f>IFERROR(__xludf.DUMMYFUNCTION("""COMPUTED_VALUE"""),0.102)</f>
        <v>0.102</v>
      </c>
      <c r="BA983" s="14">
        <f t="shared" si="1"/>
        <v>9.302</v>
      </c>
    </row>
    <row r="984" ht="14.25" customHeight="1">
      <c r="A984" s="10" t="str">
        <f>IFERROR(__xludf.DUMMYFUNCTION("""COMPUTED_VALUE"""),"061223FE02")</f>
        <v>061223FE02</v>
      </c>
      <c r="B984" s="12" t="str">
        <f>IFERROR(__xludf.DUMMYFUNCTION("""COMPUTED_VALUE"""),"QTR-Mochuelo Bajo")</f>
        <v>QTR-Mochuelo Bajo</v>
      </c>
      <c r="C984" s="12"/>
      <c r="D984" s="12"/>
      <c r="E984" s="44">
        <f>IFERROR(__xludf.DUMMYFUNCTION("""COMPUTED_VALUE"""),45266.0)</f>
        <v>45266</v>
      </c>
      <c r="F984" s="12" t="str">
        <f>IFERROR(__xludf.DUMMYFUNCTION("""COMPUTED_VALUE"""),"TIPO I")</f>
        <v>TIPO I</v>
      </c>
      <c r="G984" s="12" t="str">
        <f>IFERROR(__xludf.DUMMYFUNCTION("""COMPUTED_VALUE"""),"Canal natural lecho rocoso, durante el monitoreo se percibe olor, se observa color y residuos sólidos en los márgenes del cauce. ")</f>
        <v>Canal natural lecho rocoso, durante el monitoreo se percibe olor, se observa color y residuos sólidos en los márgenes del cauce. </v>
      </c>
      <c r="H984" s="45">
        <f>IFERROR(__xludf.DUMMYFUNCTION("""COMPUTED_VALUE"""),0.4166666666678793)</f>
        <v>0.4166666667</v>
      </c>
      <c r="I984" s="45">
        <f>IFERROR(__xludf.DUMMYFUNCTION("""COMPUTED_VALUE"""),0.5)</f>
        <v>0.5</v>
      </c>
      <c r="J984" s="12">
        <f>IFERROR(__xludf.DUMMYFUNCTION("""COMPUTED_VALUE"""),1.2)</f>
        <v>1.2</v>
      </c>
      <c r="K984" s="12">
        <f>IFERROR(__xludf.DUMMYFUNCTION("""COMPUTED_VALUE"""),0.22)</f>
        <v>0.22</v>
      </c>
      <c r="L984" s="14">
        <f>IFERROR(__xludf.DUMMYFUNCTION("""COMPUTED_VALUE"""),30.554)</f>
        <v>30.554</v>
      </c>
      <c r="M984" s="14">
        <f>IFERROR(__xludf.DUMMYFUNCTION("""COMPUTED_VALUE"""),30.805)</f>
        <v>30.805</v>
      </c>
      <c r="N984" s="14">
        <f>IFERROR(__xludf.DUMMYFUNCTION("""COMPUTED_VALUE"""),31.117)</f>
        <v>31.117</v>
      </c>
      <c r="O984" s="14">
        <f>IFERROR(__xludf.DUMMYFUNCTION("""COMPUTED_VALUE"""),31.316)</f>
        <v>31.316</v>
      </c>
      <c r="P984" s="14">
        <f>IFERROR(__xludf.DUMMYFUNCTION("""COMPUTED_VALUE"""),31.455)</f>
        <v>31.455</v>
      </c>
      <c r="Q984" s="14">
        <f>IFERROR(__xludf.DUMMYFUNCTION("""COMPUTED_VALUE"""),31.049)</f>
        <v>31.049</v>
      </c>
      <c r="R984" s="48">
        <f>IFERROR(__xludf.DUMMYFUNCTION("""COMPUTED_VALUE"""),7.38)</f>
        <v>7.38</v>
      </c>
      <c r="S984" s="48">
        <f>IFERROR(__xludf.DUMMYFUNCTION("""COMPUTED_VALUE"""),7.31)</f>
        <v>7.31</v>
      </c>
      <c r="T984" s="48">
        <f>IFERROR(__xludf.DUMMYFUNCTION("""COMPUTED_VALUE"""),7.28)</f>
        <v>7.28</v>
      </c>
      <c r="U984" s="48">
        <f>IFERROR(__xludf.DUMMYFUNCTION("""COMPUTED_VALUE"""),7.28)</f>
        <v>7.28</v>
      </c>
      <c r="V984" s="48">
        <f>IFERROR(__xludf.DUMMYFUNCTION("""COMPUTED_VALUE"""),7.3)</f>
        <v>7.3</v>
      </c>
      <c r="W984" s="14">
        <f>IFERROR(__xludf.DUMMYFUNCTION("""COMPUTED_VALUE"""),7.31)</f>
        <v>7.31</v>
      </c>
      <c r="X984" s="14">
        <f>IFERROR(__xludf.DUMMYFUNCTION("""COMPUTED_VALUE"""),20.5)</f>
        <v>20.5</v>
      </c>
      <c r="Y984" s="14">
        <f>IFERROR(__xludf.DUMMYFUNCTION("""COMPUTED_VALUE"""),15.5)</f>
        <v>15.5</v>
      </c>
      <c r="Z984" s="14">
        <f>IFERROR(__xludf.DUMMYFUNCTION("""COMPUTED_VALUE"""),15.4)</f>
        <v>15.4</v>
      </c>
      <c r="AA984" s="14">
        <f>IFERROR(__xludf.DUMMYFUNCTION("""COMPUTED_VALUE"""),14.8)</f>
        <v>14.8</v>
      </c>
      <c r="AB984" s="14">
        <f>IFERROR(__xludf.DUMMYFUNCTION("""COMPUTED_VALUE"""),17.1)</f>
        <v>17.1</v>
      </c>
      <c r="AC984" s="14">
        <f>IFERROR(__xludf.DUMMYFUNCTION("""COMPUTED_VALUE"""),16.660000000000004)</f>
        <v>16.66</v>
      </c>
      <c r="AD984" s="48">
        <f>IFERROR(__xludf.DUMMYFUNCTION("""COMPUTED_VALUE"""),608.0)</f>
        <v>608</v>
      </c>
      <c r="AE984" s="48">
        <f>IFERROR(__xludf.DUMMYFUNCTION("""COMPUTED_VALUE"""),601.0)</f>
        <v>601</v>
      </c>
      <c r="AF984" s="48">
        <f>IFERROR(__xludf.DUMMYFUNCTION("""COMPUTED_VALUE"""),551.0)</f>
        <v>551</v>
      </c>
      <c r="AG984" s="48">
        <f>IFERROR(__xludf.DUMMYFUNCTION("""COMPUTED_VALUE"""),548.0)</f>
        <v>548</v>
      </c>
      <c r="AH984" s="48">
        <f>IFERROR(__xludf.DUMMYFUNCTION("""COMPUTED_VALUE"""),541.0)</f>
        <v>541</v>
      </c>
      <c r="AI984" s="14">
        <f>IFERROR(__xludf.DUMMYFUNCTION("""COMPUTED_VALUE"""),569.8)</f>
        <v>569.8</v>
      </c>
      <c r="AJ984" s="14">
        <f>IFERROR(__xludf.DUMMYFUNCTION("""COMPUTED_VALUE"""),4.33)</f>
        <v>4.33</v>
      </c>
      <c r="AK984" s="14">
        <f>IFERROR(__xludf.DUMMYFUNCTION("""COMPUTED_VALUE"""),5.0)</f>
        <v>5</v>
      </c>
      <c r="AL984" s="14">
        <f>IFERROR(__xludf.DUMMYFUNCTION("""COMPUTED_VALUE"""),4.3)</f>
        <v>4.3</v>
      </c>
      <c r="AM984" s="14">
        <f>IFERROR(__xludf.DUMMYFUNCTION("""COMPUTED_VALUE"""),4.6)</f>
        <v>4.6</v>
      </c>
      <c r="AN984" s="14">
        <f>IFERROR(__xludf.DUMMYFUNCTION("""COMPUTED_VALUE"""),4.89)</f>
        <v>4.89</v>
      </c>
      <c r="AO984" s="14">
        <f>IFERROR(__xludf.DUMMYFUNCTION("""COMPUTED_VALUE"""),4.624)</f>
        <v>4.624</v>
      </c>
      <c r="AP984" s="14">
        <f>IFERROR(__xludf.DUMMYFUNCTION("""COMPUTED_VALUE"""),103.0)</f>
        <v>103</v>
      </c>
      <c r="AQ984" s="14">
        <f>IFERROR(__xludf.DUMMYFUNCTION("""COMPUTED_VALUE"""),152.0)</f>
        <v>152</v>
      </c>
      <c r="AR984" s="14">
        <f>IFERROR(__xludf.DUMMYFUNCTION("""COMPUTED_VALUE"""),148.0)</f>
        <v>148</v>
      </c>
      <c r="AS984" s="14">
        <f>IFERROR(__xludf.DUMMYFUNCTION("""COMPUTED_VALUE"""),1.0)</f>
        <v>1</v>
      </c>
      <c r="AT984" s="14">
        <f>IFERROR(__xludf.DUMMYFUNCTION("""COMPUTED_VALUE"""),0.54)</f>
        <v>0.54</v>
      </c>
      <c r="AU984" s="14">
        <f>IFERROR(__xludf.DUMMYFUNCTION("""COMPUTED_VALUE"""),1039000.0)</f>
        <v>1039000</v>
      </c>
      <c r="AV984" s="14">
        <f>IFERROR(__xludf.DUMMYFUNCTION("""COMPUTED_VALUE"""),2.67)</f>
        <v>2.67</v>
      </c>
      <c r="AW984" s="14">
        <f>IFERROR(__xludf.DUMMYFUNCTION("""COMPUTED_VALUE"""),25.5)</f>
        <v>25.5</v>
      </c>
      <c r="AX984" s="14">
        <f>IFERROR(__xludf.DUMMYFUNCTION("""COMPUTED_VALUE"""),496000.0)</f>
        <v>496000</v>
      </c>
      <c r="AY984" s="14">
        <f>IFERROR(__xludf.DUMMYFUNCTION("""COMPUTED_VALUE"""),0.5)</f>
        <v>0.5</v>
      </c>
      <c r="AZ984" s="14">
        <f>IFERROR(__xludf.DUMMYFUNCTION("""COMPUTED_VALUE"""),0.007)</f>
        <v>0.007</v>
      </c>
      <c r="BA984" s="14">
        <f t="shared" si="1"/>
        <v>26.007</v>
      </c>
    </row>
    <row r="985" ht="14.25" customHeight="1">
      <c r="A985" s="10" t="str">
        <f>IFERROR(__xludf.DUMMYFUNCTION("""COMPUTED_VALUE"""),"071223DU02")</f>
        <v>071223DU02</v>
      </c>
      <c r="B985" s="12" t="str">
        <f>IFERROR(__xludf.DUMMYFUNCTION("""COMPUTED_VALUE"""),"QTR-Acapulco")</f>
        <v>QTR-Acapulco</v>
      </c>
      <c r="C985" s="12"/>
      <c r="D985" s="12"/>
      <c r="E985" s="44">
        <f>IFERROR(__xludf.DUMMYFUNCTION("""COMPUTED_VALUE"""),45267.0)</f>
        <v>45267</v>
      </c>
      <c r="F985" s="12" t="str">
        <f>IFERROR(__xludf.DUMMYFUNCTION("""COMPUTED_VALUE"""),"TIPO I")</f>
        <v>TIPO I</v>
      </c>
      <c r="G985" s="12" t="str">
        <f>IFERROR(__xludf.DUMMYFUNCTION("""COMPUTED_VALUE"""),"Cauce natural, lecho rocoso, durante el monitoreo se observa color y se percibe olor, en la toma de la cuarta y quita alícuota se evidencia un cambio significativo en los valores de pH. ")</f>
        <v>Cauce natural, lecho rocoso, durante el monitoreo se observa color y se percibe olor, en la toma de la cuarta y quita alícuota se evidencia un cambio significativo en los valores de pH. </v>
      </c>
      <c r="H985" s="45">
        <f>IFERROR(__xludf.DUMMYFUNCTION("""COMPUTED_VALUE"""),0.4166666666678793)</f>
        <v>0.4166666667</v>
      </c>
      <c r="I985" s="45">
        <f>IFERROR(__xludf.DUMMYFUNCTION("""COMPUTED_VALUE"""),0.5)</f>
        <v>0.5</v>
      </c>
      <c r="J985" s="12">
        <f>IFERROR(__xludf.DUMMYFUNCTION("""COMPUTED_VALUE"""),1.6)</f>
        <v>1.6</v>
      </c>
      <c r="K985" s="12">
        <f>IFERROR(__xludf.DUMMYFUNCTION("""COMPUTED_VALUE"""),0.17)</f>
        <v>0.17</v>
      </c>
      <c r="L985" s="14">
        <f>IFERROR(__xludf.DUMMYFUNCTION("""COMPUTED_VALUE"""),57.986)</f>
        <v>57.986</v>
      </c>
      <c r="M985" s="14">
        <f>IFERROR(__xludf.DUMMYFUNCTION("""COMPUTED_VALUE"""),58.132)</f>
        <v>58.132</v>
      </c>
      <c r="N985" s="14">
        <f>IFERROR(__xludf.DUMMYFUNCTION("""COMPUTED_VALUE"""),58.41)</f>
        <v>58.41</v>
      </c>
      <c r="O985" s="14">
        <f>IFERROR(__xludf.DUMMYFUNCTION("""COMPUTED_VALUE"""),60.206)</f>
        <v>60.206</v>
      </c>
      <c r="P985" s="14">
        <f>IFERROR(__xludf.DUMMYFUNCTION("""COMPUTED_VALUE"""),59.272)</f>
        <v>59.272</v>
      </c>
      <c r="Q985" s="14">
        <f>IFERROR(__xludf.DUMMYFUNCTION("""COMPUTED_VALUE"""),58.801)</f>
        <v>58.801</v>
      </c>
      <c r="R985" s="48">
        <f>IFERROR(__xludf.DUMMYFUNCTION("""COMPUTED_VALUE"""),6.88)</f>
        <v>6.88</v>
      </c>
      <c r="S985" s="48">
        <f>IFERROR(__xludf.DUMMYFUNCTION("""COMPUTED_VALUE"""),6.9)</f>
        <v>6.9</v>
      </c>
      <c r="T985" s="48">
        <f>IFERROR(__xludf.DUMMYFUNCTION("""COMPUTED_VALUE"""),6.83)</f>
        <v>6.83</v>
      </c>
      <c r="U985" s="48">
        <f>IFERROR(__xludf.DUMMYFUNCTION("""COMPUTED_VALUE"""),8.72)</f>
        <v>8.72</v>
      </c>
      <c r="V985" s="48">
        <f>IFERROR(__xludf.DUMMYFUNCTION("""COMPUTED_VALUE"""),8.82)</f>
        <v>8.82</v>
      </c>
      <c r="W985" s="14">
        <f>IFERROR(__xludf.DUMMYFUNCTION("""COMPUTED_VALUE"""),7.63)</f>
        <v>7.63</v>
      </c>
      <c r="X985" s="14">
        <f>IFERROR(__xludf.DUMMYFUNCTION("""COMPUTED_VALUE"""),15.8)</f>
        <v>15.8</v>
      </c>
      <c r="Y985" s="14">
        <f>IFERROR(__xludf.DUMMYFUNCTION("""COMPUTED_VALUE"""),17.4)</f>
        <v>17.4</v>
      </c>
      <c r="Z985" s="14">
        <f>IFERROR(__xludf.DUMMYFUNCTION("""COMPUTED_VALUE"""),16.9)</f>
        <v>16.9</v>
      </c>
      <c r="AA985" s="14">
        <f>IFERROR(__xludf.DUMMYFUNCTION("""COMPUTED_VALUE"""),17.5)</f>
        <v>17.5</v>
      </c>
      <c r="AB985" s="14">
        <f>IFERROR(__xludf.DUMMYFUNCTION("""COMPUTED_VALUE"""),18.3)</f>
        <v>18.3</v>
      </c>
      <c r="AC985" s="14">
        <f>IFERROR(__xludf.DUMMYFUNCTION("""COMPUTED_VALUE"""),17.18)</f>
        <v>17.18</v>
      </c>
      <c r="AD985" s="48">
        <f>IFERROR(__xludf.DUMMYFUNCTION("""COMPUTED_VALUE"""),486.0)</f>
        <v>486</v>
      </c>
      <c r="AE985" s="48">
        <f>IFERROR(__xludf.DUMMYFUNCTION("""COMPUTED_VALUE"""),477.0)</f>
        <v>477</v>
      </c>
      <c r="AF985" s="48">
        <f>IFERROR(__xludf.DUMMYFUNCTION("""COMPUTED_VALUE"""),480.0)</f>
        <v>480</v>
      </c>
      <c r="AG985" s="48">
        <f>IFERROR(__xludf.DUMMYFUNCTION("""COMPUTED_VALUE"""),494.0)</f>
        <v>494</v>
      </c>
      <c r="AH985" s="48">
        <f>IFERROR(__xludf.DUMMYFUNCTION("""COMPUTED_VALUE"""),501.0)</f>
        <v>501</v>
      </c>
      <c r="AI985" s="14">
        <f>IFERROR(__xludf.DUMMYFUNCTION("""COMPUTED_VALUE"""),487.6)</f>
        <v>487.6</v>
      </c>
      <c r="AJ985" s="14">
        <f>IFERROR(__xludf.DUMMYFUNCTION("""COMPUTED_VALUE"""),2.55)</f>
        <v>2.55</v>
      </c>
      <c r="AK985" s="14">
        <f>IFERROR(__xludf.DUMMYFUNCTION("""COMPUTED_VALUE"""),3.12)</f>
        <v>3.12</v>
      </c>
      <c r="AL985" s="14">
        <f>IFERROR(__xludf.DUMMYFUNCTION("""COMPUTED_VALUE"""),2.14)</f>
        <v>2.14</v>
      </c>
      <c r="AM985" s="14">
        <f>IFERROR(__xludf.DUMMYFUNCTION("""COMPUTED_VALUE"""),3.05)</f>
        <v>3.05</v>
      </c>
      <c r="AN985" s="14">
        <f>IFERROR(__xludf.DUMMYFUNCTION("""COMPUTED_VALUE"""),2.26)</f>
        <v>2.26</v>
      </c>
      <c r="AO985" s="14">
        <f>IFERROR(__xludf.DUMMYFUNCTION("""COMPUTED_VALUE"""),2.6239999999999997)</f>
        <v>2.624</v>
      </c>
      <c r="AP985" s="14">
        <f>IFERROR(__xludf.DUMMYFUNCTION("""COMPUTED_VALUE"""),42.0)</f>
        <v>42</v>
      </c>
      <c r="AQ985" s="14">
        <f>IFERROR(__xludf.DUMMYFUNCTION("""COMPUTED_VALUE"""),66.0)</f>
        <v>66</v>
      </c>
      <c r="AR985" s="14">
        <f>IFERROR(__xludf.DUMMYFUNCTION("""COMPUTED_VALUE"""),1964.0)</f>
        <v>1964</v>
      </c>
      <c r="AS985" s="14">
        <f>IFERROR(__xludf.DUMMYFUNCTION("""COMPUTED_VALUE"""),1.0)</f>
        <v>1</v>
      </c>
      <c r="AT985" s="14">
        <f>IFERROR(__xludf.DUMMYFUNCTION("""COMPUTED_VALUE"""),0.8)</f>
        <v>0.8</v>
      </c>
      <c r="AU985" s="14">
        <f>IFERROR(__xludf.DUMMYFUNCTION("""COMPUTED_VALUE"""),6.131E7)</f>
        <v>61310000</v>
      </c>
      <c r="AV985" s="14">
        <f>IFERROR(__xludf.DUMMYFUNCTION("""COMPUTED_VALUE"""),1.64)</f>
        <v>1.64</v>
      </c>
      <c r="AW985" s="14">
        <f>IFERROR(__xludf.DUMMYFUNCTION("""COMPUTED_VALUE"""),17.4)</f>
        <v>17.4</v>
      </c>
      <c r="AX985" s="14">
        <f>IFERROR(__xludf.DUMMYFUNCTION("""COMPUTED_VALUE"""),3.448E7)</f>
        <v>34480000</v>
      </c>
      <c r="AY985" s="14">
        <f>IFERROR(__xludf.DUMMYFUNCTION("""COMPUTED_VALUE"""),0.3)</f>
        <v>0.3</v>
      </c>
      <c r="AZ985" s="14">
        <f>IFERROR(__xludf.DUMMYFUNCTION("""COMPUTED_VALUE"""),0.007)</f>
        <v>0.007</v>
      </c>
      <c r="BA985" s="14">
        <f t="shared" si="1"/>
        <v>17.707</v>
      </c>
    </row>
    <row r="986" ht="14.25" customHeight="1">
      <c r="A986" s="10" t="str">
        <f>IFERROR(__xludf.DUMMYFUNCTION("""COMPUTED_VALUE"""),"041223WI02")</f>
        <v>041223WI02</v>
      </c>
      <c r="B986" s="12" t="str">
        <f>IFERROR(__xludf.DUMMYFUNCTION("""COMPUTED_VALUE"""),"QYO-Arrayanal")</f>
        <v>QYO-Arrayanal</v>
      </c>
      <c r="C986" s="12"/>
      <c r="D986" s="12"/>
      <c r="E986" s="44">
        <f>IFERROR(__xludf.DUMMYFUNCTION("""COMPUTED_VALUE"""),45264.0)</f>
        <v>45264</v>
      </c>
      <c r="F986" s="12" t="str">
        <f>IFERROR(__xludf.DUMMYFUNCTION("""COMPUTED_VALUE"""),"TIPO I")</f>
        <v>TIPO I</v>
      </c>
      <c r="G986" s="12" t="str">
        <f>IFERROR(__xludf.DUMMYFUNCTION("""COMPUTED_VALUE"""),"Canal natural, lecho rocoso, durante el monitoreo no se observa color, no se percibe olor.
Altitud: 2815 msnm. ")</f>
        <v>Canal natural, lecho rocoso, durante el monitoreo no se observa color, no se percibe olor.
Altitud: 2815 msnm. </v>
      </c>
      <c r="H986" s="45">
        <f>IFERROR(__xludf.DUMMYFUNCTION("""COMPUTED_VALUE"""),0.5)</f>
        <v>0.5</v>
      </c>
      <c r="I986" s="45">
        <f>IFERROR(__xludf.DUMMYFUNCTION("""COMPUTED_VALUE"""),0.5833333333321207)</f>
        <v>0.5833333333</v>
      </c>
      <c r="J986" s="12">
        <f>IFERROR(__xludf.DUMMYFUNCTION("""COMPUTED_VALUE"""),2.2)</f>
        <v>2.2</v>
      </c>
      <c r="K986" s="12">
        <f>IFERROR(__xludf.DUMMYFUNCTION("""COMPUTED_VALUE"""),0.28)</f>
        <v>0.28</v>
      </c>
      <c r="L986" s="14">
        <f>IFERROR(__xludf.DUMMYFUNCTION("""COMPUTED_VALUE"""),110.738)</f>
        <v>110.738</v>
      </c>
      <c r="M986" s="14">
        <f>IFERROR(__xludf.DUMMYFUNCTION("""COMPUTED_VALUE"""),111.181)</f>
        <v>111.181</v>
      </c>
      <c r="N986" s="14">
        <f>IFERROR(__xludf.DUMMYFUNCTION("""COMPUTED_VALUE"""),111.33)</f>
        <v>111.33</v>
      </c>
      <c r="O986" s="14">
        <f>IFERROR(__xludf.DUMMYFUNCTION("""COMPUTED_VALUE"""),112.071)</f>
        <v>112.071</v>
      </c>
      <c r="P986" s="14">
        <f>IFERROR(__xludf.DUMMYFUNCTION("""COMPUTED_VALUE"""),112.209)</f>
        <v>112.209</v>
      </c>
      <c r="Q986" s="14">
        <f>IFERROR(__xludf.DUMMYFUNCTION("""COMPUTED_VALUE"""),111.506)</f>
        <v>111.506</v>
      </c>
      <c r="R986" s="48">
        <f>IFERROR(__xludf.DUMMYFUNCTION("""COMPUTED_VALUE"""),6.64)</f>
        <v>6.64</v>
      </c>
      <c r="S986" s="48">
        <f>IFERROR(__xludf.DUMMYFUNCTION("""COMPUTED_VALUE"""),6.7)</f>
        <v>6.7</v>
      </c>
      <c r="T986" s="48">
        <f>IFERROR(__xludf.DUMMYFUNCTION("""COMPUTED_VALUE"""),6.56)</f>
        <v>6.56</v>
      </c>
      <c r="U986" s="48">
        <f>IFERROR(__xludf.DUMMYFUNCTION("""COMPUTED_VALUE"""),6.68)</f>
        <v>6.68</v>
      </c>
      <c r="V986" s="48">
        <f>IFERROR(__xludf.DUMMYFUNCTION("""COMPUTED_VALUE"""),6.59)</f>
        <v>6.59</v>
      </c>
      <c r="W986" s="14">
        <f>IFERROR(__xludf.DUMMYFUNCTION("""COMPUTED_VALUE"""),6.634)</f>
        <v>6.634</v>
      </c>
      <c r="X986" s="14">
        <f>IFERROR(__xludf.DUMMYFUNCTION("""COMPUTED_VALUE"""),15.4)</f>
        <v>15.4</v>
      </c>
      <c r="Y986" s="14">
        <f>IFERROR(__xludf.DUMMYFUNCTION("""COMPUTED_VALUE"""),16.4)</f>
        <v>16.4</v>
      </c>
      <c r="Z986" s="14">
        <f>IFERROR(__xludf.DUMMYFUNCTION("""COMPUTED_VALUE"""),15.6)</f>
        <v>15.6</v>
      </c>
      <c r="AA986" s="14">
        <f>IFERROR(__xludf.DUMMYFUNCTION("""COMPUTED_VALUE"""),14.3)</f>
        <v>14.3</v>
      </c>
      <c r="AB986" s="14">
        <f>IFERROR(__xludf.DUMMYFUNCTION("""COMPUTED_VALUE"""),13.6)</f>
        <v>13.6</v>
      </c>
      <c r="AC986" s="14">
        <f>IFERROR(__xludf.DUMMYFUNCTION("""COMPUTED_VALUE"""),15.059999999999999)</f>
        <v>15.06</v>
      </c>
      <c r="AD986" s="48">
        <f>IFERROR(__xludf.DUMMYFUNCTION("""COMPUTED_VALUE"""),180.4)</f>
        <v>180.4</v>
      </c>
      <c r="AE986" s="48">
        <f>IFERROR(__xludf.DUMMYFUNCTION("""COMPUTED_VALUE"""),161.6)</f>
        <v>161.6</v>
      </c>
      <c r="AF986" s="48">
        <f>IFERROR(__xludf.DUMMYFUNCTION("""COMPUTED_VALUE"""),179.9)</f>
        <v>179.9</v>
      </c>
      <c r="AG986" s="48">
        <f>IFERROR(__xludf.DUMMYFUNCTION("""COMPUTED_VALUE"""),159.4)</f>
        <v>159.4</v>
      </c>
      <c r="AH986" s="48">
        <f>IFERROR(__xludf.DUMMYFUNCTION("""COMPUTED_VALUE"""),178.4)</f>
        <v>178.4</v>
      </c>
      <c r="AI986" s="14">
        <f>IFERROR(__xludf.DUMMYFUNCTION("""COMPUTED_VALUE"""),171.94)</f>
        <v>171.94</v>
      </c>
      <c r="AJ986" s="14">
        <f>IFERROR(__xludf.DUMMYFUNCTION("""COMPUTED_VALUE"""),4.25)</f>
        <v>4.25</v>
      </c>
      <c r="AK986" s="14">
        <f>IFERROR(__xludf.DUMMYFUNCTION("""COMPUTED_VALUE"""),5.76)</f>
        <v>5.76</v>
      </c>
      <c r="AL986" s="14">
        <f>IFERROR(__xludf.DUMMYFUNCTION("""COMPUTED_VALUE"""),4.81)</f>
        <v>4.81</v>
      </c>
      <c r="AM986" s="14">
        <f>IFERROR(__xludf.DUMMYFUNCTION("""COMPUTED_VALUE"""),4.46)</f>
        <v>4.46</v>
      </c>
      <c r="AN986" s="14">
        <f>IFERROR(__xludf.DUMMYFUNCTION("""COMPUTED_VALUE"""),4.52)</f>
        <v>4.52</v>
      </c>
      <c r="AO986" s="14">
        <f>IFERROR(__xludf.DUMMYFUNCTION("""COMPUTED_VALUE"""),4.76)</f>
        <v>4.76</v>
      </c>
      <c r="AP986" s="14">
        <f>IFERROR(__xludf.DUMMYFUNCTION("""COMPUTED_VALUE"""),12.0)</f>
        <v>12</v>
      </c>
      <c r="AQ986" s="14">
        <f>IFERROR(__xludf.DUMMYFUNCTION("""COMPUTED_VALUE"""),16.0)</f>
        <v>16</v>
      </c>
      <c r="AR986" s="14">
        <f>IFERROR(__xludf.DUMMYFUNCTION("""COMPUTED_VALUE"""),8.0)</f>
        <v>8</v>
      </c>
      <c r="AS986" s="14">
        <f>IFERROR(__xludf.DUMMYFUNCTION("""COMPUTED_VALUE"""),1.0)</f>
        <v>1</v>
      </c>
      <c r="AT986" s="14">
        <f>IFERROR(__xludf.DUMMYFUNCTION("""COMPUTED_VALUE"""),0.07)</f>
        <v>0.07</v>
      </c>
      <c r="AU986" s="14">
        <f>IFERROR(__xludf.DUMMYFUNCTION("""COMPUTED_VALUE"""),1.85E8)</f>
        <v>185000000</v>
      </c>
      <c r="AV986" s="14">
        <f>IFERROR(__xludf.DUMMYFUNCTION("""COMPUTED_VALUE"""),0.57)</f>
        <v>0.57</v>
      </c>
      <c r="AW986" s="14">
        <f>IFERROR(__xludf.DUMMYFUNCTION("""COMPUTED_VALUE"""),7.0)</f>
        <v>7</v>
      </c>
      <c r="AX986" s="14">
        <f>IFERROR(__xludf.DUMMYFUNCTION("""COMPUTED_VALUE"""),1.483E8)</f>
        <v>148300000</v>
      </c>
      <c r="AY986" s="14">
        <f>IFERROR(__xludf.DUMMYFUNCTION("""COMPUTED_VALUE"""),1.2)</f>
        <v>1.2</v>
      </c>
      <c r="AZ986" s="14">
        <f>IFERROR(__xludf.DUMMYFUNCTION("""COMPUTED_VALUE"""),0.055)</f>
        <v>0.055</v>
      </c>
      <c r="BA986" s="14">
        <f t="shared" si="1"/>
        <v>8.255</v>
      </c>
    </row>
    <row r="987" ht="14.25" customHeight="1">
      <c r="A987" s="10" t="str">
        <f>IFERROR(__xludf.DUMMYFUNCTION("""COMPUTED_VALUE"""),"051223DU01")</f>
        <v>051223DU01</v>
      </c>
      <c r="B987" s="12" t="str">
        <f>IFERROR(__xludf.DUMMYFUNCTION("""COMPUTED_VALUE"""),"QYO-Monte Blanco")</f>
        <v>QYO-Monte Blanco</v>
      </c>
      <c r="C987" s="12"/>
      <c r="D987" s="12"/>
      <c r="E987" s="44">
        <f>IFERROR(__xludf.DUMMYFUNCTION("""COMPUTED_VALUE"""),45265.0)</f>
        <v>45265</v>
      </c>
      <c r="F987" s="12" t="str">
        <f>IFERROR(__xludf.DUMMYFUNCTION("""COMPUTED_VALUE"""),"TIPO I")</f>
        <v>TIPO I</v>
      </c>
      <c r="G987" s="12" t="str">
        <f>IFERROR(__xludf.DUMMYFUNCTION("""COMPUTED_VALUE"""),"Canal natural con lecho rocoso, durante el monitoreo no se percibe olor, se observa color y residuos sólidos en los márgenes del cauce. ")</f>
        <v>Canal natural con lecho rocoso, durante el monitoreo no se percibe olor, se observa color y residuos sólidos en los márgenes del cauce. </v>
      </c>
      <c r="H987" s="45">
        <f>IFERROR(__xludf.DUMMYFUNCTION("""COMPUTED_VALUE"""),0.3333333333321207)</f>
        <v>0.3333333333</v>
      </c>
      <c r="I987" s="45">
        <f>IFERROR(__xludf.DUMMYFUNCTION("""COMPUTED_VALUE"""),0.4166666666678793)</f>
        <v>0.4166666667</v>
      </c>
      <c r="J987" s="12">
        <f>IFERROR(__xludf.DUMMYFUNCTION("""COMPUTED_VALUE"""),3.7)</f>
        <v>3.7</v>
      </c>
      <c r="K987" s="12">
        <f>IFERROR(__xludf.DUMMYFUNCTION("""COMPUTED_VALUE"""),0.8)</f>
        <v>0.8</v>
      </c>
      <c r="L987" s="14">
        <f>IFERROR(__xludf.DUMMYFUNCTION("""COMPUTED_VALUE"""),240.422)</f>
        <v>240.422</v>
      </c>
      <c r="M987" s="14">
        <f>IFERROR(__xludf.DUMMYFUNCTION("""COMPUTED_VALUE"""),241.032)</f>
        <v>241.032</v>
      </c>
      <c r="N987" s="14">
        <f>IFERROR(__xludf.DUMMYFUNCTION("""COMPUTED_VALUE"""),240.814)</f>
        <v>240.814</v>
      </c>
      <c r="O987" s="14">
        <f>IFERROR(__xludf.DUMMYFUNCTION("""COMPUTED_VALUE"""),241.255)</f>
        <v>241.255</v>
      </c>
      <c r="P987" s="14">
        <f>IFERROR(__xludf.DUMMYFUNCTION("""COMPUTED_VALUE"""),243.54)</f>
        <v>243.54</v>
      </c>
      <c r="Q987" s="14">
        <f>IFERROR(__xludf.DUMMYFUNCTION("""COMPUTED_VALUE"""),241.413)</f>
        <v>241.413</v>
      </c>
      <c r="R987" s="48">
        <f>IFERROR(__xludf.DUMMYFUNCTION("""COMPUTED_VALUE"""),7.37)</f>
        <v>7.37</v>
      </c>
      <c r="S987" s="48">
        <f>IFERROR(__xludf.DUMMYFUNCTION("""COMPUTED_VALUE"""),7.46)</f>
        <v>7.46</v>
      </c>
      <c r="T987" s="48">
        <f>IFERROR(__xludf.DUMMYFUNCTION("""COMPUTED_VALUE"""),7.11)</f>
        <v>7.11</v>
      </c>
      <c r="U987" s="48">
        <f>IFERROR(__xludf.DUMMYFUNCTION("""COMPUTED_VALUE"""),7.13)</f>
        <v>7.13</v>
      </c>
      <c r="V987" s="48">
        <f>IFERROR(__xludf.DUMMYFUNCTION("""COMPUTED_VALUE"""),7.08)</f>
        <v>7.08</v>
      </c>
      <c r="W987" s="14">
        <f>IFERROR(__xludf.DUMMYFUNCTION("""COMPUTED_VALUE"""),7.2299999999999995)</f>
        <v>7.23</v>
      </c>
      <c r="X987" s="14">
        <f>IFERROR(__xludf.DUMMYFUNCTION("""COMPUTED_VALUE"""),14.0)</f>
        <v>14</v>
      </c>
      <c r="Y987" s="14">
        <f>IFERROR(__xludf.DUMMYFUNCTION("""COMPUTED_VALUE"""),14.6)</f>
        <v>14.6</v>
      </c>
      <c r="Z987" s="14">
        <f>IFERROR(__xludf.DUMMYFUNCTION("""COMPUTED_VALUE"""),13.8)</f>
        <v>13.8</v>
      </c>
      <c r="AA987" s="14">
        <f>IFERROR(__xludf.DUMMYFUNCTION("""COMPUTED_VALUE"""),14.2)</f>
        <v>14.2</v>
      </c>
      <c r="AB987" s="14">
        <f>IFERROR(__xludf.DUMMYFUNCTION("""COMPUTED_VALUE"""),14.4)</f>
        <v>14.4</v>
      </c>
      <c r="AC987" s="14">
        <f>IFERROR(__xludf.DUMMYFUNCTION("""COMPUTED_VALUE"""),14.200000000000003)</f>
        <v>14.2</v>
      </c>
      <c r="AD987" s="48">
        <f>IFERROR(__xludf.DUMMYFUNCTION("""COMPUTED_VALUE"""),345.0)</f>
        <v>345</v>
      </c>
      <c r="AE987" s="48">
        <f>IFERROR(__xludf.DUMMYFUNCTION("""COMPUTED_VALUE"""),350.0)</f>
        <v>350</v>
      </c>
      <c r="AF987" s="48">
        <f>IFERROR(__xludf.DUMMYFUNCTION("""COMPUTED_VALUE"""),348.0)</f>
        <v>348</v>
      </c>
      <c r="AG987" s="48">
        <f>IFERROR(__xludf.DUMMYFUNCTION("""COMPUTED_VALUE"""),358.0)</f>
        <v>358</v>
      </c>
      <c r="AH987" s="48">
        <f>IFERROR(__xludf.DUMMYFUNCTION("""COMPUTED_VALUE"""),363.0)</f>
        <v>363</v>
      </c>
      <c r="AI987" s="14">
        <f>IFERROR(__xludf.DUMMYFUNCTION("""COMPUTED_VALUE"""),352.8)</f>
        <v>352.8</v>
      </c>
      <c r="AJ987" s="14">
        <f>IFERROR(__xludf.DUMMYFUNCTION("""COMPUTED_VALUE"""),2.01)</f>
        <v>2.01</v>
      </c>
      <c r="AK987" s="14">
        <f>IFERROR(__xludf.DUMMYFUNCTION("""COMPUTED_VALUE"""),1.96)</f>
        <v>1.96</v>
      </c>
      <c r="AL987" s="14">
        <f>IFERROR(__xludf.DUMMYFUNCTION("""COMPUTED_VALUE"""),1.83)</f>
        <v>1.83</v>
      </c>
      <c r="AM987" s="14">
        <f>IFERROR(__xludf.DUMMYFUNCTION("""COMPUTED_VALUE"""),1.79)</f>
        <v>1.79</v>
      </c>
      <c r="AN987" s="14">
        <f>IFERROR(__xludf.DUMMYFUNCTION("""COMPUTED_VALUE"""),1.51)</f>
        <v>1.51</v>
      </c>
      <c r="AO987" s="14">
        <f>IFERROR(__xludf.DUMMYFUNCTION("""COMPUTED_VALUE"""),1.8199999999999998)</f>
        <v>1.82</v>
      </c>
      <c r="AP987" s="14">
        <f>IFERROR(__xludf.DUMMYFUNCTION("""COMPUTED_VALUE"""),17.0)</f>
        <v>17</v>
      </c>
      <c r="AQ987" s="14">
        <f>IFERROR(__xludf.DUMMYFUNCTION("""COMPUTED_VALUE"""),26.0)</f>
        <v>26</v>
      </c>
      <c r="AR987" s="14">
        <f>IFERROR(__xludf.DUMMYFUNCTION("""COMPUTED_VALUE"""),21.0)</f>
        <v>21</v>
      </c>
      <c r="AS987" s="14">
        <f>IFERROR(__xludf.DUMMYFUNCTION("""COMPUTED_VALUE"""),1.0)</f>
        <v>1</v>
      </c>
      <c r="AT987" s="14">
        <f>IFERROR(__xludf.DUMMYFUNCTION("""COMPUTED_VALUE"""),0.07)</f>
        <v>0.07</v>
      </c>
      <c r="AU987" s="14">
        <f>IFERROR(__xludf.DUMMYFUNCTION("""COMPUTED_VALUE"""),1063000.0)</f>
        <v>1063000</v>
      </c>
      <c r="AV987" s="14">
        <f>IFERROR(__xludf.DUMMYFUNCTION("""COMPUTED_VALUE"""),1.44)</f>
        <v>1.44</v>
      </c>
      <c r="AW987" s="14">
        <f>IFERROR(__xludf.DUMMYFUNCTION("""COMPUTED_VALUE"""),14.6)</f>
        <v>14.6</v>
      </c>
      <c r="AX987" s="14">
        <f>IFERROR(__xludf.DUMMYFUNCTION("""COMPUTED_VALUE"""),878000.0)</f>
        <v>878000</v>
      </c>
      <c r="AY987" s="14">
        <f>IFERROR(__xludf.DUMMYFUNCTION("""COMPUTED_VALUE"""),0.3)</f>
        <v>0.3</v>
      </c>
      <c r="AZ987" s="14">
        <f>IFERROR(__xludf.DUMMYFUNCTION("""COMPUTED_VALUE"""),0.007)</f>
        <v>0.007</v>
      </c>
      <c r="BA987" s="14">
        <f t="shared" si="1"/>
        <v>14.907</v>
      </c>
    </row>
    <row r="988" ht="14.25" customHeight="1">
      <c r="A988" s="10" t="str">
        <f>IFERROR(__xludf.DUMMYFUNCTION("""COMPUTED_VALUE"""),"051223DU02")</f>
        <v>051223DU02</v>
      </c>
      <c r="B988" s="12" t="str">
        <f>IFERROR(__xludf.DUMMYFUNCTION("""COMPUTED_VALUE"""),"QLI-El Satélite")</f>
        <v>QLI-El Satélite</v>
      </c>
      <c r="C988" s="12"/>
      <c r="D988" s="12"/>
      <c r="E988" s="44">
        <f>IFERROR(__xludf.DUMMYFUNCTION("""COMPUTED_VALUE"""),45265.0)</f>
        <v>45265</v>
      </c>
      <c r="F988" s="12" t="str">
        <f>IFERROR(__xludf.DUMMYFUNCTION("""COMPUTED_VALUE"""),"TIPO I")</f>
        <v>TIPO I</v>
      </c>
      <c r="G988" s="12" t="str">
        <f>IFERROR(__xludf.DUMMYFUNCTION("""COMPUTED_VALUE"""),"Canal natural con lecho fangoso, durante el monitoreo se observa color, no se percibe olor. ")</f>
        <v>Canal natural con lecho fangoso, durante el monitoreo se observa color, no se percibe olor. </v>
      </c>
      <c r="H988" s="45">
        <f>IFERROR(__xludf.DUMMYFUNCTION("""COMPUTED_VALUE"""),0.5)</f>
        <v>0.5</v>
      </c>
      <c r="I988" s="45">
        <f>IFERROR(__xludf.DUMMYFUNCTION("""COMPUTED_VALUE"""),0.5833333333321207)</f>
        <v>0.5833333333</v>
      </c>
      <c r="J988" s="12">
        <f>IFERROR(__xludf.DUMMYFUNCTION("""COMPUTED_VALUE"""),2.2)</f>
        <v>2.2</v>
      </c>
      <c r="K988" s="12">
        <f>IFERROR(__xludf.DUMMYFUNCTION("""COMPUTED_VALUE"""),0.27)</f>
        <v>0.27</v>
      </c>
      <c r="L988" s="14">
        <f>IFERROR(__xludf.DUMMYFUNCTION("""COMPUTED_VALUE"""),104.993)</f>
        <v>104.993</v>
      </c>
      <c r="M988" s="14">
        <f>IFERROR(__xludf.DUMMYFUNCTION("""COMPUTED_VALUE"""),105.289)</f>
        <v>105.289</v>
      </c>
      <c r="N988" s="14">
        <f>IFERROR(__xludf.DUMMYFUNCTION("""COMPUTED_VALUE"""),105.628)</f>
        <v>105.628</v>
      </c>
      <c r="O988" s="14">
        <f>IFERROR(__xludf.DUMMYFUNCTION("""COMPUTED_VALUE"""),105.704)</f>
        <v>105.704</v>
      </c>
      <c r="P988" s="14">
        <f>IFERROR(__xludf.DUMMYFUNCTION("""COMPUTED_VALUE"""),105.796)</f>
        <v>105.796</v>
      </c>
      <c r="Q988" s="14">
        <f>IFERROR(__xludf.DUMMYFUNCTION("""COMPUTED_VALUE"""),105.482)</f>
        <v>105.482</v>
      </c>
      <c r="R988" s="48">
        <f>IFERROR(__xludf.DUMMYFUNCTION("""COMPUTED_VALUE"""),7.36)</f>
        <v>7.36</v>
      </c>
      <c r="S988" s="48">
        <f>IFERROR(__xludf.DUMMYFUNCTION("""COMPUTED_VALUE"""),7.23)</f>
        <v>7.23</v>
      </c>
      <c r="T988" s="48">
        <f>IFERROR(__xludf.DUMMYFUNCTION("""COMPUTED_VALUE"""),7.19)</f>
        <v>7.19</v>
      </c>
      <c r="U988" s="48">
        <f>IFERROR(__xludf.DUMMYFUNCTION("""COMPUTED_VALUE"""),7.17)</f>
        <v>7.17</v>
      </c>
      <c r="V988" s="48">
        <f>IFERROR(__xludf.DUMMYFUNCTION("""COMPUTED_VALUE"""),7.16)</f>
        <v>7.16</v>
      </c>
      <c r="W988" s="14">
        <f>IFERROR(__xludf.DUMMYFUNCTION("""COMPUTED_VALUE"""),7.2219999999999995)</f>
        <v>7.222</v>
      </c>
      <c r="X988" s="14">
        <f>IFERROR(__xludf.DUMMYFUNCTION("""COMPUTED_VALUE"""),18.0)</f>
        <v>18</v>
      </c>
      <c r="Y988" s="14">
        <f>IFERROR(__xludf.DUMMYFUNCTION("""COMPUTED_VALUE"""),18.0)</f>
        <v>18</v>
      </c>
      <c r="Z988" s="14">
        <f>IFERROR(__xludf.DUMMYFUNCTION("""COMPUTED_VALUE"""),17.4)</f>
        <v>17.4</v>
      </c>
      <c r="AA988" s="14">
        <f>IFERROR(__xludf.DUMMYFUNCTION("""COMPUTED_VALUE"""),17.7)</f>
        <v>17.7</v>
      </c>
      <c r="AB988" s="14">
        <f>IFERROR(__xludf.DUMMYFUNCTION("""COMPUTED_VALUE"""),17.7)</f>
        <v>17.7</v>
      </c>
      <c r="AC988" s="14">
        <f>IFERROR(__xludf.DUMMYFUNCTION("""COMPUTED_VALUE"""),17.759999999999998)</f>
        <v>17.76</v>
      </c>
      <c r="AD988" s="48">
        <f>IFERROR(__xludf.DUMMYFUNCTION("""COMPUTED_VALUE"""),744.0)</f>
        <v>744</v>
      </c>
      <c r="AE988" s="48">
        <f>IFERROR(__xludf.DUMMYFUNCTION("""COMPUTED_VALUE"""),746.0)</f>
        <v>746</v>
      </c>
      <c r="AF988" s="48">
        <f>IFERROR(__xludf.DUMMYFUNCTION("""COMPUTED_VALUE"""),742.0)</f>
        <v>742</v>
      </c>
      <c r="AG988" s="48">
        <f>IFERROR(__xludf.DUMMYFUNCTION("""COMPUTED_VALUE"""),750.0)</f>
        <v>750</v>
      </c>
      <c r="AH988" s="48">
        <f>IFERROR(__xludf.DUMMYFUNCTION("""COMPUTED_VALUE"""),739.0)</f>
        <v>739</v>
      </c>
      <c r="AI988" s="14">
        <f>IFERROR(__xludf.DUMMYFUNCTION("""COMPUTED_VALUE"""),744.2)</f>
        <v>744.2</v>
      </c>
      <c r="AJ988" s="14">
        <f>IFERROR(__xludf.DUMMYFUNCTION("""COMPUTED_VALUE"""),3.82)</f>
        <v>3.82</v>
      </c>
      <c r="AK988" s="14">
        <f>IFERROR(__xludf.DUMMYFUNCTION("""COMPUTED_VALUE"""),3.85)</f>
        <v>3.85</v>
      </c>
      <c r="AL988" s="14">
        <f>IFERROR(__xludf.DUMMYFUNCTION("""COMPUTED_VALUE"""),3.09)</f>
        <v>3.09</v>
      </c>
      <c r="AM988" s="14">
        <f>IFERROR(__xludf.DUMMYFUNCTION("""COMPUTED_VALUE"""),3.37)</f>
        <v>3.37</v>
      </c>
      <c r="AN988" s="14">
        <f>IFERROR(__xludf.DUMMYFUNCTION("""COMPUTED_VALUE"""),3.16)</f>
        <v>3.16</v>
      </c>
      <c r="AO988" s="14">
        <f>IFERROR(__xludf.DUMMYFUNCTION("""COMPUTED_VALUE"""),3.4579999999999997)</f>
        <v>3.458</v>
      </c>
      <c r="AP988" s="14">
        <f>IFERROR(__xludf.DUMMYFUNCTION("""COMPUTED_VALUE"""),163.0)</f>
        <v>163</v>
      </c>
      <c r="AQ988" s="14">
        <f>IFERROR(__xludf.DUMMYFUNCTION("""COMPUTED_VALUE"""),260.0)</f>
        <v>260</v>
      </c>
      <c r="AR988" s="14">
        <f>IFERROR(__xludf.DUMMYFUNCTION("""COMPUTED_VALUE"""),196.0)</f>
        <v>196</v>
      </c>
      <c r="AS988" s="14">
        <f>IFERROR(__xludf.DUMMYFUNCTION("""COMPUTED_VALUE"""),36.0)</f>
        <v>36</v>
      </c>
      <c r="AT988" s="14">
        <f>IFERROR(__xludf.DUMMYFUNCTION("""COMPUTED_VALUE"""),4.03)</f>
        <v>4.03</v>
      </c>
      <c r="AU988" s="14">
        <f>IFERROR(__xludf.DUMMYFUNCTION("""COMPUTED_VALUE"""),1.483E7)</f>
        <v>14830000</v>
      </c>
      <c r="AV988" s="14">
        <f>IFERROR(__xludf.DUMMYFUNCTION("""COMPUTED_VALUE"""),4.91)</f>
        <v>4.91</v>
      </c>
      <c r="AW988" s="14">
        <f>IFERROR(__xludf.DUMMYFUNCTION("""COMPUTED_VALUE"""),37.2)</f>
        <v>37.2</v>
      </c>
      <c r="AX988" s="14">
        <f>IFERROR(__xludf.DUMMYFUNCTION("""COMPUTED_VALUE"""),7890000.0)</f>
        <v>7890000</v>
      </c>
      <c r="AY988" s="14">
        <f>IFERROR(__xludf.DUMMYFUNCTION("""COMPUTED_VALUE"""),0.7)</f>
        <v>0.7</v>
      </c>
      <c r="AZ988" s="14">
        <f>IFERROR(__xludf.DUMMYFUNCTION("""COMPUTED_VALUE"""),0.007)</f>
        <v>0.007</v>
      </c>
      <c r="BA988" s="14">
        <f t="shared" si="1"/>
        <v>37.907</v>
      </c>
    </row>
    <row r="989" ht="14.25" customHeight="1">
      <c r="A989" s="10" t="str">
        <f>IFERROR(__xludf.DUMMYFUNCTION("""COMPUTED_VALUE"""),"061223FE01")</f>
        <v>061223FE01</v>
      </c>
      <c r="B989" s="12" t="str">
        <f>IFERROR(__xludf.DUMMYFUNCTION("""COMPUTED_VALUE"""),"QTR-Quiba")</f>
        <v>QTR-Quiba</v>
      </c>
      <c r="C989" s="12"/>
      <c r="D989" s="12"/>
      <c r="E989" s="44">
        <f>IFERROR(__xludf.DUMMYFUNCTION("""COMPUTED_VALUE"""),45266.0)</f>
        <v>45266</v>
      </c>
      <c r="F989" s="12" t="str">
        <f>IFERROR(__xludf.DUMMYFUNCTION("""COMPUTED_VALUE"""),"TIPO I")</f>
        <v>TIPO I</v>
      </c>
      <c r="G989" s="12" t="str">
        <f>IFERROR(__xludf.DUMMYFUNCTION("""COMPUTED_VALUE"""),"Canal natural, durante el monitoreo se percibe olor, se observa color, material flotante y residuos sólidos en las márgenes del canal.
Altitud: 2651 msnm. ")</f>
        <v>Canal natural, durante el monitoreo se percibe olor, se observa color, material flotante y residuos sólidos en las márgenes del canal.
Altitud: 2651 msnm. </v>
      </c>
      <c r="H989" s="45">
        <f>IFERROR(__xludf.DUMMYFUNCTION("""COMPUTED_VALUE"""),0.25)</f>
        <v>0.25</v>
      </c>
      <c r="I989" s="45">
        <f>IFERROR(__xludf.DUMMYFUNCTION("""COMPUTED_VALUE"""),0.3333333333321207)</f>
        <v>0.3333333333</v>
      </c>
      <c r="J989" s="12">
        <f>IFERROR(__xludf.DUMMYFUNCTION("""COMPUTED_VALUE"""),1.2)</f>
        <v>1.2</v>
      </c>
      <c r="K989" s="12">
        <f>IFERROR(__xludf.DUMMYFUNCTION("""COMPUTED_VALUE"""),0.07)</f>
        <v>0.07</v>
      </c>
      <c r="L989" s="14">
        <f>IFERROR(__xludf.DUMMYFUNCTION("""COMPUTED_VALUE"""),17.121)</f>
        <v>17.121</v>
      </c>
      <c r="M989" s="14">
        <f>IFERROR(__xludf.DUMMYFUNCTION("""COMPUTED_VALUE"""),17.166)</f>
        <v>17.166</v>
      </c>
      <c r="N989" s="14">
        <f>IFERROR(__xludf.DUMMYFUNCTION("""COMPUTED_VALUE"""),17.257)</f>
        <v>17.257</v>
      </c>
      <c r="O989" s="14">
        <f>IFERROR(__xludf.DUMMYFUNCTION("""COMPUTED_VALUE"""),17.411)</f>
        <v>17.411</v>
      </c>
      <c r="P989" s="14">
        <f>IFERROR(__xludf.DUMMYFUNCTION("""COMPUTED_VALUE"""),17.418)</f>
        <v>17.418</v>
      </c>
      <c r="Q989" s="14">
        <f>IFERROR(__xludf.DUMMYFUNCTION("""COMPUTED_VALUE"""),17.275)</f>
        <v>17.275</v>
      </c>
      <c r="R989" s="48">
        <f>IFERROR(__xludf.DUMMYFUNCTION("""COMPUTED_VALUE"""),7.48)</f>
        <v>7.48</v>
      </c>
      <c r="S989" s="48">
        <f>IFERROR(__xludf.DUMMYFUNCTION("""COMPUTED_VALUE"""),7.53)</f>
        <v>7.53</v>
      </c>
      <c r="T989" s="48">
        <f>IFERROR(__xludf.DUMMYFUNCTION("""COMPUTED_VALUE"""),7.54)</f>
        <v>7.54</v>
      </c>
      <c r="U989" s="48">
        <f>IFERROR(__xludf.DUMMYFUNCTION("""COMPUTED_VALUE"""),7.6)</f>
        <v>7.6</v>
      </c>
      <c r="V989" s="48">
        <f>IFERROR(__xludf.DUMMYFUNCTION("""COMPUTED_VALUE"""),7.67)</f>
        <v>7.67</v>
      </c>
      <c r="W989" s="14">
        <f>IFERROR(__xludf.DUMMYFUNCTION("""COMPUTED_VALUE"""),7.564)</f>
        <v>7.564</v>
      </c>
      <c r="X989" s="14">
        <f>IFERROR(__xludf.DUMMYFUNCTION("""COMPUTED_VALUE"""),13.3)</f>
        <v>13.3</v>
      </c>
      <c r="Y989" s="14">
        <f>IFERROR(__xludf.DUMMYFUNCTION("""COMPUTED_VALUE"""),13.4)</f>
        <v>13.4</v>
      </c>
      <c r="Z989" s="14">
        <f>IFERROR(__xludf.DUMMYFUNCTION("""COMPUTED_VALUE"""),13.4)</f>
        <v>13.4</v>
      </c>
      <c r="AA989" s="14">
        <f>IFERROR(__xludf.DUMMYFUNCTION("""COMPUTED_VALUE"""),13.3)</f>
        <v>13.3</v>
      </c>
      <c r="AB989" s="14">
        <f>IFERROR(__xludf.DUMMYFUNCTION("""COMPUTED_VALUE"""),13.3)</f>
        <v>13.3</v>
      </c>
      <c r="AC989" s="14">
        <f>IFERROR(__xludf.DUMMYFUNCTION("""COMPUTED_VALUE"""),13.34)</f>
        <v>13.34</v>
      </c>
      <c r="AD989" s="48">
        <f>IFERROR(__xludf.DUMMYFUNCTION("""COMPUTED_VALUE"""),394.0)</f>
        <v>394</v>
      </c>
      <c r="AE989" s="48">
        <f>IFERROR(__xludf.DUMMYFUNCTION("""COMPUTED_VALUE"""),437.0)</f>
        <v>437</v>
      </c>
      <c r="AF989" s="48">
        <f>IFERROR(__xludf.DUMMYFUNCTION("""COMPUTED_VALUE"""),431.0)</f>
        <v>431</v>
      </c>
      <c r="AG989" s="48">
        <f>IFERROR(__xludf.DUMMYFUNCTION("""COMPUTED_VALUE"""),434.0)</f>
        <v>434</v>
      </c>
      <c r="AH989" s="48">
        <f>IFERROR(__xludf.DUMMYFUNCTION("""COMPUTED_VALUE"""),398.0)</f>
        <v>398</v>
      </c>
      <c r="AI989" s="14">
        <f>IFERROR(__xludf.DUMMYFUNCTION("""COMPUTED_VALUE"""),418.8)</f>
        <v>418.8</v>
      </c>
      <c r="AJ989" s="14">
        <f>IFERROR(__xludf.DUMMYFUNCTION("""COMPUTED_VALUE"""),3.56)</f>
        <v>3.56</v>
      </c>
      <c r="AK989" s="14">
        <f>IFERROR(__xludf.DUMMYFUNCTION("""COMPUTED_VALUE"""),3.34)</f>
        <v>3.34</v>
      </c>
      <c r="AL989" s="14">
        <f>IFERROR(__xludf.DUMMYFUNCTION("""COMPUTED_VALUE"""),3.45)</f>
        <v>3.45</v>
      </c>
      <c r="AM989" s="14">
        <f>IFERROR(__xludf.DUMMYFUNCTION("""COMPUTED_VALUE"""),4.65)</f>
        <v>4.65</v>
      </c>
      <c r="AN989" s="14">
        <f>IFERROR(__xludf.DUMMYFUNCTION("""COMPUTED_VALUE"""),5.3)</f>
        <v>5.3</v>
      </c>
      <c r="AO989" s="14">
        <f>IFERROR(__xludf.DUMMYFUNCTION("""COMPUTED_VALUE"""),4.0600000000000005)</f>
        <v>4.06</v>
      </c>
      <c r="AP989" s="14">
        <f>IFERROR(__xludf.DUMMYFUNCTION("""COMPUTED_VALUE"""),93.0)</f>
        <v>93</v>
      </c>
      <c r="AQ989" s="14">
        <f>IFERROR(__xludf.DUMMYFUNCTION("""COMPUTED_VALUE"""),136.0)</f>
        <v>136</v>
      </c>
      <c r="AR989" s="14">
        <f>IFERROR(__xludf.DUMMYFUNCTION("""COMPUTED_VALUE"""),108.0)</f>
        <v>108</v>
      </c>
      <c r="AS989" s="14">
        <f>IFERROR(__xludf.DUMMYFUNCTION("""COMPUTED_VALUE"""),85.0)</f>
        <v>85</v>
      </c>
      <c r="AT989" s="14">
        <f>IFERROR(__xludf.DUMMYFUNCTION("""COMPUTED_VALUE"""),0.16)</f>
        <v>0.16</v>
      </c>
      <c r="AU989" s="14">
        <f>IFERROR(__xludf.DUMMYFUNCTION("""COMPUTED_VALUE"""),1178000.0)</f>
        <v>1178000</v>
      </c>
      <c r="AV989" s="14">
        <f>IFERROR(__xludf.DUMMYFUNCTION("""COMPUTED_VALUE"""),1.61)</f>
        <v>1.61</v>
      </c>
      <c r="AW989" s="14">
        <f>IFERROR(__xludf.DUMMYFUNCTION("""COMPUTED_VALUE"""),19.3)</f>
        <v>19.3</v>
      </c>
      <c r="AX989" s="14">
        <f>IFERROR(__xludf.DUMMYFUNCTION("""COMPUTED_VALUE"""),554000.0)</f>
        <v>554000</v>
      </c>
      <c r="AY989" s="14">
        <f>IFERROR(__xludf.DUMMYFUNCTION("""COMPUTED_VALUE"""),0.4)</f>
        <v>0.4</v>
      </c>
      <c r="AZ989" s="14">
        <f>IFERROR(__xludf.DUMMYFUNCTION("""COMPUTED_VALUE"""),0.007)</f>
        <v>0.007</v>
      </c>
      <c r="BA989" s="14">
        <f t="shared" si="1"/>
        <v>19.707</v>
      </c>
    </row>
    <row r="990" ht="14.25" customHeight="1">
      <c r="A990" s="10" t="str">
        <f>IFERROR(__xludf.DUMMYFUNCTION("""COMPUTED_VALUE"""),"091223FE01")</f>
        <v>091223FE01</v>
      </c>
      <c r="B990" s="12" t="str">
        <f>IFERROR(__xludf.DUMMYFUNCTION("""COMPUTED_VALUE"""),"QZA-Quindío")</f>
        <v>QZA-Quindío</v>
      </c>
      <c r="C990" s="12"/>
      <c r="D990" s="12"/>
      <c r="E990" s="44">
        <f>IFERROR(__xludf.DUMMYFUNCTION("""COMPUTED_VALUE"""),45269.0)</f>
        <v>45269</v>
      </c>
      <c r="F990" s="12" t="str">
        <f>IFERROR(__xludf.DUMMYFUNCTION("""COMPUTED_VALUE"""),"TIPO I")</f>
        <v>TIPO I</v>
      </c>
      <c r="G990" s="12" t="str">
        <f>IFERROR(__xludf.DUMMYFUNCTION("""COMPUTED_VALUE"""),"Canal natural, durante el monitoreo no se observa color, no se percibe olor, se observan residuos sólidos en las márgenes del canal. 
Altitud: 2640 msnm. ")</f>
        <v>Canal natural, durante el monitoreo no se observa color, no se percibe olor, se observan residuos sólidos en las márgenes del canal. 
Altitud: 2640 msnm. </v>
      </c>
      <c r="H990" s="45">
        <f>IFERROR(__xludf.DUMMYFUNCTION("""COMPUTED_VALUE"""),0.25)</f>
        <v>0.25</v>
      </c>
      <c r="I990" s="45">
        <f>IFERROR(__xludf.DUMMYFUNCTION("""COMPUTED_VALUE"""),0.3333333333321207)</f>
        <v>0.3333333333</v>
      </c>
      <c r="J990" s="12">
        <f>IFERROR(__xludf.DUMMYFUNCTION("""COMPUTED_VALUE"""),1.4)</f>
        <v>1.4</v>
      </c>
      <c r="K990" s="12">
        <f>IFERROR(__xludf.DUMMYFUNCTION("""COMPUTED_VALUE"""),0.12)</f>
        <v>0.12</v>
      </c>
      <c r="L990" s="14">
        <f>IFERROR(__xludf.DUMMYFUNCTION("""COMPUTED_VALUE"""),18.245)</f>
        <v>18.245</v>
      </c>
      <c r="M990" s="14">
        <f>IFERROR(__xludf.DUMMYFUNCTION("""COMPUTED_VALUE"""),18.527)</f>
        <v>18.527</v>
      </c>
      <c r="N990" s="14">
        <f>IFERROR(__xludf.DUMMYFUNCTION("""COMPUTED_VALUE"""),19.324)</f>
        <v>19.324</v>
      </c>
      <c r="O990" s="14">
        <f>IFERROR(__xludf.DUMMYFUNCTION("""COMPUTED_VALUE"""),19.73)</f>
        <v>19.73</v>
      </c>
      <c r="P990" s="14">
        <f>IFERROR(__xludf.DUMMYFUNCTION("""COMPUTED_VALUE"""),20.347)</f>
        <v>20.347</v>
      </c>
      <c r="Q990" s="14">
        <f>IFERROR(__xludf.DUMMYFUNCTION("""COMPUTED_VALUE"""),19.234)</f>
        <v>19.234</v>
      </c>
      <c r="R990" s="48">
        <f>IFERROR(__xludf.DUMMYFUNCTION("""COMPUTED_VALUE"""),7.77)</f>
        <v>7.77</v>
      </c>
      <c r="S990" s="48">
        <f>IFERROR(__xludf.DUMMYFUNCTION("""COMPUTED_VALUE"""),6.26)</f>
        <v>6.26</v>
      </c>
      <c r="T990" s="48">
        <f>IFERROR(__xludf.DUMMYFUNCTION("""COMPUTED_VALUE"""),6.03)</f>
        <v>6.03</v>
      </c>
      <c r="U990" s="48">
        <f>IFERROR(__xludf.DUMMYFUNCTION("""COMPUTED_VALUE"""),6.7)</f>
        <v>6.7</v>
      </c>
      <c r="V990" s="48">
        <f>IFERROR(__xludf.DUMMYFUNCTION("""COMPUTED_VALUE"""),6.91)</f>
        <v>6.91</v>
      </c>
      <c r="W990" s="14">
        <f>IFERROR(__xludf.DUMMYFUNCTION("""COMPUTED_VALUE"""),6.734)</f>
        <v>6.734</v>
      </c>
      <c r="X990" s="14">
        <f>IFERROR(__xludf.DUMMYFUNCTION("""COMPUTED_VALUE"""),14.4)</f>
        <v>14.4</v>
      </c>
      <c r="Y990" s="14">
        <f>IFERROR(__xludf.DUMMYFUNCTION("""COMPUTED_VALUE"""),12.3)</f>
        <v>12.3</v>
      </c>
      <c r="Z990" s="14">
        <f>IFERROR(__xludf.DUMMYFUNCTION("""COMPUTED_VALUE"""),12.0)</f>
        <v>12</v>
      </c>
      <c r="AA990" s="14">
        <f>IFERROR(__xludf.DUMMYFUNCTION("""COMPUTED_VALUE"""),12.3)</f>
        <v>12.3</v>
      </c>
      <c r="AB990" s="14">
        <f>IFERROR(__xludf.DUMMYFUNCTION("""COMPUTED_VALUE"""),12.7)</f>
        <v>12.7</v>
      </c>
      <c r="AC990" s="14">
        <f>IFERROR(__xludf.DUMMYFUNCTION("""COMPUTED_VALUE"""),12.74)</f>
        <v>12.74</v>
      </c>
      <c r="AD990" s="48">
        <f>IFERROR(__xludf.DUMMYFUNCTION("""COMPUTED_VALUE"""),52.3)</f>
        <v>52.3</v>
      </c>
      <c r="AE990" s="48">
        <f>IFERROR(__xludf.DUMMYFUNCTION("""COMPUTED_VALUE"""),62.2)</f>
        <v>62.2</v>
      </c>
      <c r="AF990" s="48">
        <f>IFERROR(__xludf.DUMMYFUNCTION("""COMPUTED_VALUE"""),39.8)</f>
        <v>39.8</v>
      </c>
      <c r="AG990" s="48">
        <f>IFERROR(__xludf.DUMMYFUNCTION("""COMPUTED_VALUE"""),36.7)</f>
        <v>36.7</v>
      </c>
      <c r="AH990" s="48">
        <f>IFERROR(__xludf.DUMMYFUNCTION("""COMPUTED_VALUE"""),37.0)</f>
        <v>37</v>
      </c>
      <c r="AI990" s="14">
        <f>IFERROR(__xludf.DUMMYFUNCTION("""COMPUTED_VALUE"""),45.6)</f>
        <v>45.6</v>
      </c>
      <c r="AJ990" s="14">
        <f>IFERROR(__xludf.DUMMYFUNCTION("""COMPUTED_VALUE"""),5.05)</f>
        <v>5.05</v>
      </c>
      <c r="AK990" s="14">
        <f>IFERROR(__xludf.DUMMYFUNCTION("""COMPUTED_VALUE"""),5.75)</f>
        <v>5.75</v>
      </c>
      <c r="AL990" s="14">
        <f>IFERROR(__xludf.DUMMYFUNCTION("""COMPUTED_VALUE"""),5.6)</f>
        <v>5.6</v>
      </c>
      <c r="AM990" s="14">
        <f>IFERROR(__xludf.DUMMYFUNCTION("""COMPUTED_VALUE"""),5.34)</f>
        <v>5.34</v>
      </c>
      <c r="AN990" s="14">
        <f>IFERROR(__xludf.DUMMYFUNCTION("""COMPUTED_VALUE"""),5.43)</f>
        <v>5.43</v>
      </c>
      <c r="AO990" s="14">
        <f>IFERROR(__xludf.DUMMYFUNCTION("""COMPUTED_VALUE"""),5.433999999999999)</f>
        <v>5.434</v>
      </c>
      <c r="AP990" s="14">
        <f>IFERROR(__xludf.DUMMYFUNCTION("""COMPUTED_VALUE"""),3.0)</f>
        <v>3</v>
      </c>
      <c r="AQ990" s="14">
        <f>IFERROR(__xludf.DUMMYFUNCTION("""COMPUTED_VALUE"""),13.0)</f>
        <v>13</v>
      </c>
      <c r="AR990" s="14">
        <f>IFERROR(__xludf.DUMMYFUNCTION("""COMPUTED_VALUE"""),5.0)</f>
        <v>5</v>
      </c>
      <c r="AS990" s="14">
        <f>IFERROR(__xludf.DUMMYFUNCTION("""COMPUTED_VALUE"""),1.0)</f>
        <v>1</v>
      </c>
      <c r="AT990" s="14">
        <f>IFERROR(__xludf.DUMMYFUNCTION("""COMPUTED_VALUE"""),0.07)</f>
        <v>0.07</v>
      </c>
      <c r="AU990" s="14">
        <f>IFERROR(__xludf.DUMMYFUNCTION("""COMPUTED_VALUE"""),2.445E7)</f>
        <v>24450000</v>
      </c>
      <c r="AV990" s="14">
        <f>IFERROR(__xludf.DUMMYFUNCTION("""COMPUTED_VALUE"""),0.05)</f>
        <v>0.05</v>
      </c>
      <c r="AW990" s="14">
        <f>IFERROR(__xludf.DUMMYFUNCTION("""COMPUTED_VALUE"""),1.0)</f>
        <v>1</v>
      </c>
      <c r="AX990" s="14">
        <f>IFERROR(__xludf.DUMMYFUNCTION("""COMPUTED_VALUE"""),138200.0)</f>
        <v>138200</v>
      </c>
      <c r="AY990" s="14">
        <f>IFERROR(__xludf.DUMMYFUNCTION("""COMPUTED_VALUE"""),1.1)</f>
        <v>1.1</v>
      </c>
      <c r="AZ990" s="14">
        <f>IFERROR(__xludf.DUMMYFUNCTION("""COMPUTED_VALUE"""),0.007)</f>
        <v>0.007</v>
      </c>
      <c r="BA990" s="14">
        <f t="shared" si="1"/>
        <v>2.107</v>
      </c>
    </row>
    <row r="991" ht="14.25" customHeight="1">
      <c r="A991" s="10" t="str">
        <f>IFERROR(__xludf.DUMMYFUNCTION("""COMPUTED_VALUE"""),"111223FM01")</f>
        <v>111223FM01</v>
      </c>
      <c r="B991" s="12" t="str">
        <f>IFERROR(__xludf.DUMMYFUNCTION("""COMPUTED_VALUE"""),"QSL-Alfonso López")</f>
        <v>QSL-Alfonso López</v>
      </c>
      <c r="C991" s="12"/>
      <c r="D991" s="12"/>
      <c r="E991" s="44">
        <f>IFERROR(__xludf.DUMMYFUNCTION("""COMPUTED_VALUE"""),45271.0)</f>
        <v>45271</v>
      </c>
      <c r="F991" s="12" t="str">
        <f>IFERROR(__xludf.DUMMYFUNCTION("""COMPUTED_VALUE"""),"TIPO I")</f>
        <v>TIPO I</v>
      </c>
      <c r="G991" s="12" t="str">
        <f>IFERROR(__xludf.DUMMYFUNCTION("""COMPUTED_VALUE"""),"Canal natural, lecho rocoso, durante el monitoreo se percibe olor, se observa color y residuos sólidos dentro y fuera del cuerpo de agua. 
Altitud: 2772 msnm. ")</f>
        <v>Canal natural, lecho rocoso, durante el monitoreo se percibe olor, se observa color y residuos sólidos dentro y fuera del cuerpo de agua. 
Altitud: 2772 msnm. </v>
      </c>
      <c r="H991" s="45">
        <f>IFERROR(__xludf.DUMMYFUNCTION("""COMPUTED_VALUE"""),0.3333333333321207)</f>
        <v>0.3333333333</v>
      </c>
      <c r="I991" s="45">
        <f>IFERROR(__xludf.DUMMYFUNCTION("""COMPUTED_VALUE"""),0.4166666666678793)</f>
        <v>0.4166666667</v>
      </c>
      <c r="J991" s="12">
        <f>IFERROR(__xludf.DUMMYFUNCTION("""COMPUTED_VALUE"""),1.0)</f>
        <v>1</v>
      </c>
      <c r="K991" s="12">
        <f>IFERROR(__xludf.DUMMYFUNCTION("""COMPUTED_VALUE"""),0.1)</f>
        <v>0.1</v>
      </c>
      <c r="L991" s="14">
        <f>IFERROR(__xludf.DUMMYFUNCTION("""COMPUTED_VALUE"""),15.225)</f>
        <v>15.225</v>
      </c>
      <c r="M991" s="14">
        <f>IFERROR(__xludf.DUMMYFUNCTION("""COMPUTED_VALUE"""),14.732)</f>
        <v>14.732</v>
      </c>
      <c r="N991" s="14">
        <f>IFERROR(__xludf.DUMMYFUNCTION("""COMPUTED_VALUE"""),15.031)</f>
        <v>15.031</v>
      </c>
      <c r="O991" s="14">
        <f>IFERROR(__xludf.DUMMYFUNCTION("""COMPUTED_VALUE"""),15.647)</f>
        <v>15.647</v>
      </c>
      <c r="P991" s="14">
        <f>IFERROR(__xludf.DUMMYFUNCTION("""COMPUTED_VALUE"""),14.563)</f>
        <v>14.563</v>
      </c>
      <c r="Q991" s="14">
        <f>IFERROR(__xludf.DUMMYFUNCTION("""COMPUTED_VALUE"""),15.04)</f>
        <v>15.04</v>
      </c>
      <c r="R991" s="48">
        <f>IFERROR(__xludf.DUMMYFUNCTION("""COMPUTED_VALUE"""),7.16)</f>
        <v>7.16</v>
      </c>
      <c r="S991" s="48">
        <f>IFERROR(__xludf.DUMMYFUNCTION("""COMPUTED_VALUE"""),7.22)</f>
        <v>7.22</v>
      </c>
      <c r="T991" s="48">
        <f>IFERROR(__xludf.DUMMYFUNCTION("""COMPUTED_VALUE"""),7.36)</f>
        <v>7.36</v>
      </c>
      <c r="U991" s="48">
        <f>IFERROR(__xludf.DUMMYFUNCTION("""COMPUTED_VALUE"""),7.24)</f>
        <v>7.24</v>
      </c>
      <c r="V991" s="48">
        <f>IFERROR(__xludf.DUMMYFUNCTION("""COMPUTED_VALUE"""),7.27)</f>
        <v>7.27</v>
      </c>
      <c r="W991" s="14">
        <f>IFERROR(__xludf.DUMMYFUNCTION("""COMPUTED_VALUE"""),7.25)</f>
        <v>7.25</v>
      </c>
      <c r="X991" s="14">
        <f>IFERROR(__xludf.DUMMYFUNCTION("""COMPUTED_VALUE"""),13.6)</f>
        <v>13.6</v>
      </c>
      <c r="Y991" s="14">
        <f>IFERROR(__xludf.DUMMYFUNCTION("""COMPUTED_VALUE"""),13.8)</f>
        <v>13.8</v>
      </c>
      <c r="Z991" s="14">
        <f>IFERROR(__xludf.DUMMYFUNCTION("""COMPUTED_VALUE"""),14.0)</f>
        <v>14</v>
      </c>
      <c r="AA991" s="14">
        <f>IFERROR(__xludf.DUMMYFUNCTION("""COMPUTED_VALUE"""),13.7)</f>
        <v>13.7</v>
      </c>
      <c r="AB991" s="14">
        <f>IFERROR(__xludf.DUMMYFUNCTION("""COMPUTED_VALUE"""),13.7)</f>
        <v>13.7</v>
      </c>
      <c r="AC991" s="14">
        <f>IFERROR(__xludf.DUMMYFUNCTION("""COMPUTED_VALUE"""),13.76)</f>
        <v>13.76</v>
      </c>
      <c r="AD991" s="48">
        <f>IFERROR(__xludf.DUMMYFUNCTION("""COMPUTED_VALUE"""),283.0)</f>
        <v>283</v>
      </c>
      <c r="AE991" s="48">
        <f>IFERROR(__xludf.DUMMYFUNCTION("""COMPUTED_VALUE"""),270.0)</f>
        <v>270</v>
      </c>
      <c r="AF991" s="48">
        <f>IFERROR(__xludf.DUMMYFUNCTION("""COMPUTED_VALUE"""),269.0)</f>
        <v>269</v>
      </c>
      <c r="AG991" s="48">
        <f>IFERROR(__xludf.DUMMYFUNCTION("""COMPUTED_VALUE"""),264.0)</f>
        <v>264</v>
      </c>
      <c r="AH991" s="48">
        <f>IFERROR(__xludf.DUMMYFUNCTION("""COMPUTED_VALUE"""),267.0)</f>
        <v>267</v>
      </c>
      <c r="AI991" s="14">
        <f>IFERROR(__xludf.DUMMYFUNCTION("""COMPUTED_VALUE"""),270.6)</f>
        <v>270.6</v>
      </c>
      <c r="AJ991" s="14">
        <f>IFERROR(__xludf.DUMMYFUNCTION("""COMPUTED_VALUE"""),2.16)</f>
        <v>2.16</v>
      </c>
      <c r="AK991" s="14">
        <f>IFERROR(__xludf.DUMMYFUNCTION("""COMPUTED_VALUE"""),2.18)</f>
        <v>2.18</v>
      </c>
      <c r="AL991" s="14">
        <f>IFERROR(__xludf.DUMMYFUNCTION("""COMPUTED_VALUE"""),2.12)</f>
        <v>2.12</v>
      </c>
      <c r="AM991" s="14">
        <f>IFERROR(__xludf.DUMMYFUNCTION("""COMPUTED_VALUE"""),2.12)</f>
        <v>2.12</v>
      </c>
      <c r="AN991" s="14">
        <f>IFERROR(__xludf.DUMMYFUNCTION("""COMPUTED_VALUE"""),2.18)</f>
        <v>2.18</v>
      </c>
      <c r="AO991" s="14">
        <f>IFERROR(__xludf.DUMMYFUNCTION("""COMPUTED_VALUE"""),2.152)</f>
        <v>2.152</v>
      </c>
      <c r="AP991" s="14">
        <f>IFERROR(__xludf.DUMMYFUNCTION("""COMPUTED_VALUE"""),11.0)</f>
        <v>11</v>
      </c>
      <c r="AQ991" s="14">
        <f>IFERROR(__xludf.DUMMYFUNCTION("""COMPUTED_VALUE"""),24.0)</f>
        <v>24</v>
      </c>
      <c r="AR991" s="14">
        <f>IFERROR(__xludf.DUMMYFUNCTION("""COMPUTED_VALUE"""),47.0)</f>
        <v>47</v>
      </c>
      <c r="AS991" s="14">
        <f>IFERROR(__xludf.DUMMYFUNCTION("""COMPUTED_VALUE"""),1.0)</f>
        <v>1</v>
      </c>
      <c r="AT991" s="14">
        <f>IFERROR(__xludf.DUMMYFUNCTION("""COMPUTED_VALUE"""),0.3)</f>
        <v>0.3</v>
      </c>
      <c r="AU991" s="14">
        <f>IFERROR(__xludf.DUMMYFUNCTION("""COMPUTED_VALUE"""),6700.0)</f>
        <v>6700</v>
      </c>
      <c r="AV991" s="14">
        <f>IFERROR(__xludf.DUMMYFUNCTION("""COMPUTED_VALUE"""),0.18)</f>
        <v>0.18</v>
      </c>
      <c r="AW991" s="14">
        <f>IFERROR(__xludf.DUMMYFUNCTION("""COMPUTED_VALUE"""),1.0)</f>
        <v>1</v>
      </c>
      <c r="AX991" s="14">
        <f>IFERROR(__xludf.DUMMYFUNCTION("""COMPUTED_VALUE"""),12.0)</f>
        <v>12</v>
      </c>
      <c r="AY991" s="14">
        <f>IFERROR(__xludf.DUMMYFUNCTION("""COMPUTED_VALUE"""),5.4)</f>
        <v>5.4</v>
      </c>
      <c r="AZ991" s="14">
        <f>IFERROR(__xludf.DUMMYFUNCTION("""COMPUTED_VALUE"""),0.071)</f>
        <v>0.071</v>
      </c>
      <c r="BA991" s="14">
        <f t="shared" si="1"/>
        <v>6.471</v>
      </c>
    </row>
    <row r="992" ht="14.25" customHeight="1">
      <c r="A992" s="10" t="str">
        <f>IFERROR(__xludf.DUMMYFUNCTION("""COMPUTED_VALUE"""),"111223FM02")</f>
        <v>111223FM02</v>
      </c>
      <c r="B992" s="12" t="str">
        <f>IFERROR(__xludf.DUMMYFUNCTION("""COMPUTED_VALUE"""),"QSL-Barranquillita")</f>
        <v>QSL-Barranquillita</v>
      </c>
      <c r="C992" s="12"/>
      <c r="D992" s="12"/>
      <c r="E992" s="44">
        <f>IFERROR(__xludf.DUMMYFUNCTION("""COMPUTED_VALUE"""),45271.0)</f>
        <v>45271</v>
      </c>
      <c r="F992" s="12" t="str">
        <f>IFERROR(__xludf.DUMMYFUNCTION("""COMPUTED_VALUE"""),"TIPO I")</f>
        <v>TIPO I</v>
      </c>
      <c r="G992" s="12" t="str">
        <f>IFERROR(__xludf.DUMMYFUNCTION("""COMPUTED_VALUE"""),"Canal natural, rocoso arenoso, durante el monitoreo se observa color y se percibe olor. 
Altitud: 2644 msnm. ")</f>
        <v>Canal natural, rocoso arenoso, durante el monitoreo se observa color y se percibe olor. 
Altitud: 2644 msnm. </v>
      </c>
      <c r="H992" s="45">
        <f>IFERROR(__xludf.DUMMYFUNCTION("""COMPUTED_VALUE"""),0.5)</f>
        <v>0.5</v>
      </c>
      <c r="I992" s="45">
        <f>IFERROR(__xludf.DUMMYFUNCTION("""COMPUTED_VALUE"""),0.5833333333321207)</f>
        <v>0.5833333333</v>
      </c>
      <c r="J992" s="12">
        <f>IFERROR(__xludf.DUMMYFUNCTION("""COMPUTED_VALUE"""),2.0)</f>
        <v>2</v>
      </c>
      <c r="K992" s="12">
        <f>IFERROR(__xludf.DUMMYFUNCTION("""COMPUTED_VALUE"""),0.08)</f>
        <v>0.08</v>
      </c>
      <c r="L992" s="14">
        <f>IFERROR(__xludf.DUMMYFUNCTION("""COMPUTED_VALUE"""),30.91)</f>
        <v>30.91</v>
      </c>
      <c r="M992" s="14">
        <f>IFERROR(__xludf.DUMMYFUNCTION("""COMPUTED_VALUE"""),31.35)</f>
        <v>31.35</v>
      </c>
      <c r="N992" s="14">
        <f>IFERROR(__xludf.DUMMYFUNCTION("""COMPUTED_VALUE"""),31.588)</f>
        <v>31.588</v>
      </c>
      <c r="O992" s="14">
        <f>IFERROR(__xludf.DUMMYFUNCTION("""COMPUTED_VALUE"""),31.699)</f>
        <v>31.699</v>
      </c>
      <c r="P992" s="14">
        <f>IFERROR(__xludf.DUMMYFUNCTION("""COMPUTED_VALUE"""),32.305)</f>
        <v>32.305</v>
      </c>
      <c r="Q992" s="14">
        <f>IFERROR(__xludf.DUMMYFUNCTION("""COMPUTED_VALUE"""),31.57)</f>
        <v>31.57</v>
      </c>
      <c r="R992" s="48">
        <f>IFERROR(__xludf.DUMMYFUNCTION("""COMPUTED_VALUE"""),7.35)</f>
        <v>7.35</v>
      </c>
      <c r="S992" s="48">
        <f>IFERROR(__xludf.DUMMYFUNCTION("""COMPUTED_VALUE"""),7.26)</f>
        <v>7.26</v>
      </c>
      <c r="T992" s="48">
        <f>IFERROR(__xludf.DUMMYFUNCTION("""COMPUTED_VALUE"""),7.03)</f>
        <v>7.03</v>
      </c>
      <c r="U992" s="48">
        <f>IFERROR(__xludf.DUMMYFUNCTION("""COMPUTED_VALUE"""),7.32)</f>
        <v>7.32</v>
      </c>
      <c r="V992" s="48">
        <f>IFERROR(__xludf.DUMMYFUNCTION("""COMPUTED_VALUE"""),7.23)</f>
        <v>7.23</v>
      </c>
      <c r="W992" s="14">
        <f>IFERROR(__xludf.DUMMYFUNCTION("""COMPUTED_VALUE"""),7.2379999999999995)</f>
        <v>7.238</v>
      </c>
      <c r="X992" s="14">
        <f>IFERROR(__xludf.DUMMYFUNCTION("""COMPUTED_VALUE"""),16.5)</f>
        <v>16.5</v>
      </c>
      <c r="Y992" s="14">
        <f>IFERROR(__xludf.DUMMYFUNCTION("""COMPUTED_VALUE"""),17.4)</f>
        <v>17.4</v>
      </c>
      <c r="Z992" s="14">
        <f>IFERROR(__xludf.DUMMYFUNCTION("""COMPUTED_VALUE"""),16.9)</f>
        <v>16.9</v>
      </c>
      <c r="AA992" s="14">
        <f>IFERROR(__xludf.DUMMYFUNCTION("""COMPUTED_VALUE"""),17.0)</f>
        <v>17</v>
      </c>
      <c r="AB992" s="14">
        <f>IFERROR(__xludf.DUMMYFUNCTION("""COMPUTED_VALUE"""),17.2)</f>
        <v>17.2</v>
      </c>
      <c r="AC992" s="14">
        <f>IFERROR(__xludf.DUMMYFUNCTION("""COMPUTED_VALUE"""),17.0)</f>
        <v>17</v>
      </c>
      <c r="AD992" s="48">
        <f>IFERROR(__xludf.DUMMYFUNCTION("""COMPUTED_VALUE"""),498.0)</f>
        <v>498</v>
      </c>
      <c r="AE992" s="48">
        <f>IFERROR(__xludf.DUMMYFUNCTION("""COMPUTED_VALUE"""),493.0)</f>
        <v>493</v>
      </c>
      <c r="AF992" s="48">
        <f>IFERROR(__xludf.DUMMYFUNCTION("""COMPUTED_VALUE"""),515.0)</f>
        <v>515</v>
      </c>
      <c r="AG992" s="48">
        <f>IFERROR(__xludf.DUMMYFUNCTION("""COMPUTED_VALUE"""),485.0)</f>
        <v>485</v>
      </c>
      <c r="AH992" s="48">
        <f>IFERROR(__xludf.DUMMYFUNCTION("""COMPUTED_VALUE"""),506.0)</f>
        <v>506</v>
      </c>
      <c r="AI992" s="14">
        <f>IFERROR(__xludf.DUMMYFUNCTION("""COMPUTED_VALUE"""),499.4)</f>
        <v>499.4</v>
      </c>
      <c r="AJ992" s="14">
        <f>IFERROR(__xludf.DUMMYFUNCTION("""COMPUTED_VALUE"""),3.09)</f>
        <v>3.09</v>
      </c>
      <c r="AK992" s="14">
        <f>IFERROR(__xludf.DUMMYFUNCTION("""COMPUTED_VALUE"""),3.22)</f>
        <v>3.22</v>
      </c>
      <c r="AL992" s="14">
        <f>IFERROR(__xludf.DUMMYFUNCTION("""COMPUTED_VALUE"""),2.43)</f>
        <v>2.43</v>
      </c>
      <c r="AM992" s="14">
        <f>IFERROR(__xludf.DUMMYFUNCTION("""COMPUTED_VALUE"""),2.27)</f>
        <v>2.27</v>
      </c>
      <c r="AN992" s="14">
        <f>IFERROR(__xludf.DUMMYFUNCTION("""COMPUTED_VALUE"""),2.17)</f>
        <v>2.17</v>
      </c>
      <c r="AO992" s="14">
        <f>IFERROR(__xludf.DUMMYFUNCTION("""COMPUTED_VALUE"""),2.636)</f>
        <v>2.636</v>
      </c>
      <c r="AP992" s="14">
        <f>IFERROR(__xludf.DUMMYFUNCTION("""COMPUTED_VALUE"""),96.0)</f>
        <v>96</v>
      </c>
      <c r="AQ992" s="14">
        <f>IFERROR(__xludf.DUMMYFUNCTION("""COMPUTED_VALUE"""),192.0)</f>
        <v>192</v>
      </c>
      <c r="AR992" s="14">
        <f>IFERROR(__xludf.DUMMYFUNCTION("""COMPUTED_VALUE"""),30.0)</f>
        <v>30</v>
      </c>
      <c r="AS992" s="14">
        <f>IFERROR(__xludf.DUMMYFUNCTION("""COMPUTED_VALUE"""),23.0)</f>
        <v>23</v>
      </c>
      <c r="AT992" s="14">
        <f>IFERROR(__xludf.DUMMYFUNCTION("""COMPUTED_VALUE"""),1.38)</f>
        <v>1.38</v>
      </c>
      <c r="AU992" s="14">
        <f>IFERROR(__xludf.DUMMYFUNCTION("""COMPUTED_VALUE"""),7800000.0)</f>
        <v>7800000</v>
      </c>
      <c r="AV992" s="14">
        <f>IFERROR(__xludf.DUMMYFUNCTION("""COMPUTED_VALUE"""),2.01)</f>
        <v>2.01</v>
      </c>
      <c r="AW992" s="14">
        <f>IFERROR(__xludf.DUMMYFUNCTION("""COMPUTED_VALUE"""),20.4)</f>
        <v>20.4</v>
      </c>
      <c r="AX992" s="14">
        <f>IFERROR(__xludf.DUMMYFUNCTION("""COMPUTED_VALUE"""),5630000.0)</f>
        <v>5630000</v>
      </c>
      <c r="AY992" s="14">
        <f>IFERROR(__xludf.DUMMYFUNCTION("""COMPUTED_VALUE"""),0.4)</f>
        <v>0.4</v>
      </c>
      <c r="AZ992" s="14">
        <f>IFERROR(__xludf.DUMMYFUNCTION("""COMPUTED_VALUE"""),0.007)</f>
        <v>0.007</v>
      </c>
      <c r="BA992" s="14">
        <f t="shared" si="1"/>
        <v>20.807</v>
      </c>
    </row>
    <row r="993" ht="14.25" customHeight="1">
      <c r="A993" s="10" t="str">
        <f>IFERROR(__xludf.DUMMYFUNCTION("""COMPUTED_VALUE"""),"121223HA01")</f>
        <v>121223HA01</v>
      </c>
      <c r="B993" s="12" t="str">
        <f>IFERROR(__xludf.DUMMYFUNCTION("""COMPUTED_VALUE"""),"CMO-Alhambra")</f>
        <v>CMO-Alhambra</v>
      </c>
      <c r="C993" s="12"/>
      <c r="D993" s="12"/>
      <c r="E993" s="44">
        <f>IFERROR(__xludf.DUMMYFUNCTION("""COMPUTED_VALUE"""),45272.0)</f>
        <v>45272</v>
      </c>
      <c r="F993" s="12" t="str">
        <f>IFERROR(__xludf.DUMMYFUNCTION("""COMPUTED_VALUE"""),"TIPO I")</f>
        <v>TIPO I</v>
      </c>
      <c r="G993" s="12" t="str">
        <f>IFERROR(__xludf.DUMMYFUNCTION("""COMPUTED_VALUE"""),"Estructura del canal en concreto con lecho lodoso rocoso, durante el monitoreo se observa color y se percibe olor. 
Altitud: 2550 msnm.  ")</f>
        <v>Estructura del canal en concreto con lecho lodoso rocoso, durante el monitoreo se observa color y se percibe olor. 
Altitud: 2550 msnm.  </v>
      </c>
      <c r="H993" s="45">
        <f>IFERROR(__xludf.DUMMYFUNCTION("""COMPUTED_VALUE"""),0.25)</f>
        <v>0.25</v>
      </c>
      <c r="I993" s="45">
        <f>IFERROR(__xludf.DUMMYFUNCTION("""COMPUTED_VALUE"""),0.3333333333321207)</f>
        <v>0.3333333333</v>
      </c>
      <c r="J993" s="12">
        <f>IFERROR(__xludf.DUMMYFUNCTION("""COMPUTED_VALUE"""),6.0)</f>
        <v>6</v>
      </c>
      <c r="K993" s="12">
        <f>IFERROR(__xludf.DUMMYFUNCTION("""COMPUTED_VALUE"""),0.18)</f>
        <v>0.18</v>
      </c>
      <c r="L993" s="14">
        <f>IFERROR(__xludf.DUMMYFUNCTION("""COMPUTED_VALUE"""),94.355)</f>
        <v>94.355</v>
      </c>
      <c r="M993" s="14">
        <f>IFERROR(__xludf.DUMMYFUNCTION("""COMPUTED_VALUE"""),95.451)</f>
        <v>95.451</v>
      </c>
      <c r="N993" s="14">
        <f>IFERROR(__xludf.DUMMYFUNCTION("""COMPUTED_VALUE"""),97.442)</f>
        <v>97.442</v>
      </c>
      <c r="O993" s="14">
        <f>IFERROR(__xludf.DUMMYFUNCTION("""COMPUTED_VALUE"""),98.222)</f>
        <v>98.222</v>
      </c>
      <c r="P993" s="14">
        <f>IFERROR(__xludf.DUMMYFUNCTION("""COMPUTED_VALUE"""),105.794)</f>
        <v>105.794</v>
      </c>
      <c r="Q993" s="14">
        <f>IFERROR(__xludf.DUMMYFUNCTION("""COMPUTED_VALUE"""),98.253)</f>
        <v>98.253</v>
      </c>
      <c r="R993" s="48">
        <f>IFERROR(__xludf.DUMMYFUNCTION("""COMPUTED_VALUE"""),6.78)</f>
        <v>6.78</v>
      </c>
      <c r="S993" s="48">
        <f>IFERROR(__xludf.DUMMYFUNCTION("""COMPUTED_VALUE"""),6.82)</f>
        <v>6.82</v>
      </c>
      <c r="T993" s="48">
        <f>IFERROR(__xludf.DUMMYFUNCTION("""COMPUTED_VALUE"""),6.71)</f>
        <v>6.71</v>
      </c>
      <c r="U993" s="48">
        <f>IFERROR(__xludf.DUMMYFUNCTION("""COMPUTED_VALUE"""),6.94)</f>
        <v>6.94</v>
      </c>
      <c r="V993" s="48">
        <f>IFERROR(__xludf.DUMMYFUNCTION("""COMPUTED_VALUE"""),6.89)</f>
        <v>6.89</v>
      </c>
      <c r="W993" s="14">
        <f>IFERROR(__xludf.DUMMYFUNCTION("""COMPUTED_VALUE"""),6.828)</f>
        <v>6.828</v>
      </c>
      <c r="X993" s="14">
        <f>IFERROR(__xludf.DUMMYFUNCTION("""COMPUTED_VALUE"""),14.2)</f>
        <v>14.2</v>
      </c>
      <c r="Y993" s="14">
        <f>IFERROR(__xludf.DUMMYFUNCTION("""COMPUTED_VALUE"""),15.4)</f>
        <v>15.4</v>
      </c>
      <c r="Z993" s="14">
        <f>IFERROR(__xludf.DUMMYFUNCTION("""COMPUTED_VALUE"""),15.4)</f>
        <v>15.4</v>
      </c>
      <c r="AA993" s="14">
        <f>IFERROR(__xludf.DUMMYFUNCTION("""COMPUTED_VALUE"""),16.0)</f>
        <v>16</v>
      </c>
      <c r="AB993" s="14">
        <f>IFERROR(__xludf.DUMMYFUNCTION("""COMPUTED_VALUE"""),16.8)</f>
        <v>16.8</v>
      </c>
      <c r="AC993" s="14">
        <f>IFERROR(__xludf.DUMMYFUNCTION("""COMPUTED_VALUE"""),15.559999999999999)</f>
        <v>15.56</v>
      </c>
      <c r="AD993" s="48">
        <f>IFERROR(__xludf.DUMMYFUNCTION("""COMPUTED_VALUE"""),417.0)</f>
        <v>417</v>
      </c>
      <c r="AE993" s="48">
        <f>IFERROR(__xludf.DUMMYFUNCTION("""COMPUTED_VALUE"""),405.0)</f>
        <v>405</v>
      </c>
      <c r="AF993" s="48">
        <f>IFERROR(__xludf.DUMMYFUNCTION("""COMPUTED_VALUE"""),399.0)</f>
        <v>399</v>
      </c>
      <c r="AG993" s="48">
        <f>IFERROR(__xludf.DUMMYFUNCTION("""COMPUTED_VALUE"""),404.0)</f>
        <v>404</v>
      </c>
      <c r="AH993" s="48">
        <f>IFERROR(__xludf.DUMMYFUNCTION("""COMPUTED_VALUE"""),431.0)</f>
        <v>431</v>
      </c>
      <c r="AI993" s="14">
        <f>IFERROR(__xludf.DUMMYFUNCTION("""COMPUTED_VALUE"""),411.2)</f>
        <v>411.2</v>
      </c>
      <c r="AJ993" s="14">
        <f>IFERROR(__xludf.DUMMYFUNCTION("""COMPUTED_VALUE"""),1.03)</f>
        <v>1.03</v>
      </c>
      <c r="AK993" s="14">
        <f>IFERROR(__xludf.DUMMYFUNCTION("""COMPUTED_VALUE"""),1.12)</f>
        <v>1.12</v>
      </c>
      <c r="AL993" s="14">
        <f>IFERROR(__xludf.DUMMYFUNCTION("""COMPUTED_VALUE"""),1.26)</f>
        <v>1.26</v>
      </c>
      <c r="AM993" s="14">
        <f>IFERROR(__xludf.DUMMYFUNCTION("""COMPUTED_VALUE"""),1.48)</f>
        <v>1.48</v>
      </c>
      <c r="AN993" s="14">
        <f>IFERROR(__xludf.DUMMYFUNCTION("""COMPUTED_VALUE"""),1.39)</f>
        <v>1.39</v>
      </c>
      <c r="AO993" s="14">
        <f>IFERROR(__xludf.DUMMYFUNCTION("""COMPUTED_VALUE"""),1.256)</f>
        <v>1.256</v>
      </c>
      <c r="AP993" s="14">
        <f>IFERROR(__xludf.DUMMYFUNCTION("""COMPUTED_VALUE"""),11.0)</f>
        <v>11</v>
      </c>
      <c r="AQ993" s="14">
        <f>IFERROR(__xludf.DUMMYFUNCTION("""COMPUTED_VALUE"""),24.0)</f>
        <v>24</v>
      </c>
      <c r="AR993" s="14">
        <f>IFERROR(__xludf.DUMMYFUNCTION("""COMPUTED_VALUE"""),47.0)</f>
        <v>47</v>
      </c>
      <c r="AS993" s="14">
        <f>IFERROR(__xludf.DUMMYFUNCTION("""COMPUTED_VALUE"""),1.0)</f>
        <v>1</v>
      </c>
      <c r="AT993" s="14">
        <f>IFERROR(__xludf.DUMMYFUNCTION("""COMPUTED_VALUE"""),0.3)</f>
        <v>0.3</v>
      </c>
      <c r="AU993" s="14">
        <f>IFERROR(__xludf.DUMMYFUNCTION("""COMPUTED_VALUE"""),6700.0)</f>
        <v>6700</v>
      </c>
      <c r="AV993" s="14">
        <f>IFERROR(__xludf.DUMMYFUNCTION("""COMPUTED_VALUE"""),0.18)</f>
        <v>0.18</v>
      </c>
      <c r="AW993" s="14">
        <f>IFERROR(__xludf.DUMMYFUNCTION("""COMPUTED_VALUE"""),1.0)</f>
        <v>1</v>
      </c>
      <c r="AX993" s="14">
        <f>IFERROR(__xludf.DUMMYFUNCTION("""COMPUTED_VALUE"""),12.0)</f>
        <v>12</v>
      </c>
      <c r="AY993" s="14">
        <f>IFERROR(__xludf.DUMMYFUNCTION("""COMPUTED_VALUE"""),5.4)</f>
        <v>5.4</v>
      </c>
      <c r="AZ993" s="14">
        <f>IFERROR(__xludf.DUMMYFUNCTION("""COMPUTED_VALUE"""),0.071)</f>
        <v>0.071</v>
      </c>
      <c r="BA993" s="14">
        <f t="shared" si="1"/>
        <v>6.471</v>
      </c>
    </row>
    <row r="994" ht="14.25" customHeight="1">
      <c r="A994" s="10" t="str">
        <f>IFERROR(__xludf.DUMMYFUNCTION("""COMPUTED_VALUE"""),"121223HA02")</f>
        <v>121223HA02</v>
      </c>
      <c r="B994" s="12" t="str">
        <f>IFERROR(__xludf.DUMMYFUNCTION("""COMPUTED_VALUE"""),"CMO-Pepe Sierra")</f>
        <v>CMO-Pepe Sierra</v>
      </c>
      <c r="C994" s="12"/>
      <c r="D994" s="12"/>
      <c r="E994" s="44">
        <f>IFERROR(__xludf.DUMMYFUNCTION("""COMPUTED_VALUE"""),45272.0)</f>
        <v>45272</v>
      </c>
      <c r="F994" s="12" t="str">
        <f>IFERROR(__xludf.DUMMYFUNCTION("""COMPUTED_VALUE"""),"TIPO I")</f>
        <v>TIPO I</v>
      </c>
      <c r="G994" s="12" t="str">
        <f>IFERROR(__xludf.DUMMYFUNCTION("""COMPUTED_VALUE"""),"Canal en concreto, lodoso, durante el monitoreo se observa color y se percibe olor.
Altitud: 2555 msnm. ")</f>
        <v>Canal en concreto, lodoso, durante el monitoreo se observa color y se percibe olor.
Altitud: 2555 msnm. </v>
      </c>
      <c r="H994" s="45">
        <f>IFERROR(__xludf.DUMMYFUNCTION("""COMPUTED_VALUE"""),0.4166666666678793)</f>
        <v>0.4166666667</v>
      </c>
      <c r="I994" s="45">
        <f>IFERROR(__xludf.DUMMYFUNCTION("""COMPUTED_VALUE"""),0.5)</f>
        <v>0.5</v>
      </c>
      <c r="J994" s="12">
        <f>IFERROR(__xludf.DUMMYFUNCTION("""COMPUTED_VALUE"""),5.8)</f>
        <v>5.8</v>
      </c>
      <c r="K994" s="12">
        <f>IFERROR(__xludf.DUMMYFUNCTION("""COMPUTED_VALUE"""),0.13)</f>
        <v>0.13</v>
      </c>
      <c r="L994" s="14">
        <f>IFERROR(__xludf.DUMMYFUNCTION("""COMPUTED_VALUE"""),124.416)</f>
        <v>124.416</v>
      </c>
      <c r="M994" s="14">
        <f>IFERROR(__xludf.DUMMYFUNCTION("""COMPUTED_VALUE"""),124.996)</f>
        <v>124.996</v>
      </c>
      <c r="N994" s="14">
        <f>IFERROR(__xludf.DUMMYFUNCTION("""COMPUTED_VALUE"""),125.658)</f>
        <v>125.658</v>
      </c>
      <c r="O994" s="14">
        <f>IFERROR(__xludf.DUMMYFUNCTION("""COMPUTED_VALUE"""),127.69)</f>
        <v>127.69</v>
      </c>
      <c r="P994" s="14">
        <f>IFERROR(__xludf.DUMMYFUNCTION("""COMPUTED_VALUE"""),120.12)</f>
        <v>120.12</v>
      </c>
      <c r="Q994" s="14">
        <f>IFERROR(__xludf.DUMMYFUNCTION("""COMPUTED_VALUE"""),124.576)</f>
        <v>124.576</v>
      </c>
      <c r="R994" s="48">
        <f>IFERROR(__xludf.DUMMYFUNCTION("""COMPUTED_VALUE"""),7.09)</f>
        <v>7.09</v>
      </c>
      <c r="S994" s="48">
        <f>IFERROR(__xludf.DUMMYFUNCTION("""COMPUTED_VALUE"""),6.98)</f>
        <v>6.98</v>
      </c>
      <c r="T994" s="48">
        <f>IFERROR(__xludf.DUMMYFUNCTION("""COMPUTED_VALUE"""),7.05)</f>
        <v>7.05</v>
      </c>
      <c r="U994" s="48">
        <f>IFERROR(__xludf.DUMMYFUNCTION("""COMPUTED_VALUE"""),7.0)</f>
        <v>7</v>
      </c>
      <c r="V994" s="48">
        <f>IFERROR(__xludf.DUMMYFUNCTION("""COMPUTED_VALUE"""),6.95)</f>
        <v>6.95</v>
      </c>
      <c r="W994" s="14">
        <f>IFERROR(__xludf.DUMMYFUNCTION("""COMPUTED_VALUE"""),7.014)</f>
        <v>7.014</v>
      </c>
      <c r="X994" s="14">
        <f>IFERROR(__xludf.DUMMYFUNCTION("""COMPUTED_VALUE"""),19.9)</f>
        <v>19.9</v>
      </c>
      <c r="Y994" s="14">
        <f>IFERROR(__xludf.DUMMYFUNCTION("""COMPUTED_VALUE"""),20.0)</f>
        <v>20</v>
      </c>
      <c r="Z994" s="14">
        <f>IFERROR(__xludf.DUMMYFUNCTION("""COMPUTED_VALUE"""),19.7)</f>
        <v>19.7</v>
      </c>
      <c r="AA994" s="14">
        <f>IFERROR(__xludf.DUMMYFUNCTION("""COMPUTED_VALUE"""),20.4)</f>
        <v>20.4</v>
      </c>
      <c r="AB994" s="14">
        <f>IFERROR(__xludf.DUMMYFUNCTION("""COMPUTED_VALUE"""),20.6)</f>
        <v>20.6</v>
      </c>
      <c r="AC994" s="14">
        <f>IFERROR(__xludf.DUMMYFUNCTION("""COMPUTED_VALUE"""),20.119999999999997)</f>
        <v>20.12</v>
      </c>
      <c r="AD994" s="48">
        <f>IFERROR(__xludf.DUMMYFUNCTION("""COMPUTED_VALUE"""),419.0)</f>
        <v>419</v>
      </c>
      <c r="AE994" s="48">
        <f>IFERROR(__xludf.DUMMYFUNCTION("""COMPUTED_VALUE"""),389.0)</f>
        <v>389</v>
      </c>
      <c r="AF994" s="48">
        <f>IFERROR(__xludf.DUMMYFUNCTION("""COMPUTED_VALUE"""),378.0)</f>
        <v>378</v>
      </c>
      <c r="AG994" s="48">
        <f>IFERROR(__xludf.DUMMYFUNCTION("""COMPUTED_VALUE"""),409.0)</f>
        <v>409</v>
      </c>
      <c r="AH994" s="48">
        <f>IFERROR(__xludf.DUMMYFUNCTION("""COMPUTED_VALUE"""),396.0)</f>
        <v>396</v>
      </c>
      <c r="AI994" s="14">
        <f>IFERROR(__xludf.DUMMYFUNCTION("""COMPUTED_VALUE"""),398.2)</f>
        <v>398.2</v>
      </c>
      <c r="AJ994" s="14">
        <f>IFERROR(__xludf.DUMMYFUNCTION("""COMPUTED_VALUE"""),2.94)</f>
        <v>2.94</v>
      </c>
      <c r="AK994" s="14">
        <f>IFERROR(__xludf.DUMMYFUNCTION("""COMPUTED_VALUE"""),2.31)</f>
        <v>2.31</v>
      </c>
      <c r="AL994" s="14">
        <f>IFERROR(__xludf.DUMMYFUNCTION("""COMPUTED_VALUE"""),1.5)</f>
        <v>1.5</v>
      </c>
      <c r="AM994" s="14">
        <f>IFERROR(__xludf.DUMMYFUNCTION("""COMPUTED_VALUE"""),1.94)</f>
        <v>1.94</v>
      </c>
      <c r="AN994" s="14">
        <f>IFERROR(__xludf.DUMMYFUNCTION("""COMPUTED_VALUE"""),1.66)</f>
        <v>1.66</v>
      </c>
      <c r="AO994" s="14">
        <f>IFERROR(__xludf.DUMMYFUNCTION("""COMPUTED_VALUE"""),2.07)</f>
        <v>2.07</v>
      </c>
      <c r="AP994" s="14">
        <f>IFERROR(__xludf.DUMMYFUNCTION("""COMPUTED_VALUE"""),118.0)</f>
        <v>118</v>
      </c>
      <c r="AQ994" s="14">
        <f>IFERROR(__xludf.DUMMYFUNCTION("""COMPUTED_VALUE"""),205.0)</f>
        <v>205</v>
      </c>
      <c r="AR994" s="14">
        <f>IFERROR(__xludf.DUMMYFUNCTION("""COMPUTED_VALUE"""),60.0)</f>
        <v>60</v>
      </c>
      <c r="AS994" s="14">
        <f>IFERROR(__xludf.DUMMYFUNCTION("""COMPUTED_VALUE"""),40.0)</f>
        <v>40</v>
      </c>
      <c r="AT994" s="14">
        <f>IFERROR(__xludf.DUMMYFUNCTION("""COMPUTED_VALUE"""),2.34)</f>
        <v>2.34</v>
      </c>
      <c r="AU994" s="14">
        <f>IFERROR(__xludf.DUMMYFUNCTION("""COMPUTED_VALUE"""),9110000.0)</f>
        <v>9110000</v>
      </c>
      <c r="AV994" s="14">
        <f>IFERROR(__xludf.DUMMYFUNCTION("""COMPUTED_VALUE"""),2.56)</f>
        <v>2.56</v>
      </c>
      <c r="AW994" s="14">
        <f>IFERROR(__xludf.DUMMYFUNCTION("""COMPUTED_VALUE"""),29.7)</f>
        <v>29.7</v>
      </c>
      <c r="AX994" s="14">
        <f>IFERROR(__xludf.DUMMYFUNCTION("""COMPUTED_VALUE"""),5880000.0)</f>
        <v>5880000</v>
      </c>
      <c r="AY994" s="14">
        <f>IFERROR(__xludf.DUMMYFUNCTION("""COMPUTED_VALUE"""),0.8)</f>
        <v>0.8</v>
      </c>
      <c r="AZ994" s="14">
        <f>IFERROR(__xludf.DUMMYFUNCTION("""COMPUTED_VALUE"""),0.007)</f>
        <v>0.007</v>
      </c>
      <c r="BA994" s="14">
        <f t="shared" si="1"/>
        <v>30.507</v>
      </c>
    </row>
    <row r="995" ht="14.25" customHeight="1">
      <c r="A995" s="10" t="str">
        <f>IFERROR(__xludf.DUMMYFUNCTION("""COMPUTED_VALUE"""),"131223DU01")</f>
        <v>131223DU01</v>
      </c>
      <c r="B995" s="12" t="str">
        <f>IFERROR(__xludf.DUMMYFUNCTION("""COMPUTED_VALUE"""),"CMO-Cantón Norte")</f>
        <v>CMO-Cantón Norte</v>
      </c>
      <c r="C995" s="12"/>
      <c r="D995" s="12"/>
      <c r="E995" s="44">
        <f>IFERROR(__xludf.DUMMYFUNCTION("""COMPUTED_VALUE"""),45273.0)</f>
        <v>45273</v>
      </c>
      <c r="F995" s="12" t="str">
        <f>IFERROR(__xludf.DUMMYFUNCTION("""COMPUTED_VALUE"""),"TIPO I")</f>
        <v>TIPO I</v>
      </c>
      <c r="G995" s="12" t="str">
        <f>IFERROR(__xludf.DUMMYFUNCTION("""COMPUTED_VALUE"""),"Canal en concreto, rocoso arenoso, durante el monitoreo no se percibe olor, se observa color. 
Altitud: 2556 msnm. ")</f>
        <v>Canal en concreto, rocoso arenoso, durante el monitoreo no se percibe olor, se observa color. 
Altitud: 2556 msnm. </v>
      </c>
      <c r="H995" s="45">
        <f>IFERROR(__xludf.DUMMYFUNCTION("""COMPUTED_VALUE"""),0.3333333333321207)</f>
        <v>0.3333333333</v>
      </c>
      <c r="I995" s="45">
        <f>IFERROR(__xludf.DUMMYFUNCTION("""COMPUTED_VALUE"""),0.4166666666678793)</f>
        <v>0.4166666667</v>
      </c>
      <c r="J995" s="12">
        <f>IFERROR(__xludf.DUMMYFUNCTION("""COMPUTED_VALUE"""),1.8)</f>
        <v>1.8</v>
      </c>
      <c r="K995" s="12">
        <f>IFERROR(__xludf.DUMMYFUNCTION("""COMPUTED_VALUE"""),0.13)</f>
        <v>0.13</v>
      </c>
      <c r="L995" s="14">
        <f>IFERROR(__xludf.DUMMYFUNCTION("""COMPUTED_VALUE"""),52.71)</f>
        <v>52.71</v>
      </c>
      <c r="M995" s="14">
        <f>IFERROR(__xludf.DUMMYFUNCTION("""COMPUTED_VALUE"""),52.414)</f>
        <v>52.414</v>
      </c>
      <c r="N995" s="14">
        <f>IFERROR(__xludf.DUMMYFUNCTION("""COMPUTED_VALUE"""),52.845)</f>
        <v>52.845</v>
      </c>
      <c r="O995" s="14">
        <f>IFERROR(__xludf.DUMMYFUNCTION("""COMPUTED_VALUE"""),53.821)</f>
        <v>53.821</v>
      </c>
      <c r="P995" s="14">
        <f>IFERROR(__xludf.DUMMYFUNCTION("""COMPUTED_VALUE"""),53.224)</f>
        <v>53.224</v>
      </c>
      <c r="Q995" s="14">
        <f>IFERROR(__xludf.DUMMYFUNCTION("""COMPUTED_VALUE"""),53.003)</f>
        <v>53.003</v>
      </c>
      <c r="R995" s="48">
        <f>IFERROR(__xludf.DUMMYFUNCTION("""COMPUTED_VALUE"""),7.65)</f>
        <v>7.65</v>
      </c>
      <c r="S995" s="48">
        <f>IFERROR(__xludf.DUMMYFUNCTION("""COMPUTED_VALUE"""),7.05)</f>
        <v>7.05</v>
      </c>
      <c r="T995" s="48">
        <f>IFERROR(__xludf.DUMMYFUNCTION("""COMPUTED_VALUE"""),7.2)</f>
        <v>7.2</v>
      </c>
      <c r="U995" s="48">
        <f>IFERROR(__xludf.DUMMYFUNCTION("""COMPUTED_VALUE"""),6.98)</f>
        <v>6.98</v>
      </c>
      <c r="V995" s="48">
        <f>IFERROR(__xludf.DUMMYFUNCTION("""COMPUTED_VALUE"""),6.85)</f>
        <v>6.85</v>
      </c>
      <c r="W995" s="14">
        <f>IFERROR(__xludf.DUMMYFUNCTION("""COMPUTED_VALUE"""),7.145999999999999)</f>
        <v>7.146</v>
      </c>
      <c r="X995" s="14">
        <f>IFERROR(__xludf.DUMMYFUNCTION("""COMPUTED_VALUE"""),13.7)</f>
        <v>13.7</v>
      </c>
      <c r="Y995" s="14">
        <f>IFERROR(__xludf.DUMMYFUNCTION("""COMPUTED_VALUE"""),14.0)</f>
        <v>14</v>
      </c>
      <c r="Z995" s="14">
        <f>IFERROR(__xludf.DUMMYFUNCTION("""COMPUTED_VALUE"""),13.9)</f>
        <v>13.9</v>
      </c>
      <c r="AA995" s="14">
        <f>IFERROR(__xludf.DUMMYFUNCTION("""COMPUTED_VALUE"""),14.3)</f>
        <v>14.3</v>
      </c>
      <c r="AB995" s="14">
        <f>IFERROR(__xludf.DUMMYFUNCTION("""COMPUTED_VALUE"""),13.8)</f>
        <v>13.8</v>
      </c>
      <c r="AC995" s="14">
        <f>IFERROR(__xludf.DUMMYFUNCTION("""COMPUTED_VALUE"""),13.940000000000001)</f>
        <v>13.94</v>
      </c>
      <c r="AD995" s="48">
        <f>IFERROR(__xludf.DUMMYFUNCTION("""COMPUTED_VALUE"""),298.0)</f>
        <v>298</v>
      </c>
      <c r="AE995" s="48">
        <f>IFERROR(__xludf.DUMMYFUNCTION("""COMPUTED_VALUE"""),300.0)</f>
        <v>300</v>
      </c>
      <c r="AF995" s="48">
        <f>IFERROR(__xludf.DUMMYFUNCTION("""COMPUTED_VALUE"""),279.0)</f>
        <v>279</v>
      </c>
      <c r="AG995" s="48">
        <f>IFERROR(__xludf.DUMMYFUNCTION("""COMPUTED_VALUE"""),285.0)</f>
        <v>285</v>
      </c>
      <c r="AH995" s="48">
        <f>IFERROR(__xludf.DUMMYFUNCTION("""COMPUTED_VALUE"""),270.0)</f>
        <v>270</v>
      </c>
      <c r="AI995" s="14">
        <f>IFERROR(__xludf.DUMMYFUNCTION("""COMPUTED_VALUE"""),286.4)</f>
        <v>286.4</v>
      </c>
      <c r="AJ995" s="14">
        <f>IFERROR(__xludf.DUMMYFUNCTION("""COMPUTED_VALUE"""),6.52)</f>
        <v>6.52</v>
      </c>
      <c r="AK995" s="14">
        <f>IFERROR(__xludf.DUMMYFUNCTION("""COMPUTED_VALUE"""),6.66)</f>
        <v>6.66</v>
      </c>
      <c r="AL995" s="14">
        <f>IFERROR(__xludf.DUMMYFUNCTION("""COMPUTED_VALUE"""),6.38)</f>
        <v>6.38</v>
      </c>
      <c r="AM995" s="14">
        <f>IFERROR(__xludf.DUMMYFUNCTION("""COMPUTED_VALUE"""),6.19)</f>
        <v>6.19</v>
      </c>
      <c r="AN995" s="14">
        <f>IFERROR(__xludf.DUMMYFUNCTION("""COMPUTED_VALUE"""),6.58)</f>
        <v>6.58</v>
      </c>
      <c r="AO995" s="14">
        <f>IFERROR(__xludf.DUMMYFUNCTION("""COMPUTED_VALUE"""),6.465999999999999)</f>
        <v>6.466</v>
      </c>
      <c r="AP995" s="14">
        <f>IFERROR(__xludf.DUMMYFUNCTION("""COMPUTED_VALUE"""),3.0)</f>
        <v>3</v>
      </c>
      <c r="AQ995" s="14">
        <f>IFERROR(__xludf.DUMMYFUNCTION("""COMPUTED_VALUE"""),5.0)</f>
        <v>5</v>
      </c>
      <c r="AR995" s="14">
        <f>IFERROR(__xludf.DUMMYFUNCTION("""COMPUTED_VALUE"""),9.0)</f>
        <v>9</v>
      </c>
      <c r="AS995" s="14">
        <f>IFERROR(__xludf.DUMMYFUNCTION("""COMPUTED_VALUE"""),1.0)</f>
        <v>1</v>
      </c>
      <c r="AT995" s="14">
        <f>IFERROR(__xludf.DUMMYFUNCTION("""COMPUTED_VALUE"""),0.07)</f>
        <v>0.07</v>
      </c>
      <c r="AU995" s="14">
        <f>IFERROR(__xludf.DUMMYFUNCTION("""COMPUTED_VALUE"""),1054000.0)</f>
        <v>1054000</v>
      </c>
      <c r="AV995" s="14">
        <f>IFERROR(__xludf.DUMMYFUNCTION("""COMPUTED_VALUE"""),1.26)</f>
        <v>1.26</v>
      </c>
      <c r="AW995" s="14">
        <f>IFERROR(__xludf.DUMMYFUNCTION("""COMPUTED_VALUE"""),10.9)</f>
        <v>10.9</v>
      </c>
      <c r="AX995" s="14">
        <f>IFERROR(__xludf.DUMMYFUNCTION("""COMPUTED_VALUE"""),932000.0)</f>
        <v>932000</v>
      </c>
      <c r="AY995" s="14">
        <f>IFERROR(__xludf.DUMMYFUNCTION("""COMPUTED_VALUE"""),0.6)</f>
        <v>0.6</v>
      </c>
      <c r="AZ995" s="14">
        <f>IFERROR(__xludf.DUMMYFUNCTION("""COMPUTED_VALUE"""),0.161)</f>
        <v>0.161</v>
      </c>
      <c r="BA995" s="14">
        <f t="shared" si="1"/>
        <v>11.661</v>
      </c>
    </row>
    <row r="996" ht="14.25" customHeight="1">
      <c r="A996" s="10" t="str">
        <f>IFERROR(__xludf.DUMMYFUNCTION("""COMPUTED_VALUE"""),"131223DU02")</f>
        <v>131223DU02</v>
      </c>
      <c r="B996" s="12" t="str">
        <f>IFERROR(__xludf.DUMMYFUNCTION("""COMPUTED_VALUE"""),"CMO-Santa Ana")</f>
        <v>CMO-Santa Ana</v>
      </c>
      <c r="C996" s="12"/>
      <c r="D996" s="12"/>
      <c r="E996" s="44">
        <f>IFERROR(__xludf.DUMMYFUNCTION("""COMPUTED_VALUE"""),45273.0)</f>
        <v>45273</v>
      </c>
      <c r="F996" s="12" t="str">
        <f>IFERROR(__xludf.DUMMYFUNCTION("""COMPUTED_VALUE"""),"TIPO I")</f>
        <v>TIPO I</v>
      </c>
      <c r="G996" s="12" t="str">
        <f>IFERROR(__xludf.DUMMYFUNCTION("""COMPUTED_VALUE"""),"Canal en concreto con lecho lodoso rocoso, durante el monitoreo se observa color y se percibe olor. 
Altitud: 2552 msnm. ")</f>
        <v>Canal en concreto con lecho lodoso rocoso, durante el monitoreo se observa color y se percibe olor. 
Altitud: 2552 msnm. </v>
      </c>
      <c r="H996" s="45">
        <f>IFERROR(__xludf.DUMMYFUNCTION("""COMPUTED_VALUE"""),0.5)</f>
        <v>0.5</v>
      </c>
      <c r="I996" s="45">
        <f>IFERROR(__xludf.DUMMYFUNCTION("""COMPUTED_VALUE"""),0.5833333333321207)</f>
        <v>0.5833333333</v>
      </c>
      <c r="J996" s="12">
        <f>IFERROR(__xludf.DUMMYFUNCTION("""COMPUTED_VALUE"""),2.6)</f>
        <v>2.6</v>
      </c>
      <c r="K996" s="12">
        <f>IFERROR(__xludf.DUMMYFUNCTION("""COMPUTED_VALUE"""),0.12)</f>
        <v>0.12</v>
      </c>
      <c r="L996" s="14">
        <f>IFERROR(__xludf.DUMMYFUNCTION("""COMPUTED_VALUE"""),96.023)</f>
        <v>96.023</v>
      </c>
      <c r="M996" s="14">
        <f>IFERROR(__xludf.DUMMYFUNCTION("""COMPUTED_VALUE"""),98.18)</f>
        <v>98.18</v>
      </c>
      <c r="N996" s="14">
        <f>IFERROR(__xludf.DUMMYFUNCTION("""COMPUTED_VALUE"""),99.794)</f>
        <v>99.794</v>
      </c>
      <c r="O996" s="14">
        <f>IFERROR(__xludf.DUMMYFUNCTION("""COMPUTED_VALUE"""),100.032)</f>
        <v>100.032</v>
      </c>
      <c r="P996" s="14">
        <f>IFERROR(__xludf.DUMMYFUNCTION("""COMPUTED_VALUE"""),101.88)</f>
        <v>101.88</v>
      </c>
      <c r="Q996" s="14">
        <f>IFERROR(__xludf.DUMMYFUNCTION("""COMPUTED_VALUE"""),99.182)</f>
        <v>99.182</v>
      </c>
      <c r="R996" s="48">
        <f>IFERROR(__xludf.DUMMYFUNCTION("""COMPUTED_VALUE"""),7.13)</f>
        <v>7.13</v>
      </c>
      <c r="S996" s="48">
        <f>IFERROR(__xludf.DUMMYFUNCTION("""COMPUTED_VALUE"""),6.82)</f>
        <v>6.82</v>
      </c>
      <c r="T996" s="48">
        <f>IFERROR(__xludf.DUMMYFUNCTION("""COMPUTED_VALUE"""),7.02)</f>
        <v>7.02</v>
      </c>
      <c r="U996" s="48">
        <f>IFERROR(__xludf.DUMMYFUNCTION("""COMPUTED_VALUE"""),7.08)</f>
        <v>7.08</v>
      </c>
      <c r="V996" s="48">
        <f>IFERROR(__xludf.DUMMYFUNCTION("""COMPUTED_VALUE"""),6.69)</f>
        <v>6.69</v>
      </c>
      <c r="W996" s="14">
        <f>IFERROR(__xludf.DUMMYFUNCTION("""COMPUTED_VALUE"""),6.947999999999999)</f>
        <v>6.948</v>
      </c>
      <c r="X996" s="14">
        <f>IFERROR(__xludf.DUMMYFUNCTION("""COMPUTED_VALUE"""),18.1)</f>
        <v>18.1</v>
      </c>
      <c r="Y996" s="14">
        <f>IFERROR(__xludf.DUMMYFUNCTION("""COMPUTED_VALUE"""),17.9)</f>
        <v>17.9</v>
      </c>
      <c r="Z996" s="14">
        <f>IFERROR(__xludf.DUMMYFUNCTION("""COMPUTED_VALUE"""),17.8)</f>
        <v>17.8</v>
      </c>
      <c r="AA996" s="14">
        <f>IFERROR(__xludf.DUMMYFUNCTION("""COMPUTED_VALUE"""),18.4)</f>
        <v>18.4</v>
      </c>
      <c r="AB996" s="14">
        <f>IFERROR(__xludf.DUMMYFUNCTION("""COMPUTED_VALUE"""),18.5)</f>
        <v>18.5</v>
      </c>
      <c r="AC996" s="14">
        <f>IFERROR(__xludf.DUMMYFUNCTION("""COMPUTED_VALUE"""),18.139999999999997)</f>
        <v>18.14</v>
      </c>
      <c r="AD996" s="48">
        <f>IFERROR(__xludf.DUMMYFUNCTION("""COMPUTED_VALUE"""),365.0)</f>
        <v>365</v>
      </c>
      <c r="AE996" s="48">
        <f>IFERROR(__xludf.DUMMYFUNCTION("""COMPUTED_VALUE"""),346.0)</f>
        <v>346</v>
      </c>
      <c r="AF996" s="48">
        <f>IFERROR(__xludf.DUMMYFUNCTION("""COMPUTED_VALUE"""),355.0)</f>
        <v>355</v>
      </c>
      <c r="AG996" s="48">
        <f>IFERROR(__xludf.DUMMYFUNCTION("""COMPUTED_VALUE"""),339.0)</f>
        <v>339</v>
      </c>
      <c r="AH996" s="48">
        <f>IFERROR(__xludf.DUMMYFUNCTION("""COMPUTED_VALUE"""),361.0)</f>
        <v>361</v>
      </c>
      <c r="AI996" s="14">
        <f>IFERROR(__xludf.DUMMYFUNCTION("""COMPUTED_VALUE"""),353.2)</f>
        <v>353.2</v>
      </c>
      <c r="AJ996" s="14">
        <f>IFERROR(__xludf.DUMMYFUNCTION("""COMPUTED_VALUE"""),3.06)</f>
        <v>3.06</v>
      </c>
      <c r="AK996" s="14">
        <f>IFERROR(__xludf.DUMMYFUNCTION("""COMPUTED_VALUE"""),3.59)</f>
        <v>3.59</v>
      </c>
      <c r="AL996" s="14">
        <f>IFERROR(__xludf.DUMMYFUNCTION("""COMPUTED_VALUE"""),3.16)</f>
        <v>3.16</v>
      </c>
      <c r="AM996" s="14">
        <f>IFERROR(__xludf.DUMMYFUNCTION("""COMPUTED_VALUE"""),3.78)</f>
        <v>3.78</v>
      </c>
      <c r="AN996" s="14">
        <f>IFERROR(__xludf.DUMMYFUNCTION("""COMPUTED_VALUE"""),3.23)</f>
        <v>3.23</v>
      </c>
      <c r="AO996" s="14">
        <f>IFERROR(__xludf.DUMMYFUNCTION("""COMPUTED_VALUE"""),3.364)</f>
        <v>3.364</v>
      </c>
      <c r="AP996" s="14">
        <f>IFERROR(__xludf.DUMMYFUNCTION("""COMPUTED_VALUE"""),42.0)</f>
        <v>42</v>
      </c>
      <c r="AQ996" s="14">
        <f>IFERROR(__xludf.DUMMYFUNCTION("""COMPUTED_VALUE"""),64.0)</f>
        <v>64</v>
      </c>
      <c r="AR996" s="14">
        <f>IFERROR(__xludf.DUMMYFUNCTION("""COMPUTED_VALUE"""),26.0)</f>
        <v>26</v>
      </c>
      <c r="AS996" s="14">
        <f>IFERROR(__xludf.DUMMYFUNCTION("""COMPUTED_VALUE"""),1.2)</f>
        <v>1.2</v>
      </c>
      <c r="AT996" s="14">
        <f>IFERROR(__xludf.DUMMYFUNCTION("""COMPUTED_VALUE"""),1.48)</f>
        <v>1.48</v>
      </c>
      <c r="AU996" s="14">
        <f>IFERROR(__xludf.DUMMYFUNCTION("""COMPUTED_VALUE"""),9100000.0)</f>
        <v>9100000</v>
      </c>
      <c r="AV996" s="14">
        <f>IFERROR(__xludf.DUMMYFUNCTION("""COMPUTED_VALUE"""),1.68)</f>
        <v>1.68</v>
      </c>
      <c r="AW996" s="14">
        <f>IFERROR(__xludf.DUMMYFUNCTION("""COMPUTED_VALUE"""),26.9)</f>
        <v>26.9</v>
      </c>
      <c r="AX996" s="14">
        <f>IFERROR(__xludf.DUMMYFUNCTION("""COMPUTED_VALUE"""),7890000.0)</f>
        <v>7890000</v>
      </c>
      <c r="AY996" s="14">
        <f>IFERROR(__xludf.DUMMYFUNCTION("""COMPUTED_VALUE"""),0.6)</f>
        <v>0.6</v>
      </c>
      <c r="AZ996" s="14">
        <f>IFERROR(__xludf.DUMMYFUNCTION("""COMPUTED_VALUE"""),0.007)</f>
        <v>0.007</v>
      </c>
      <c r="BA996" s="14">
        <f t="shared" si="1"/>
        <v>27.507</v>
      </c>
    </row>
    <row r="997" ht="14.25" customHeight="1">
      <c r="A997" s="10" t="str">
        <f>IFERROR(__xludf.DUMMYFUNCTION("""COMPUTED_VALUE"""),"141223DU01")</f>
        <v>141223DU01</v>
      </c>
      <c r="B997" s="12" t="str">
        <f>IFERROR(__xludf.DUMMYFUNCTION("""COMPUTED_VALUE"""),"CON-Camino del Contador")</f>
        <v>CON-Camino del Contador</v>
      </c>
      <c r="C997" s="12"/>
      <c r="D997" s="12"/>
      <c r="E997" s="44">
        <f>IFERROR(__xludf.DUMMYFUNCTION("""COMPUTED_VALUE"""),45274.0)</f>
        <v>45274</v>
      </c>
      <c r="F997" s="12" t="str">
        <f>IFERROR(__xludf.DUMMYFUNCTION("""COMPUTED_VALUE"""),"TIPO I")</f>
        <v>TIPO I</v>
      </c>
      <c r="G997" s="12" t="str">
        <f>IFERROR(__xludf.DUMMYFUNCTION("""COMPUTED_VALUE"""),"Canal en concreto, durante el monitoreo se percibe olor, se observa color, sedimentos y material flotante. 
Altitud: 2567 msnm. ")</f>
        <v>Canal en concreto, durante el monitoreo se percibe olor, se observa color, sedimentos y material flotante. 
Altitud: 2567 msnm. </v>
      </c>
      <c r="H997" s="45">
        <f>IFERROR(__xludf.DUMMYFUNCTION("""COMPUTED_VALUE"""),0.25)</f>
        <v>0.25</v>
      </c>
      <c r="I997" s="45">
        <f>IFERROR(__xludf.DUMMYFUNCTION("""COMPUTED_VALUE"""),0.3333333333321207)</f>
        <v>0.3333333333</v>
      </c>
      <c r="J997" s="12">
        <f>IFERROR(__xludf.DUMMYFUNCTION("""COMPUTED_VALUE"""),2.0)</f>
        <v>2</v>
      </c>
      <c r="K997" s="12">
        <f>IFERROR(__xludf.DUMMYFUNCTION("""COMPUTED_VALUE"""),0.13)</f>
        <v>0.13</v>
      </c>
      <c r="L997" s="14">
        <f>IFERROR(__xludf.DUMMYFUNCTION("""COMPUTED_VALUE"""),15.313)</f>
        <v>15.313</v>
      </c>
      <c r="M997" s="14">
        <f>IFERROR(__xludf.DUMMYFUNCTION("""COMPUTED_VALUE"""),15.621)</f>
        <v>15.621</v>
      </c>
      <c r="N997" s="14">
        <f>IFERROR(__xludf.DUMMYFUNCTION("""COMPUTED_VALUE"""),15.538)</f>
        <v>15.538</v>
      </c>
      <c r="O997" s="14">
        <f>IFERROR(__xludf.DUMMYFUNCTION("""COMPUTED_VALUE"""),15.234)</f>
        <v>15.234</v>
      </c>
      <c r="P997" s="14">
        <f>IFERROR(__xludf.DUMMYFUNCTION("""COMPUTED_VALUE"""),14.956)</f>
        <v>14.956</v>
      </c>
      <c r="Q997" s="14">
        <f>IFERROR(__xludf.DUMMYFUNCTION("""COMPUTED_VALUE"""),15.333)</f>
        <v>15.333</v>
      </c>
      <c r="R997" s="48">
        <f>IFERROR(__xludf.DUMMYFUNCTION("""COMPUTED_VALUE"""),7.17)</f>
        <v>7.17</v>
      </c>
      <c r="S997" s="48">
        <f>IFERROR(__xludf.DUMMYFUNCTION("""COMPUTED_VALUE"""),7.09)</f>
        <v>7.09</v>
      </c>
      <c r="T997" s="48">
        <f>IFERROR(__xludf.DUMMYFUNCTION("""COMPUTED_VALUE"""),7.16)</f>
        <v>7.16</v>
      </c>
      <c r="U997" s="48">
        <f>IFERROR(__xludf.DUMMYFUNCTION("""COMPUTED_VALUE"""),7.14)</f>
        <v>7.14</v>
      </c>
      <c r="V997" s="48">
        <f>IFERROR(__xludf.DUMMYFUNCTION("""COMPUTED_VALUE"""),7.13)</f>
        <v>7.13</v>
      </c>
      <c r="W997" s="14">
        <f>IFERROR(__xludf.DUMMYFUNCTION("""COMPUTED_VALUE"""),7.138000000000001)</f>
        <v>7.138</v>
      </c>
      <c r="X997" s="14">
        <f>IFERROR(__xludf.DUMMYFUNCTION("""COMPUTED_VALUE"""),14.8)</f>
        <v>14.8</v>
      </c>
      <c r="Y997" s="14">
        <f>IFERROR(__xludf.DUMMYFUNCTION("""COMPUTED_VALUE"""),14.6)</f>
        <v>14.6</v>
      </c>
      <c r="Z997" s="14">
        <f>IFERROR(__xludf.DUMMYFUNCTION("""COMPUTED_VALUE"""),14.6)</f>
        <v>14.6</v>
      </c>
      <c r="AA997" s="14">
        <f>IFERROR(__xludf.DUMMYFUNCTION("""COMPUTED_VALUE"""),14.4)</f>
        <v>14.4</v>
      </c>
      <c r="AB997" s="14">
        <f>IFERROR(__xludf.DUMMYFUNCTION("""COMPUTED_VALUE"""),14.8)</f>
        <v>14.8</v>
      </c>
      <c r="AC997" s="14">
        <f>IFERROR(__xludf.DUMMYFUNCTION("""COMPUTED_VALUE"""),14.64)</f>
        <v>14.64</v>
      </c>
      <c r="AD997" s="48">
        <f>IFERROR(__xludf.DUMMYFUNCTION("""COMPUTED_VALUE"""),816.0)</f>
        <v>816</v>
      </c>
      <c r="AE997" s="48">
        <f>IFERROR(__xludf.DUMMYFUNCTION("""COMPUTED_VALUE"""),811.0)</f>
        <v>811</v>
      </c>
      <c r="AF997" s="48">
        <f>IFERROR(__xludf.DUMMYFUNCTION("""COMPUTED_VALUE"""),807.0)</f>
        <v>807</v>
      </c>
      <c r="AG997" s="48">
        <f>IFERROR(__xludf.DUMMYFUNCTION("""COMPUTED_VALUE"""),803.0)</f>
        <v>803</v>
      </c>
      <c r="AH997" s="48">
        <f>IFERROR(__xludf.DUMMYFUNCTION("""COMPUTED_VALUE"""),811.0)</f>
        <v>811</v>
      </c>
      <c r="AI997" s="14">
        <f>IFERROR(__xludf.DUMMYFUNCTION("""COMPUTED_VALUE"""),809.6)</f>
        <v>809.6</v>
      </c>
      <c r="AJ997" s="14">
        <f>IFERROR(__xludf.DUMMYFUNCTION("""COMPUTED_VALUE"""),1.14)</f>
        <v>1.14</v>
      </c>
      <c r="AK997" s="14">
        <f>IFERROR(__xludf.DUMMYFUNCTION("""COMPUTED_VALUE"""),1.15)</f>
        <v>1.15</v>
      </c>
      <c r="AL997" s="14">
        <f>IFERROR(__xludf.DUMMYFUNCTION("""COMPUTED_VALUE"""),1.29)</f>
        <v>1.29</v>
      </c>
      <c r="AM997" s="14">
        <f>IFERROR(__xludf.DUMMYFUNCTION("""COMPUTED_VALUE"""),1.25)</f>
        <v>1.25</v>
      </c>
      <c r="AN997" s="14">
        <f>IFERROR(__xludf.DUMMYFUNCTION("""COMPUTED_VALUE"""),1.31)</f>
        <v>1.31</v>
      </c>
      <c r="AO997" s="14">
        <f>IFERROR(__xludf.DUMMYFUNCTION("""COMPUTED_VALUE"""),1.2280000000000002)</f>
        <v>1.228</v>
      </c>
      <c r="AP997" s="14">
        <f>IFERROR(__xludf.DUMMYFUNCTION("""COMPUTED_VALUE"""),103.0)</f>
        <v>103</v>
      </c>
      <c r="AQ997" s="14">
        <f>IFERROR(__xludf.DUMMYFUNCTION("""COMPUTED_VALUE"""),148.0)</f>
        <v>148</v>
      </c>
      <c r="AR997" s="14">
        <f>IFERROR(__xludf.DUMMYFUNCTION("""COMPUTED_VALUE"""),37.0)</f>
        <v>37</v>
      </c>
      <c r="AS997" s="14">
        <f>IFERROR(__xludf.DUMMYFUNCTION("""COMPUTED_VALUE"""),24.0)</f>
        <v>24</v>
      </c>
      <c r="AT997" s="14">
        <f>IFERROR(__xludf.DUMMYFUNCTION("""COMPUTED_VALUE"""),5.31)</f>
        <v>5.31</v>
      </c>
      <c r="AU997" s="14">
        <f>IFERROR(__xludf.DUMMYFUNCTION("""COMPUTED_VALUE"""),8600000.0)</f>
        <v>8600000</v>
      </c>
      <c r="AV997" s="14">
        <f>IFERROR(__xludf.DUMMYFUNCTION("""COMPUTED_VALUE"""),4.51)</f>
        <v>4.51</v>
      </c>
      <c r="AW997" s="14">
        <f>IFERROR(__xludf.DUMMYFUNCTION("""COMPUTED_VALUE"""),50.1)</f>
        <v>50.1</v>
      </c>
      <c r="AX997" s="14">
        <f>IFERROR(__xludf.DUMMYFUNCTION("""COMPUTED_VALUE"""),5290000.0)</f>
        <v>5290000</v>
      </c>
      <c r="AY997" s="14">
        <f>IFERROR(__xludf.DUMMYFUNCTION("""COMPUTED_VALUE"""),2.0)</f>
        <v>2</v>
      </c>
      <c r="AZ997" s="14">
        <f>IFERROR(__xludf.DUMMYFUNCTION("""COMPUTED_VALUE"""),0.007)</f>
        <v>0.007</v>
      </c>
      <c r="BA997" s="14">
        <f t="shared" si="1"/>
        <v>52.107</v>
      </c>
    </row>
    <row r="998" ht="14.25" customHeight="1">
      <c r="A998" s="10" t="str">
        <f>IFERROR(__xludf.DUMMYFUNCTION("""COMPUTED_VALUE"""),"141223DU02")</f>
        <v>141223DU02</v>
      </c>
      <c r="B998" s="12" t="str">
        <f>IFERROR(__xludf.DUMMYFUNCTION("""COMPUTED_VALUE"""),"COR-Humedal Córdoba")</f>
        <v>COR-Humedal Córdoba</v>
      </c>
      <c r="C998" s="12"/>
      <c r="D998" s="12"/>
      <c r="E998" s="44">
        <f>IFERROR(__xludf.DUMMYFUNCTION("""COMPUTED_VALUE"""),45274.0)</f>
        <v>45274</v>
      </c>
      <c r="F998" s="12" t="str">
        <f>IFERROR(__xludf.DUMMYFUNCTION("""COMPUTED_VALUE"""),"TIPO I")</f>
        <v>TIPO I</v>
      </c>
      <c r="G998" s="12" t="str">
        <f>IFERROR(__xludf.DUMMYFUNCTION("""COMPUTED_VALUE"""),"Canal natural, lecho lodoso, durante el monitoreo se observa color, residuos sólidos e iridiscencia, se percibe olor en el cuerpo de agua. ")</f>
        <v>Canal natural, lecho lodoso, durante el monitoreo se observa color, residuos sólidos e iridiscencia, se percibe olor en el cuerpo de agua. </v>
      </c>
      <c r="H998" s="45">
        <f>IFERROR(__xludf.DUMMYFUNCTION("""COMPUTED_VALUE"""),0.4166666666678793)</f>
        <v>0.4166666667</v>
      </c>
      <c r="I998" s="45">
        <f>IFERROR(__xludf.DUMMYFUNCTION("""COMPUTED_VALUE"""),0.5)</f>
        <v>0.5</v>
      </c>
      <c r="J998" s="12">
        <f>IFERROR(__xludf.DUMMYFUNCTION("""COMPUTED_VALUE"""),7.0)</f>
        <v>7</v>
      </c>
      <c r="K998" s="12">
        <f>IFERROR(__xludf.DUMMYFUNCTION("""COMPUTED_VALUE"""),0.4)</f>
        <v>0.4</v>
      </c>
      <c r="L998" s="14">
        <f>IFERROR(__xludf.DUMMYFUNCTION("""COMPUTED_VALUE"""),351.467)</f>
        <v>351.467</v>
      </c>
      <c r="M998" s="14">
        <f>IFERROR(__xludf.DUMMYFUNCTION("""COMPUTED_VALUE"""),357.593)</f>
        <v>357.593</v>
      </c>
      <c r="N998" s="14">
        <f>IFERROR(__xludf.DUMMYFUNCTION("""COMPUTED_VALUE"""),368.795)</f>
        <v>368.795</v>
      </c>
      <c r="O998" s="14">
        <f>IFERROR(__xludf.DUMMYFUNCTION("""COMPUTED_VALUE"""),362.067)</f>
        <v>362.067</v>
      </c>
      <c r="P998" s="14">
        <f>IFERROR(__xludf.DUMMYFUNCTION("""COMPUTED_VALUE"""),373.354)</f>
        <v>373.354</v>
      </c>
      <c r="Q998" s="14">
        <f>IFERROR(__xludf.DUMMYFUNCTION("""COMPUTED_VALUE"""),362.655)</f>
        <v>362.655</v>
      </c>
      <c r="R998" s="48">
        <f>IFERROR(__xludf.DUMMYFUNCTION("""COMPUTED_VALUE"""),6.68)</f>
        <v>6.68</v>
      </c>
      <c r="S998" s="48">
        <f>IFERROR(__xludf.DUMMYFUNCTION("""COMPUTED_VALUE"""),6.66)</f>
        <v>6.66</v>
      </c>
      <c r="T998" s="48">
        <f>IFERROR(__xludf.DUMMYFUNCTION("""COMPUTED_VALUE"""),6.62)</f>
        <v>6.62</v>
      </c>
      <c r="U998" s="48">
        <f>IFERROR(__xludf.DUMMYFUNCTION("""COMPUTED_VALUE"""),6.56)</f>
        <v>6.56</v>
      </c>
      <c r="V998" s="48">
        <f>IFERROR(__xludf.DUMMYFUNCTION("""COMPUTED_VALUE"""),6.79)</f>
        <v>6.79</v>
      </c>
      <c r="W998" s="14">
        <f>IFERROR(__xludf.DUMMYFUNCTION("""COMPUTED_VALUE"""),6.662000000000001)</f>
        <v>6.662</v>
      </c>
      <c r="X998" s="14">
        <f>IFERROR(__xludf.DUMMYFUNCTION("""COMPUTED_VALUE"""),16.6)</f>
        <v>16.6</v>
      </c>
      <c r="Y998" s="14">
        <f>IFERROR(__xludf.DUMMYFUNCTION("""COMPUTED_VALUE"""),16.8)</f>
        <v>16.8</v>
      </c>
      <c r="Z998" s="14">
        <f>IFERROR(__xludf.DUMMYFUNCTION("""COMPUTED_VALUE"""),16.6)</f>
        <v>16.6</v>
      </c>
      <c r="AA998" s="14">
        <f>IFERROR(__xludf.DUMMYFUNCTION("""COMPUTED_VALUE"""),16.8)</f>
        <v>16.8</v>
      </c>
      <c r="AB998" s="14">
        <f>IFERROR(__xludf.DUMMYFUNCTION("""COMPUTED_VALUE"""),16.4)</f>
        <v>16.4</v>
      </c>
      <c r="AC998" s="14">
        <f>IFERROR(__xludf.DUMMYFUNCTION("""COMPUTED_VALUE"""),16.640000000000004)</f>
        <v>16.64</v>
      </c>
      <c r="AD998" s="48">
        <f>IFERROR(__xludf.DUMMYFUNCTION("""COMPUTED_VALUE"""),495.0)</f>
        <v>495</v>
      </c>
      <c r="AE998" s="48">
        <f>IFERROR(__xludf.DUMMYFUNCTION("""COMPUTED_VALUE"""),491.0)</f>
        <v>491</v>
      </c>
      <c r="AF998" s="48">
        <f>IFERROR(__xludf.DUMMYFUNCTION("""COMPUTED_VALUE"""),503.0)</f>
        <v>503</v>
      </c>
      <c r="AG998" s="48">
        <f>IFERROR(__xludf.DUMMYFUNCTION("""COMPUTED_VALUE"""),498.0)</f>
        <v>498</v>
      </c>
      <c r="AH998" s="48">
        <f>IFERROR(__xludf.DUMMYFUNCTION("""COMPUTED_VALUE"""),496.0)</f>
        <v>496</v>
      </c>
      <c r="AI998" s="14">
        <f>IFERROR(__xludf.DUMMYFUNCTION("""COMPUTED_VALUE"""),496.6)</f>
        <v>496.6</v>
      </c>
      <c r="AJ998" s="14">
        <f>IFERROR(__xludf.DUMMYFUNCTION("""COMPUTED_VALUE"""),2.51)</f>
        <v>2.51</v>
      </c>
      <c r="AK998" s="14">
        <f>IFERROR(__xludf.DUMMYFUNCTION("""COMPUTED_VALUE"""),2.62)</f>
        <v>2.62</v>
      </c>
      <c r="AL998" s="14">
        <f>IFERROR(__xludf.DUMMYFUNCTION("""COMPUTED_VALUE"""),2.72)</f>
        <v>2.72</v>
      </c>
      <c r="AM998" s="14">
        <f>IFERROR(__xludf.DUMMYFUNCTION("""COMPUTED_VALUE"""),2.47)</f>
        <v>2.47</v>
      </c>
      <c r="AN998" s="14">
        <f>IFERROR(__xludf.DUMMYFUNCTION("""COMPUTED_VALUE"""),2.5)</f>
        <v>2.5</v>
      </c>
      <c r="AO998" s="14">
        <f>IFERROR(__xludf.DUMMYFUNCTION("""COMPUTED_VALUE"""),2.564)</f>
        <v>2.564</v>
      </c>
      <c r="AP998" s="14">
        <f>IFERROR(__xludf.DUMMYFUNCTION("""COMPUTED_VALUE"""),34.0)</f>
        <v>34</v>
      </c>
      <c r="AQ998" s="14">
        <f>IFERROR(__xludf.DUMMYFUNCTION("""COMPUTED_VALUE"""),57.0)</f>
        <v>57</v>
      </c>
      <c r="AR998" s="14">
        <f>IFERROR(__xludf.DUMMYFUNCTION("""COMPUTED_VALUE"""),27.0)</f>
        <v>27</v>
      </c>
      <c r="AS998" s="14">
        <f>IFERROR(__xludf.DUMMYFUNCTION("""COMPUTED_VALUE"""),17.0)</f>
        <v>17</v>
      </c>
      <c r="AT998" s="14">
        <f>IFERROR(__xludf.DUMMYFUNCTION("""COMPUTED_VALUE"""),2.35)</f>
        <v>2.35</v>
      </c>
      <c r="AU998" s="14">
        <f>IFERROR(__xludf.DUMMYFUNCTION("""COMPUTED_VALUE"""),6630000.0)</f>
        <v>6630000</v>
      </c>
      <c r="AV998" s="14">
        <f>IFERROR(__xludf.DUMMYFUNCTION("""COMPUTED_VALUE"""),1.84)</f>
        <v>1.84</v>
      </c>
      <c r="AW998" s="14">
        <f>IFERROR(__xludf.DUMMYFUNCTION("""COMPUTED_VALUE"""),22.4)</f>
        <v>22.4</v>
      </c>
      <c r="AX998" s="14">
        <f>IFERROR(__xludf.DUMMYFUNCTION("""COMPUTED_VALUE"""),496000.0)</f>
        <v>496000</v>
      </c>
      <c r="AY998" s="14">
        <f>IFERROR(__xludf.DUMMYFUNCTION("""COMPUTED_VALUE"""),0.4)</f>
        <v>0.4</v>
      </c>
      <c r="AZ998" s="14">
        <f>IFERROR(__xludf.DUMMYFUNCTION("""COMPUTED_VALUE"""),0.007)</f>
        <v>0.007</v>
      </c>
      <c r="BA998" s="14">
        <f t="shared" si="1"/>
        <v>22.807</v>
      </c>
    </row>
    <row r="999" ht="14.25" customHeight="1">
      <c r="A999" s="10" t="str">
        <f>IFERROR(__xludf.DUMMYFUNCTION("""COMPUTED_VALUE"""),"141223DU03")</f>
        <v>141223DU03</v>
      </c>
      <c r="B999" s="12" t="str">
        <f>IFERROR(__xludf.DUMMYFUNCTION("""COMPUTED_VALUE"""),"CRN-Entre Ríos")</f>
        <v>CRN-Entre Ríos</v>
      </c>
      <c r="C999" s="12"/>
      <c r="D999" s="12"/>
      <c r="E999" s="44">
        <f>IFERROR(__xludf.DUMMYFUNCTION("""COMPUTED_VALUE"""),45274.0)</f>
        <v>45274</v>
      </c>
      <c r="F999" s="12" t="str">
        <f>IFERROR(__xludf.DUMMYFUNCTION("""COMPUTED_VALUE"""),"TIPO I")</f>
        <v>TIPO I</v>
      </c>
      <c r="G999" s="12" t="str">
        <f>IFERROR(__xludf.DUMMYFUNCTION("""COMPUTED_VALUE"""),"Canal en concreto, durante el monitoreo se observa color y se percibe olor en el cuerpo de agua. 
Altitud: 2562 msnm. ")</f>
        <v>Canal en concreto, durante el monitoreo se observa color y se percibe olor en el cuerpo de agua. 
Altitud: 2562 msnm. </v>
      </c>
      <c r="H999" s="45">
        <f>IFERROR(__xludf.DUMMYFUNCTION("""COMPUTED_VALUE"""),0.5833333333321207)</f>
        <v>0.5833333333</v>
      </c>
      <c r="I999" s="45">
        <f>IFERROR(__xludf.DUMMYFUNCTION("""COMPUTED_VALUE"""),0.6666666666678793)</f>
        <v>0.6666666667</v>
      </c>
      <c r="J999" s="12">
        <f>IFERROR(__xludf.DUMMYFUNCTION("""COMPUTED_VALUE"""),7.0)</f>
        <v>7</v>
      </c>
      <c r="K999" s="12">
        <f>IFERROR(__xludf.DUMMYFUNCTION("""COMPUTED_VALUE"""),0.2)</f>
        <v>0.2</v>
      </c>
      <c r="L999" s="14">
        <f>IFERROR(__xludf.DUMMYFUNCTION("""COMPUTED_VALUE"""),432.1)</f>
        <v>432.1</v>
      </c>
      <c r="M999" s="14">
        <f>IFERROR(__xludf.DUMMYFUNCTION("""COMPUTED_VALUE"""),442.819)</f>
        <v>442.819</v>
      </c>
      <c r="N999" s="14">
        <f>IFERROR(__xludf.DUMMYFUNCTION("""COMPUTED_VALUE"""),450.665)</f>
        <v>450.665</v>
      </c>
      <c r="O999" s="14">
        <f>IFERROR(__xludf.DUMMYFUNCTION("""COMPUTED_VALUE"""),458.627)</f>
        <v>458.627</v>
      </c>
      <c r="P999" s="14">
        <f>IFERROR(__xludf.DUMMYFUNCTION("""COMPUTED_VALUE"""),465.765)</f>
        <v>465.765</v>
      </c>
      <c r="Q999" s="14">
        <f>IFERROR(__xludf.DUMMYFUNCTION("""COMPUTED_VALUE"""),449.995)</f>
        <v>449.995</v>
      </c>
      <c r="R999" s="48">
        <f>IFERROR(__xludf.DUMMYFUNCTION("""COMPUTED_VALUE"""),7.25)</f>
        <v>7.25</v>
      </c>
      <c r="S999" s="48">
        <f>IFERROR(__xludf.DUMMYFUNCTION("""COMPUTED_VALUE"""),7.2)</f>
        <v>7.2</v>
      </c>
      <c r="T999" s="48">
        <f>IFERROR(__xludf.DUMMYFUNCTION("""COMPUTED_VALUE"""),7.31)</f>
        <v>7.31</v>
      </c>
      <c r="U999" s="48">
        <f>IFERROR(__xludf.DUMMYFUNCTION("""COMPUTED_VALUE"""),7.26)</f>
        <v>7.26</v>
      </c>
      <c r="V999" s="48">
        <f>IFERROR(__xludf.DUMMYFUNCTION("""COMPUTED_VALUE"""),7.29)</f>
        <v>7.29</v>
      </c>
      <c r="W999" s="14">
        <f>IFERROR(__xludf.DUMMYFUNCTION("""COMPUTED_VALUE"""),7.261999999999999)</f>
        <v>7.262</v>
      </c>
      <c r="X999" s="14">
        <f>IFERROR(__xludf.DUMMYFUNCTION("""COMPUTED_VALUE"""),22.3)</f>
        <v>22.3</v>
      </c>
      <c r="Y999" s="14">
        <f>IFERROR(__xludf.DUMMYFUNCTION("""COMPUTED_VALUE"""),22.2)</f>
        <v>22.2</v>
      </c>
      <c r="Z999" s="14">
        <f>IFERROR(__xludf.DUMMYFUNCTION("""COMPUTED_VALUE"""),21.9)</f>
        <v>21.9</v>
      </c>
      <c r="AA999" s="14">
        <f>IFERROR(__xludf.DUMMYFUNCTION("""COMPUTED_VALUE"""),21.7)</f>
        <v>21.7</v>
      </c>
      <c r="AB999" s="14">
        <f>IFERROR(__xludf.DUMMYFUNCTION("""COMPUTED_VALUE"""),22.0)</f>
        <v>22</v>
      </c>
      <c r="AC999" s="14">
        <f>IFERROR(__xludf.DUMMYFUNCTION("""COMPUTED_VALUE"""),22.020000000000003)</f>
        <v>22.02</v>
      </c>
      <c r="AD999" s="48">
        <f>IFERROR(__xludf.DUMMYFUNCTION("""COMPUTED_VALUE"""),609.0)</f>
        <v>609</v>
      </c>
      <c r="AE999" s="48">
        <f>IFERROR(__xludf.DUMMYFUNCTION("""COMPUTED_VALUE"""),546.0)</f>
        <v>546</v>
      </c>
      <c r="AF999" s="48">
        <f>IFERROR(__xludf.DUMMYFUNCTION("""COMPUTED_VALUE"""),563.0)</f>
        <v>563</v>
      </c>
      <c r="AG999" s="48">
        <f>IFERROR(__xludf.DUMMYFUNCTION("""COMPUTED_VALUE"""),594.0)</f>
        <v>594</v>
      </c>
      <c r="AH999" s="48">
        <f>IFERROR(__xludf.DUMMYFUNCTION("""COMPUTED_VALUE"""),607.0)</f>
        <v>607</v>
      </c>
      <c r="AI999" s="14">
        <f>IFERROR(__xludf.DUMMYFUNCTION("""COMPUTED_VALUE"""),583.8)</f>
        <v>583.8</v>
      </c>
      <c r="AJ999" s="14">
        <f>IFERROR(__xludf.DUMMYFUNCTION("""COMPUTED_VALUE"""),0.75)</f>
        <v>0.75</v>
      </c>
      <c r="AK999" s="14">
        <f>IFERROR(__xludf.DUMMYFUNCTION("""COMPUTED_VALUE"""),0.81)</f>
        <v>0.81</v>
      </c>
      <c r="AL999" s="14">
        <f>IFERROR(__xludf.DUMMYFUNCTION("""COMPUTED_VALUE"""),0.78)</f>
        <v>0.78</v>
      </c>
      <c r="AM999" s="14">
        <f>IFERROR(__xludf.DUMMYFUNCTION("""COMPUTED_VALUE"""),0.93)</f>
        <v>0.93</v>
      </c>
      <c r="AN999" s="14">
        <f>IFERROR(__xludf.DUMMYFUNCTION("""COMPUTED_VALUE"""),0.82)</f>
        <v>0.82</v>
      </c>
      <c r="AO999" s="14">
        <f>IFERROR(__xludf.DUMMYFUNCTION("""COMPUTED_VALUE"""),0.818)</f>
        <v>0.818</v>
      </c>
      <c r="AP999" s="14">
        <f>IFERROR(__xludf.DUMMYFUNCTION("""COMPUTED_VALUE"""),251.0)</f>
        <v>251</v>
      </c>
      <c r="AQ999" s="14">
        <f>IFERROR(__xludf.DUMMYFUNCTION("""COMPUTED_VALUE"""),381.0)</f>
        <v>381</v>
      </c>
      <c r="AR999" s="14">
        <f>IFERROR(__xludf.DUMMYFUNCTION("""COMPUTED_VALUE"""),228.0)</f>
        <v>228</v>
      </c>
      <c r="AS999" s="14">
        <f>IFERROR(__xludf.DUMMYFUNCTION("""COMPUTED_VALUE"""),63.0)</f>
        <v>63</v>
      </c>
      <c r="AT999" s="14">
        <f>IFERROR(__xludf.DUMMYFUNCTION("""COMPUTED_VALUE"""),6.41)</f>
        <v>6.41</v>
      </c>
      <c r="AU999" s="14">
        <f>IFERROR(__xludf.DUMMYFUNCTION("""COMPUTED_VALUE"""),7.71E7)</f>
        <v>77100000</v>
      </c>
      <c r="AV999" s="14">
        <f>IFERROR(__xludf.DUMMYFUNCTION("""COMPUTED_VALUE"""),3.64)</f>
        <v>3.64</v>
      </c>
      <c r="AW999" s="14">
        <f>IFERROR(__xludf.DUMMYFUNCTION("""COMPUTED_VALUE"""),42.3)</f>
        <v>42.3</v>
      </c>
      <c r="AX999" s="14">
        <f>IFERROR(__xludf.DUMMYFUNCTION("""COMPUTED_VALUE"""),5210000.0)</f>
        <v>5210000</v>
      </c>
      <c r="AY999" s="14">
        <f>IFERROR(__xludf.DUMMYFUNCTION("""COMPUTED_VALUE"""),2.2)</f>
        <v>2.2</v>
      </c>
      <c r="AZ999" s="14">
        <f>IFERROR(__xludf.DUMMYFUNCTION("""COMPUTED_VALUE"""),0.007)</f>
        <v>0.007</v>
      </c>
      <c r="BA999" s="14">
        <f t="shared" si="1"/>
        <v>44.507</v>
      </c>
    </row>
    <row r="1000" ht="14.25" customHeight="1">
      <c r="A1000" s="10" t="str">
        <f>IFERROR(__xludf.DUMMYFUNCTION("""COMPUTED_VALUE"""),"151223WI01")</f>
        <v>151223WI01</v>
      </c>
      <c r="B1000" s="12" t="str">
        <f>IFERROR(__xludf.DUMMYFUNCTION("""COMPUTED_VALUE"""),"QZA-Molinos")</f>
        <v>QZA-Molinos</v>
      </c>
      <c r="C1000" s="12"/>
      <c r="D1000" s="12"/>
      <c r="E1000" s="44">
        <f>IFERROR(__xludf.DUMMYFUNCTION("""COMPUTED_VALUE"""),45275.0)</f>
        <v>45275</v>
      </c>
      <c r="F1000" s="12" t="str">
        <f>IFERROR(__xludf.DUMMYFUNCTION("""COMPUTED_VALUE"""),"TIPO I")</f>
        <v>TIPO I</v>
      </c>
      <c r="G1000" s="12" t="str">
        <f>IFERROR(__xludf.DUMMYFUNCTION("""COMPUTED_VALUE"""),"Canal natural con lecho rocoso, arenoso - lodoso, durante el monitoreo se percibe olor, se observa color, material flotante y residuos sólidos en el cauce. 
Altitud: 2589 msnm. ")</f>
        <v>Canal natural con lecho rocoso, arenoso - lodoso, durante el monitoreo se percibe olor, se observa color, material flotante y residuos sólidos en el cauce. 
Altitud: 2589 msnm. </v>
      </c>
      <c r="H1000" s="45">
        <f>IFERROR(__xludf.DUMMYFUNCTION("""COMPUTED_VALUE"""),0.25)</f>
        <v>0.25</v>
      </c>
      <c r="I1000" s="45">
        <f>IFERROR(__xludf.DUMMYFUNCTION("""COMPUTED_VALUE"""),0.3333333333321207)</f>
        <v>0.3333333333</v>
      </c>
      <c r="J1000" s="12">
        <f>IFERROR(__xludf.DUMMYFUNCTION("""COMPUTED_VALUE"""),4.0)</f>
        <v>4</v>
      </c>
      <c r="K1000" s="12">
        <f>IFERROR(__xludf.DUMMYFUNCTION("""COMPUTED_VALUE"""),0.19)</f>
        <v>0.19</v>
      </c>
      <c r="L1000" s="14">
        <f>IFERROR(__xludf.DUMMYFUNCTION("""COMPUTED_VALUE"""),219.791)</f>
        <v>219.791</v>
      </c>
      <c r="M1000" s="14">
        <f>IFERROR(__xludf.DUMMYFUNCTION("""COMPUTED_VALUE"""),217.63)</f>
        <v>217.63</v>
      </c>
      <c r="N1000" s="14">
        <f>IFERROR(__xludf.DUMMYFUNCTION("""COMPUTED_VALUE"""),221.423)</f>
        <v>221.423</v>
      </c>
      <c r="O1000" s="14">
        <f>IFERROR(__xludf.DUMMYFUNCTION("""COMPUTED_VALUE"""),212.593)</f>
        <v>212.593</v>
      </c>
      <c r="P1000" s="14">
        <f>IFERROR(__xludf.DUMMYFUNCTION("""COMPUTED_VALUE"""),216.08)</f>
        <v>216.08</v>
      </c>
      <c r="Q1000" s="14">
        <f>IFERROR(__xludf.DUMMYFUNCTION("""COMPUTED_VALUE"""),217.503)</f>
        <v>217.503</v>
      </c>
      <c r="R1000" s="48">
        <f>IFERROR(__xludf.DUMMYFUNCTION("""COMPUTED_VALUE"""),7.01)</f>
        <v>7.01</v>
      </c>
      <c r="S1000" s="48">
        <f>IFERROR(__xludf.DUMMYFUNCTION("""COMPUTED_VALUE"""),6.98)</f>
        <v>6.98</v>
      </c>
      <c r="T1000" s="48">
        <f>IFERROR(__xludf.DUMMYFUNCTION("""COMPUTED_VALUE"""),6.94)</f>
        <v>6.94</v>
      </c>
      <c r="U1000" s="48">
        <f>IFERROR(__xludf.DUMMYFUNCTION("""COMPUTED_VALUE"""),6.95)</f>
        <v>6.95</v>
      </c>
      <c r="V1000" s="48">
        <f>IFERROR(__xludf.DUMMYFUNCTION("""COMPUTED_VALUE"""),7.02)</f>
        <v>7.02</v>
      </c>
      <c r="W1000" s="14">
        <f>IFERROR(__xludf.DUMMYFUNCTION("""COMPUTED_VALUE"""),6.9799999999999995)</f>
        <v>6.98</v>
      </c>
      <c r="X1000" s="14">
        <f>IFERROR(__xludf.DUMMYFUNCTION("""COMPUTED_VALUE"""),15.8)</f>
        <v>15.8</v>
      </c>
      <c r="Y1000" s="14">
        <f>IFERROR(__xludf.DUMMYFUNCTION("""COMPUTED_VALUE"""),15.9)</f>
        <v>15.9</v>
      </c>
      <c r="Z1000" s="14">
        <f>IFERROR(__xludf.DUMMYFUNCTION("""COMPUTED_VALUE"""),15.9)</f>
        <v>15.9</v>
      </c>
      <c r="AA1000" s="14">
        <f>IFERROR(__xludf.DUMMYFUNCTION("""COMPUTED_VALUE"""),16.2)</f>
        <v>16.2</v>
      </c>
      <c r="AB1000" s="14">
        <f>IFERROR(__xludf.DUMMYFUNCTION("""COMPUTED_VALUE"""),16.3)</f>
        <v>16.3</v>
      </c>
      <c r="AC1000" s="14">
        <f>IFERROR(__xludf.DUMMYFUNCTION("""COMPUTED_VALUE"""),16.02)</f>
        <v>16.02</v>
      </c>
      <c r="AD1000" s="48">
        <f>IFERROR(__xludf.DUMMYFUNCTION("""COMPUTED_VALUE"""),459.0)</f>
        <v>459</v>
      </c>
      <c r="AE1000" s="48">
        <f>IFERROR(__xludf.DUMMYFUNCTION("""COMPUTED_VALUE"""),454.0)</f>
        <v>454</v>
      </c>
      <c r="AF1000" s="48">
        <f>IFERROR(__xludf.DUMMYFUNCTION("""COMPUTED_VALUE"""),431.0)</f>
        <v>431</v>
      </c>
      <c r="AG1000" s="48">
        <f>IFERROR(__xludf.DUMMYFUNCTION("""COMPUTED_VALUE"""),429.0)</f>
        <v>429</v>
      </c>
      <c r="AH1000" s="48">
        <f>IFERROR(__xludf.DUMMYFUNCTION("""COMPUTED_VALUE"""),428.0)</f>
        <v>428</v>
      </c>
      <c r="AI1000" s="14">
        <f>IFERROR(__xludf.DUMMYFUNCTION("""COMPUTED_VALUE"""),440.2)</f>
        <v>440.2</v>
      </c>
      <c r="AJ1000" s="14">
        <f>IFERROR(__xludf.DUMMYFUNCTION("""COMPUTED_VALUE"""),3.65)</f>
        <v>3.65</v>
      </c>
      <c r="AK1000" s="14">
        <f>IFERROR(__xludf.DUMMYFUNCTION("""COMPUTED_VALUE"""),3.6)</f>
        <v>3.6</v>
      </c>
      <c r="AL1000" s="14">
        <f>IFERROR(__xludf.DUMMYFUNCTION("""COMPUTED_VALUE"""),3.52)</f>
        <v>3.52</v>
      </c>
      <c r="AM1000" s="14">
        <f>IFERROR(__xludf.DUMMYFUNCTION("""COMPUTED_VALUE"""),3.76)</f>
        <v>3.76</v>
      </c>
      <c r="AN1000" s="14">
        <f>IFERROR(__xludf.DUMMYFUNCTION("""COMPUTED_VALUE"""),3.71)</f>
        <v>3.71</v>
      </c>
      <c r="AO1000" s="14">
        <f>IFERROR(__xludf.DUMMYFUNCTION("""COMPUTED_VALUE"""),3.6479999999999997)</f>
        <v>3.648</v>
      </c>
      <c r="AP1000" s="14">
        <f>IFERROR(__xludf.DUMMYFUNCTION("""COMPUTED_VALUE"""),42.0)</f>
        <v>42</v>
      </c>
      <c r="AQ1000" s="14">
        <f>IFERROR(__xludf.DUMMYFUNCTION("""COMPUTED_VALUE"""),66.0)</f>
        <v>66</v>
      </c>
      <c r="AR1000" s="14">
        <f>IFERROR(__xludf.DUMMYFUNCTION("""COMPUTED_VALUE"""),72.0)</f>
        <v>72</v>
      </c>
      <c r="AS1000" s="14">
        <f>IFERROR(__xludf.DUMMYFUNCTION("""COMPUTED_VALUE"""),5.1)</f>
        <v>5.1</v>
      </c>
      <c r="AT1000" s="14">
        <f>IFERROR(__xludf.DUMMYFUNCTION("""COMPUTED_VALUE"""),0.56)</f>
        <v>0.56</v>
      </c>
      <c r="AU1000" s="14">
        <f>IFERROR(__xludf.DUMMYFUNCTION("""COMPUTED_VALUE"""),6160000.0)</f>
        <v>6160000</v>
      </c>
      <c r="AV1000" s="14">
        <f>IFERROR(__xludf.DUMMYFUNCTION("""COMPUTED_VALUE"""),2.74)</f>
        <v>2.74</v>
      </c>
      <c r="AW1000" s="14">
        <f>IFERROR(__xludf.DUMMYFUNCTION("""COMPUTED_VALUE"""),13.7)</f>
        <v>13.7</v>
      </c>
      <c r="AX1000" s="14">
        <f>IFERROR(__xludf.DUMMYFUNCTION("""COMPUTED_VALUE"""),4410000.0)</f>
        <v>4410000</v>
      </c>
      <c r="AY1000" s="14">
        <f>IFERROR(__xludf.DUMMYFUNCTION("""COMPUTED_VALUE"""),0.3)</f>
        <v>0.3</v>
      </c>
      <c r="AZ1000" s="14">
        <f>IFERROR(__xludf.DUMMYFUNCTION("""COMPUTED_VALUE"""),0.007)</f>
        <v>0.007</v>
      </c>
      <c r="BA1000" s="14">
        <f t="shared" si="1"/>
        <v>14.007</v>
      </c>
    </row>
    <row r="1001" ht="14.25" customHeight="1">
      <c r="A1001" s="10" t="str">
        <f>IFERROR(__xludf.DUMMYFUNCTION("""COMPUTED_VALUE"""),"161223SA01")</f>
        <v>161223SA01</v>
      </c>
      <c r="B1001" s="12" t="str">
        <f>IFERROR(__xludf.DUMMYFUNCTION("""COMPUTED_VALUE"""),"CON-Callejas")</f>
        <v>CON-Callejas</v>
      </c>
      <c r="C1001" s="12"/>
      <c r="D1001" s="12"/>
      <c r="E1001" s="44">
        <f>IFERROR(__xludf.DUMMYFUNCTION("""COMPUTED_VALUE"""),45276.0)</f>
        <v>45276</v>
      </c>
      <c r="F1001" s="12" t="str">
        <f>IFERROR(__xludf.DUMMYFUNCTION("""COMPUTED_VALUE"""),"TIPO I")</f>
        <v>TIPO I</v>
      </c>
      <c r="G1001" s="12" t="str">
        <f>IFERROR(__xludf.DUMMYFUNCTION("""COMPUTED_VALUE"""),"Canal en concreto, durante el monitoreo se observa residuos sólidos y material flotante, no se percibe olor. 
Altitud: 2563 msnm.")</f>
        <v>Canal en concreto, durante el monitoreo se observa residuos sólidos y material flotante, no se percibe olor. 
Altitud: 2563 msnm.</v>
      </c>
      <c r="H1001" s="45">
        <f>IFERROR(__xludf.DUMMYFUNCTION("""COMPUTED_VALUE"""),0.25)</f>
        <v>0.25</v>
      </c>
      <c r="I1001" s="45">
        <f>IFERROR(__xludf.DUMMYFUNCTION("""COMPUTED_VALUE"""),0.3333333333321207)</f>
        <v>0.3333333333</v>
      </c>
      <c r="J1001" s="12">
        <f>IFERROR(__xludf.DUMMYFUNCTION("""COMPUTED_VALUE"""),2.0)</f>
        <v>2</v>
      </c>
      <c r="K1001" s="12">
        <f>IFERROR(__xludf.DUMMYFUNCTION("""COMPUTED_VALUE"""),0.07)</f>
        <v>0.07</v>
      </c>
      <c r="L1001" s="14">
        <f>IFERROR(__xludf.DUMMYFUNCTION("""COMPUTED_VALUE"""),13.148)</f>
        <v>13.148</v>
      </c>
      <c r="M1001" s="14">
        <f>IFERROR(__xludf.DUMMYFUNCTION("""COMPUTED_VALUE"""),12.734)</f>
        <v>12.734</v>
      </c>
      <c r="N1001" s="14">
        <f>IFERROR(__xludf.DUMMYFUNCTION("""COMPUTED_VALUE"""),12.264)</f>
        <v>12.264</v>
      </c>
      <c r="O1001" s="14">
        <f>IFERROR(__xludf.DUMMYFUNCTION("""COMPUTED_VALUE"""),12.303)</f>
        <v>12.303</v>
      </c>
      <c r="P1001" s="14">
        <f>IFERROR(__xludf.DUMMYFUNCTION("""COMPUTED_VALUE"""),12.954)</f>
        <v>12.954</v>
      </c>
      <c r="Q1001" s="14">
        <f>IFERROR(__xludf.DUMMYFUNCTION("""COMPUTED_VALUE"""),12.68)</f>
        <v>12.68</v>
      </c>
      <c r="R1001" s="48">
        <f>IFERROR(__xludf.DUMMYFUNCTION("""COMPUTED_VALUE"""),7.2)</f>
        <v>7.2</v>
      </c>
      <c r="S1001" s="48">
        <f>IFERROR(__xludf.DUMMYFUNCTION("""COMPUTED_VALUE"""),7.55)</f>
        <v>7.55</v>
      </c>
      <c r="T1001" s="48">
        <f>IFERROR(__xludf.DUMMYFUNCTION("""COMPUTED_VALUE"""),7.14)</f>
        <v>7.14</v>
      </c>
      <c r="U1001" s="48">
        <f>IFERROR(__xludf.DUMMYFUNCTION("""COMPUTED_VALUE"""),7.39)</f>
        <v>7.39</v>
      </c>
      <c r="V1001" s="48">
        <f>IFERROR(__xludf.DUMMYFUNCTION("""COMPUTED_VALUE"""),7.55)</f>
        <v>7.55</v>
      </c>
      <c r="W1001" s="14">
        <f>IFERROR(__xludf.DUMMYFUNCTION("""COMPUTED_VALUE"""),7.366)</f>
        <v>7.366</v>
      </c>
      <c r="X1001" s="14">
        <f>IFERROR(__xludf.DUMMYFUNCTION("""COMPUTED_VALUE"""),17.3)</f>
        <v>17.3</v>
      </c>
      <c r="Y1001" s="14">
        <f>IFERROR(__xludf.DUMMYFUNCTION("""COMPUTED_VALUE"""),17.1)</f>
        <v>17.1</v>
      </c>
      <c r="Z1001" s="14">
        <f>IFERROR(__xludf.DUMMYFUNCTION("""COMPUTED_VALUE"""),17.2)</f>
        <v>17.2</v>
      </c>
      <c r="AA1001" s="14">
        <f>IFERROR(__xludf.DUMMYFUNCTION("""COMPUTED_VALUE"""),17.3)</f>
        <v>17.3</v>
      </c>
      <c r="AB1001" s="14">
        <f>IFERROR(__xludf.DUMMYFUNCTION("""COMPUTED_VALUE"""),17.1)</f>
        <v>17.1</v>
      </c>
      <c r="AC1001" s="14">
        <f>IFERROR(__xludf.DUMMYFUNCTION("""COMPUTED_VALUE"""),17.2)</f>
        <v>17.2</v>
      </c>
      <c r="AD1001" s="48">
        <f>IFERROR(__xludf.DUMMYFUNCTION("""COMPUTED_VALUE"""),485.0)</f>
        <v>485</v>
      </c>
      <c r="AE1001" s="48">
        <f>IFERROR(__xludf.DUMMYFUNCTION("""COMPUTED_VALUE"""),434.0)</f>
        <v>434</v>
      </c>
      <c r="AF1001" s="48">
        <f>IFERROR(__xludf.DUMMYFUNCTION("""COMPUTED_VALUE"""),456.0)</f>
        <v>456</v>
      </c>
      <c r="AG1001" s="48">
        <f>IFERROR(__xludf.DUMMYFUNCTION("""COMPUTED_VALUE"""),444.0)</f>
        <v>444</v>
      </c>
      <c r="AH1001" s="48">
        <f>IFERROR(__xludf.DUMMYFUNCTION("""COMPUTED_VALUE"""),424.0)</f>
        <v>424</v>
      </c>
      <c r="AI1001" s="14">
        <f>IFERROR(__xludf.DUMMYFUNCTION("""COMPUTED_VALUE"""),448.6)</f>
        <v>448.6</v>
      </c>
      <c r="AJ1001" s="14">
        <f>IFERROR(__xludf.DUMMYFUNCTION("""COMPUTED_VALUE"""),5.91)</f>
        <v>5.91</v>
      </c>
      <c r="AK1001" s="14">
        <f>IFERROR(__xludf.DUMMYFUNCTION("""COMPUTED_VALUE"""),5.03)</f>
        <v>5.03</v>
      </c>
      <c r="AL1001" s="14">
        <f>IFERROR(__xludf.DUMMYFUNCTION("""COMPUTED_VALUE"""),5.32)</f>
        <v>5.32</v>
      </c>
      <c r="AM1001" s="14">
        <f>IFERROR(__xludf.DUMMYFUNCTION("""COMPUTED_VALUE"""),5.17)</f>
        <v>5.17</v>
      </c>
      <c r="AN1001" s="14">
        <f>IFERROR(__xludf.DUMMYFUNCTION("""COMPUTED_VALUE"""),5.7)</f>
        <v>5.7</v>
      </c>
      <c r="AO1001" s="14">
        <f>IFERROR(__xludf.DUMMYFUNCTION("""COMPUTED_VALUE"""),5.426)</f>
        <v>5.426</v>
      </c>
      <c r="AP1001" s="14">
        <f>IFERROR(__xludf.DUMMYFUNCTION("""COMPUTED_VALUE"""),16.0)</f>
        <v>16</v>
      </c>
      <c r="AQ1001" s="14">
        <f>IFERROR(__xludf.DUMMYFUNCTION("""COMPUTED_VALUE"""),25.0)</f>
        <v>25</v>
      </c>
      <c r="AR1001" s="14">
        <f>IFERROR(__xludf.DUMMYFUNCTION("""COMPUTED_VALUE"""),21.0)</f>
        <v>21</v>
      </c>
      <c r="AS1001" s="14">
        <f>IFERROR(__xludf.DUMMYFUNCTION("""COMPUTED_VALUE"""),1.0)</f>
        <v>1</v>
      </c>
      <c r="AT1001" s="14">
        <f>IFERROR(__xludf.DUMMYFUNCTION("""COMPUTED_VALUE"""),0.67)</f>
        <v>0.67</v>
      </c>
      <c r="AU1001" s="14">
        <f>IFERROR(__xludf.DUMMYFUNCTION("""COMPUTED_VALUE"""),159700.0)</f>
        <v>159700</v>
      </c>
      <c r="AV1001" s="14">
        <f>IFERROR(__xludf.DUMMYFUNCTION("""COMPUTED_VALUE"""),1.54)</f>
        <v>1.54</v>
      </c>
      <c r="AW1001" s="14">
        <f>IFERROR(__xludf.DUMMYFUNCTION("""COMPUTED_VALUE"""),15.4)</f>
        <v>15.4</v>
      </c>
      <c r="AX1001" s="14">
        <f>IFERROR(__xludf.DUMMYFUNCTION("""COMPUTED_VALUE"""),141400.0)</f>
        <v>141400</v>
      </c>
      <c r="AY1001" s="14">
        <f>IFERROR(__xludf.DUMMYFUNCTION("""COMPUTED_VALUE"""),0.4)</f>
        <v>0.4</v>
      </c>
      <c r="AZ1001" s="14">
        <f>IFERROR(__xludf.DUMMYFUNCTION("""COMPUTED_VALUE"""),0.007)</f>
        <v>0.007</v>
      </c>
      <c r="BA1001" s="14">
        <f t="shared" si="1"/>
        <v>15.807</v>
      </c>
    </row>
    <row r="1002" ht="14.25" customHeight="1">
      <c r="A1002" s="10" t="str">
        <f>IFERROR(__xludf.DUMMYFUNCTION("""COMPUTED_VALUE"""),"161223SA02")</f>
        <v>161223SA02</v>
      </c>
      <c r="B1002" s="12" t="str">
        <f>IFERROR(__xludf.DUMMYFUNCTION("""COMPUTED_VALUE"""),"CON-Bella Suiza")</f>
        <v>CON-Bella Suiza</v>
      </c>
      <c r="C1002" s="12"/>
      <c r="D1002" s="12"/>
      <c r="E1002" s="44">
        <f>IFERROR(__xludf.DUMMYFUNCTION("""COMPUTED_VALUE"""),45276.0)</f>
        <v>45276</v>
      </c>
      <c r="F1002" s="12" t="str">
        <f>IFERROR(__xludf.DUMMYFUNCTION("""COMPUTED_VALUE"""),"TIPO I")</f>
        <v>TIPO I</v>
      </c>
      <c r="G1002" s="12" t="str">
        <f>IFERROR(__xludf.DUMMYFUNCTION("""COMPUTED_VALUE"""),"Canal en concreto con lecho lodoso, rocoso, durante el monitoreo se observa color y se percibe olor. 
Altitud: 2584 msnm. ")</f>
        <v>Canal en concreto con lecho lodoso, rocoso, durante el monitoreo se observa color y se percibe olor. 
Altitud: 2584 msnm. </v>
      </c>
      <c r="H1002" s="45">
        <f>IFERROR(__xludf.DUMMYFUNCTION("""COMPUTED_VALUE"""),0.4166666666678793)</f>
        <v>0.4166666667</v>
      </c>
      <c r="I1002" s="45">
        <f>IFERROR(__xludf.DUMMYFUNCTION("""COMPUTED_VALUE"""),0.5)</f>
        <v>0.5</v>
      </c>
      <c r="J1002" s="12">
        <f>IFERROR(__xludf.DUMMYFUNCTION("""COMPUTED_VALUE"""),0.9)</f>
        <v>0.9</v>
      </c>
      <c r="K1002" s="12">
        <f>IFERROR(__xludf.DUMMYFUNCTION("""COMPUTED_VALUE"""),0.1)</f>
        <v>0.1</v>
      </c>
      <c r="L1002" s="14">
        <f>IFERROR(__xludf.DUMMYFUNCTION("""COMPUTED_VALUE"""),12.005)</f>
        <v>12.005</v>
      </c>
      <c r="M1002" s="14">
        <f>IFERROR(__xludf.DUMMYFUNCTION("""COMPUTED_VALUE"""),12.181)</f>
        <v>12.181</v>
      </c>
      <c r="N1002" s="14">
        <f>IFERROR(__xludf.DUMMYFUNCTION("""COMPUTED_VALUE"""),12.368)</f>
        <v>12.368</v>
      </c>
      <c r="O1002" s="14">
        <f>IFERROR(__xludf.DUMMYFUNCTION("""COMPUTED_VALUE"""),12.221)</f>
        <v>12.221</v>
      </c>
      <c r="P1002" s="14">
        <f>IFERROR(__xludf.DUMMYFUNCTION("""COMPUTED_VALUE"""),12.551)</f>
        <v>12.551</v>
      </c>
      <c r="Q1002" s="14">
        <f>IFERROR(__xludf.DUMMYFUNCTION("""COMPUTED_VALUE"""),12.265)</f>
        <v>12.265</v>
      </c>
      <c r="R1002" s="48">
        <f>IFERROR(__xludf.DUMMYFUNCTION("""COMPUTED_VALUE"""),7.05)</f>
        <v>7.05</v>
      </c>
      <c r="S1002" s="48">
        <f>IFERROR(__xludf.DUMMYFUNCTION("""COMPUTED_VALUE"""),7.13)</f>
        <v>7.13</v>
      </c>
      <c r="T1002" s="48">
        <f>IFERROR(__xludf.DUMMYFUNCTION("""COMPUTED_VALUE"""),7.23)</f>
        <v>7.23</v>
      </c>
      <c r="U1002" s="48">
        <f>IFERROR(__xludf.DUMMYFUNCTION("""COMPUTED_VALUE"""),7.31)</f>
        <v>7.31</v>
      </c>
      <c r="V1002" s="48">
        <f>IFERROR(__xludf.DUMMYFUNCTION("""COMPUTED_VALUE"""),7.39)</f>
        <v>7.39</v>
      </c>
      <c r="W1002" s="14">
        <f>IFERROR(__xludf.DUMMYFUNCTION("""COMPUTED_VALUE"""),7.2219999999999995)</f>
        <v>7.222</v>
      </c>
      <c r="X1002" s="14">
        <f>IFERROR(__xludf.DUMMYFUNCTION("""COMPUTED_VALUE"""),19.3)</f>
        <v>19.3</v>
      </c>
      <c r="Y1002" s="14">
        <f>IFERROR(__xludf.DUMMYFUNCTION("""COMPUTED_VALUE"""),19.0)</f>
        <v>19</v>
      </c>
      <c r="Z1002" s="14">
        <f>IFERROR(__xludf.DUMMYFUNCTION("""COMPUTED_VALUE"""),19.1)</f>
        <v>19.1</v>
      </c>
      <c r="AA1002" s="14">
        <f>IFERROR(__xludf.DUMMYFUNCTION("""COMPUTED_VALUE"""),19.0)</f>
        <v>19</v>
      </c>
      <c r="AB1002" s="14">
        <f>IFERROR(__xludf.DUMMYFUNCTION("""COMPUTED_VALUE"""),19.3)</f>
        <v>19.3</v>
      </c>
      <c r="AC1002" s="14">
        <f>IFERROR(__xludf.DUMMYFUNCTION("""COMPUTED_VALUE"""),19.14)</f>
        <v>19.14</v>
      </c>
      <c r="AD1002" s="48">
        <f>IFERROR(__xludf.DUMMYFUNCTION("""COMPUTED_VALUE"""),416.0)</f>
        <v>416</v>
      </c>
      <c r="AE1002" s="48">
        <f>IFERROR(__xludf.DUMMYFUNCTION("""COMPUTED_VALUE"""),386.0)</f>
        <v>386</v>
      </c>
      <c r="AF1002" s="48">
        <f>IFERROR(__xludf.DUMMYFUNCTION("""COMPUTED_VALUE"""),466.0)</f>
        <v>466</v>
      </c>
      <c r="AG1002" s="48">
        <f>IFERROR(__xludf.DUMMYFUNCTION("""COMPUTED_VALUE"""),436.0)</f>
        <v>436</v>
      </c>
      <c r="AH1002" s="48">
        <f>IFERROR(__xludf.DUMMYFUNCTION("""COMPUTED_VALUE"""),493.0)</f>
        <v>493</v>
      </c>
      <c r="AI1002" s="14">
        <f>IFERROR(__xludf.DUMMYFUNCTION("""COMPUTED_VALUE"""),439.4)</f>
        <v>439.4</v>
      </c>
      <c r="AJ1002" s="14">
        <f>IFERROR(__xludf.DUMMYFUNCTION("""COMPUTED_VALUE"""),3.73)</f>
        <v>3.73</v>
      </c>
      <c r="AK1002" s="14">
        <f>IFERROR(__xludf.DUMMYFUNCTION("""COMPUTED_VALUE"""),3.59)</f>
        <v>3.59</v>
      </c>
      <c r="AL1002" s="14">
        <f>IFERROR(__xludf.DUMMYFUNCTION("""COMPUTED_VALUE"""),3.15)</f>
        <v>3.15</v>
      </c>
      <c r="AM1002" s="14">
        <f>IFERROR(__xludf.DUMMYFUNCTION("""COMPUTED_VALUE"""),3.35)</f>
        <v>3.35</v>
      </c>
      <c r="AN1002" s="14">
        <f>IFERROR(__xludf.DUMMYFUNCTION("""COMPUTED_VALUE"""),3.69)</f>
        <v>3.69</v>
      </c>
      <c r="AO1002" s="14">
        <f>IFERROR(__xludf.DUMMYFUNCTION("""COMPUTED_VALUE"""),3.5020000000000002)</f>
        <v>3.502</v>
      </c>
      <c r="AP1002" s="14">
        <f>IFERROR(__xludf.DUMMYFUNCTION("""COMPUTED_VALUE"""),43.0)</f>
        <v>43</v>
      </c>
      <c r="AQ1002" s="14">
        <f>IFERROR(__xludf.DUMMYFUNCTION("""COMPUTED_VALUE"""),67.0)</f>
        <v>67</v>
      </c>
      <c r="AR1002" s="14">
        <f>IFERROR(__xludf.DUMMYFUNCTION("""COMPUTED_VALUE"""),27.0)</f>
        <v>27</v>
      </c>
      <c r="AS1002" s="14">
        <f>IFERROR(__xludf.DUMMYFUNCTION("""COMPUTED_VALUE"""),5.4)</f>
        <v>5.4</v>
      </c>
      <c r="AT1002" s="14">
        <f>IFERROR(__xludf.DUMMYFUNCTION("""COMPUTED_VALUE"""),1.56)</f>
        <v>1.56</v>
      </c>
      <c r="AU1002" s="14">
        <f>IFERROR(__xludf.DUMMYFUNCTION("""COMPUTED_VALUE"""),1462000.0)</f>
        <v>1462000</v>
      </c>
      <c r="AV1002" s="14">
        <f>IFERROR(__xludf.DUMMYFUNCTION("""COMPUTED_VALUE"""),2.1)</f>
        <v>2.1</v>
      </c>
      <c r="AW1002" s="14">
        <f>IFERROR(__xludf.DUMMYFUNCTION("""COMPUTED_VALUE"""),21.8)</f>
        <v>21.8</v>
      </c>
      <c r="AX1002" s="14">
        <f>IFERROR(__xludf.DUMMYFUNCTION("""COMPUTED_VALUE"""),1324000.0)</f>
        <v>1324000</v>
      </c>
      <c r="AY1002" s="14">
        <f>IFERROR(__xludf.DUMMYFUNCTION("""COMPUTED_VALUE"""),0.5)</f>
        <v>0.5</v>
      </c>
      <c r="AZ1002" s="14">
        <f>IFERROR(__xludf.DUMMYFUNCTION("""COMPUTED_VALUE"""),1.055)</f>
        <v>1.055</v>
      </c>
      <c r="BA1002" s="14">
        <f t="shared" si="1"/>
        <v>23.355</v>
      </c>
    </row>
    <row r="1003" ht="14.25" customHeight="1">
      <c r="A1003" s="10" t="str">
        <f>IFERROR(__xludf.DUMMYFUNCTION("""COMPUTED_VALUE"""),"181223HA01")</f>
        <v>181223HA01</v>
      </c>
      <c r="B1003" s="12" t="str">
        <f>IFERROR(__xludf.DUMMYFUNCTION("""COMPUTED_VALUE"""),"COR-Prado Veraniego")</f>
        <v>COR-Prado Veraniego</v>
      </c>
      <c r="C1003" s="12"/>
      <c r="D1003" s="12"/>
      <c r="E1003" s="44">
        <f>IFERROR(__xludf.DUMMYFUNCTION("""COMPUTED_VALUE"""),45278.0)</f>
        <v>45278</v>
      </c>
      <c r="F1003" s="12" t="str">
        <f>IFERROR(__xludf.DUMMYFUNCTION("""COMPUTED_VALUE"""),"TIPO I")</f>
        <v>TIPO I</v>
      </c>
      <c r="G1003" s="12" t="str">
        <f>IFERROR(__xludf.DUMMYFUNCTION("""COMPUTED_VALUE"""),"Canal en concreto, durante el monitoreo se percibe olor, se observa color y material flotante, debido a las dimenciones de la sección de aforo, que fueron por las lluvias previas a la actividad, no se pudo garantizar la medición de los cinco caudales en e"&amp;"l tiempo de monitoreo previsto. 
Altitud: 2568 msnm. ")</f>
        <v>Canal en concreto, durante el monitoreo se percibe olor, se observa color y material flotante, debido a las dimenciones de la sección de aforo, que fueron por las lluvias previas a la actividad, no se pudo garantizar la medición de los cinco caudales en el tiempo de monitoreo previsto. 
Altitud: 2568 msnm. </v>
      </c>
      <c r="H1003" s="45">
        <f>IFERROR(__xludf.DUMMYFUNCTION("""COMPUTED_VALUE"""),0.25)</f>
        <v>0.25</v>
      </c>
      <c r="I1003" s="45">
        <f>IFERROR(__xludf.DUMMYFUNCTION("""COMPUTED_VALUE"""),0.3333333333321207)</f>
        <v>0.3333333333</v>
      </c>
      <c r="J1003" s="12">
        <f>IFERROR(__xludf.DUMMYFUNCTION("""COMPUTED_VALUE"""),14.0)</f>
        <v>14</v>
      </c>
      <c r="K1003" s="12">
        <f>IFERROR(__xludf.DUMMYFUNCTION("""COMPUTED_VALUE"""),0.75)</f>
        <v>0.75</v>
      </c>
      <c r="L1003" s="14">
        <f>IFERROR(__xludf.DUMMYFUNCTION("""COMPUTED_VALUE"""),814.838)</f>
        <v>814.838</v>
      </c>
      <c r="M1003" s="14">
        <f>IFERROR(__xludf.DUMMYFUNCTION("""COMPUTED_VALUE"""),840.525)</f>
        <v>840.525</v>
      </c>
      <c r="N1003" s="14">
        <f>IFERROR(__xludf.DUMMYFUNCTION("""COMPUTED_VALUE"""),831.748)</f>
        <v>831.748</v>
      </c>
      <c r="O1003" s="14">
        <f>IFERROR(__xludf.DUMMYFUNCTION("""COMPUTED_VALUE"""),813.994)</f>
        <v>813.994</v>
      </c>
      <c r="P1003" s="14"/>
      <c r="Q1003" s="14">
        <f>IFERROR(__xludf.DUMMYFUNCTION("""COMPUTED_VALUE"""),825.276)</f>
        <v>825.276</v>
      </c>
      <c r="R1003" s="48">
        <f>IFERROR(__xludf.DUMMYFUNCTION("""COMPUTED_VALUE"""),7.14)</f>
        <v>7.14</v>
      </c>
      <c r="S1003" s="48">
        <f>IFERROR(__xludf.DUMMYFUNCTION("""COMPUTED_VALUE"""),6.8)</f>
        <v>6.8</v>
      </c>
      <c r="T1003" s="48">
        <f>IFERROR(__xludf.DUMMYFUNCTION("""COMPUTED_VALUE"""),6.93)</f>
        <v>6.93</v>
      </c>
      <c r="U1003" s="48">
        <f>IFERROR(__xludf.DUMMYFUNCTION("""COMPUTED_VALUE"""),6.77)</f>
        <v>6.77</v>
      </c>
      <c r="V1003" s="48">
        <f>IFERROR(__xludf.DUMMYFUNCTION("""COMPUTED_VALUE"""),6.63)</f>
        <v>6.63</v>
      </c>
      <c r="W1003" s="14">
        <f>IFERROR(__xludf.DUMMYFUNCTION("""COMPUTED_VALUE"""),6.853999999999999)</f>
        <v>6.854</v>
      </c>
      <c r="X1003" s="14">
        <f>IFERROR(__xludf.DUMMYFUNCTION("""COMPUTED_VALUE"""),18.3)</f>
        <v>18.3</v>
      </c>
      <c r="Y1003" s="14">
        <f>IFERROR(__xludf.DUMMYFUNCTION("""COMPUTED_VALUE"""),18.1)</f>
        <v>18.1</v>
      </c>
      <c r="Z1003" s="14">
        <f>IFERROR(__xludf.DUMMYFUNCTION("""COMPUTED_VALUE"""),18.2)</f>
        <v>18.2</v>
      </c>
      <c r="AA1003" s="14">
        <f>IFERROR(__xludf.DUMMYFUNCTION("""COMPUTED_VALUE"""),18.1)</f>
        <v>18.1</v>
      </c>
      <c r="AB1003" s="14">
        <f>IFERROR(__xludf.DUMMYFUNCTION("""COMPUTED_VALUE"""),18.7)</f>
        <v>18.7</v>
      </c>
      <c r="AC1003" s="14">
        <f>IFERROR(__xludf.DUMMYFUNCTION("""COMPUTED_VALUE"""),18.280000000000005)</f>
        <v>18.28</v>
      </c>
      <c r="AD1003" s="48">
        <f>IFERROR(__xludf.DUMMYFUNCTION("""COMPUTED_VALUE"""),170.9)</f>
        <v>170.9</v>
      </c>
      <c r="AE1003" s="48">
        <f>IFERROR(__xludf.DUMMYFUNCTION("""COMPUTED_VALUE"""),159.7)</f>
        <v>159.7</v>
      </c>
      <c r="AF1003" s="48">
        <f>IFERROR(__xludf.DUMMYFUNCTION("""COMPUTED_VALUE"""),158.5)</f>
        <v>158.5</v>
      </c>
      <c r="AG1003" s="48">
        <f>IFERROR(__xludf.DUMMYFUNCTION("""COMPUTED_VALUE"""),179.6)</f>
        <v>179.6</v>
      </c>
      <c r="AH1003" s="48">
        <f>IFERROR(__xludf.DUMMYFUNCTION("""COMPUTED_VALUE"""),200.0)</f>
        <v>200</v>
      </c>
      <c r="AI1003" s="14">
        <f>IFERROR(__xludf.DUMMYFUNCTION("""COMPUTED_VALUE"""),173.74)</f>
        <v>173.74</v>
      </c>
      <c r="AJ1003" s="14">
        <f>IFERROR(__xludf.DUMMYFUNCTION("""COMPUTED_VALUE"""),4.03)</f>
        <v>4.03</v>
      </c>
      <c r="AK1003" s="14">
        <f>IFERROR(__xludf.DUMMYFUNCTION("""COMPUTED_VALUE"""),4.43)</f>
        <v>4.43</v>
      </c>
      <c r="AL1003" s="14">
        <f>IFERROR(__xludf.DUMMYFUNCTION("""COMPUTED_VALUE"""),4.64)</f>
        <v>4.64</v>
      </c>
      <c r="AM1003" s="14">
        <f>IFERROR(__xludf.DUMMYFUNCTION("""COMPUTED_VALUE"""),4.5)</f>
        <v>4.5</v>
      </c>
      <c r="AN1003" s="14">
        <f>IFERROR(__xludf.DUMMYFUNCTION("""COMPUTED_VALUE"""),4.35)</f>
        <v>4.35</v>
      </c>
      <c r="AO1003" s="14">
        <f>IFERROR(__xludf.DUMMYFUNCTION("""COMPUTED_VALUE"""),4.390000000000001)</f>
        <v>4.39</v>
      </c>
      <c r="AP1003" s="14">
        <f>IFERROR(__xludf.DUMMYFUNCTION("""COMPUTED_VALUE"""),5.0)</f>
        <v>5</v>
      </c>
      <c r="AQ1003" s="14">
        <f>IFERROR(__xludf.DUMMYFUNCTION("""COMPUTED_VALUE"""),7.0)</f>
        <v>7</v>
      </c>
      <c r="AR1003" s="14">
        <f>IFERROR(__xludf.DUMMYFUNCTION("""COMPUTED_VALUE"""),24.0)</f>
        <v>24</v>
      </c>
      <c r="AS1003" s="14">
        <f>IFERROR(__xludf.DUMMYFUNCTION("""COMPUTED_VALUE"""),1.0)</f>
        <v>1</v>
      </c>
      <c r="AT1003" s="14">
        <f>IFERROR(__xludf.DUMMYFUNCTION("""COMPUTED_VALUE"""),0.07)</f>
        <v>0.07</v>
      </c>
      <c r="AU1003" s="14">
        <f>IFERROR(__xludf.DUMMYFUNCTION("""COMPUTED_VALUE"""),836000.0)</f>
        <v>836000</v>
      </c>
      <c r="AV1003" s="14">
        <f>IFERROR(__xludf.DUMMYFUNCTION("""COMPUTED_VALUE"""),0.1)</f>
        <v>0.1</v>
      </c>
      <c r="AW1003" s="14">
        <f>IFERROR(__xludf.DUMMYFUNCTION("""COMPUTED_VALUE"""),2.8)</f>
        <v>2.8</v>
      </c>
      <c r="AX1003" s="14">
        <f>IFERROR(__xludf.DUMMYFUNCTION("""COMPUTED_VALUE"""),512.0)</f>
        <v>512</v>
      </c>
      <c r="AY1003" s="14">
        <f>IFERROR(__xludf.DUMMYFUNCTION("""COMPUTED_VALUE"""),2.4)</f>
        <v>2.4</v>
      </c>
      <c r="AZ1003" s="14">
        <f>IFERROR(__xludf.DUMMYFUNCTION("""COMPUTED_VALUE"""),0.172)</f>
        <v>0.172</v>
      </c>
      <c r="BA1003" s="14">
        <f t="shared" si="1"/>
        <v>5.372</v>
      </c>
    </row>
    <row r="1004" ht="14.25" customHeight="1">
      <c r="A1004" s="10" t="str">
        <f>IFERROR(__xludf.DUMMYFUNCTION("""COMPUTED_VALUE"""),"181223HA02")</f>
        <v>181223HA02</v>
      </c>
      <c r="B1004" s="12" t="str">
        <f>IFERROR(__xludf.DUMMYFUNCTION("""COMPUTED_VALUE"""),"COR-Victoria Norte")</f>
        <v>COR-Victoria Norte</v>
      </c>
      <c r="C1004" s="12"/>
      <c r="D1004" s="12"/>
      <c r="E1004" s="44">
        <f>IFERROR(__xludf.DUMMYFUNCTION("""COMPUTED_VALUE"""),45278.0)</f>
        <v>45278</v>
      </c>
      <c r="F1004" s="12" t="str">
        <f>IFERROR(__xludf.DUMMYFUNCTION("""COMPUTED_VALUE"""),"TIPO I")</f>
        <v>TIPO I</v>
      </c>
      <c r="G1004" s="12" t="str">
        <f>IFERROR(__xludf.DUMMYFUNCTION("""COMPUTED_VALUE"""),"Canal en concreto, durante el monitoreo se observa color y se percibe olor.
Altitud: 2560 msnm. ")</f>
        <v>Canal en concreto, durante el monitoreo se observa color y se percibe olor.
Altitud: 2560 msnm. </v>
      </c>
      <c r="H1004" s="45">
        <f>IFERROR(__xludf.DUMMYFUNCTION("""COMPUTED_VALUE"""),0.4166666666678793)</f>
        <v>0.4166666667</v>
      </c>
      <c r="I1004" s="45">
        <f>IFERROR(__xludf.DUMMYFUNCTION("""COMPUTED_VALUE"""),0.5)</f>
        <v>0.5</v>
      </c>
      <c r="J1004" s="12">
        <f>IFERROR(__xludf.DUMMYFUNCTION("""COMPUTED_VALUE"""),5.0)</f>
        <v>5</v>
      </c>
      <c r="K1004" s="12">
        <f>IFERROR(__xludf.DUMMYFUNCTION("""COMPUTED_VALUE"""),0.15)</f>
        <v>0.15</v>
      </c>
      <c r="L1004" s="14">
        <f>IFERROR(__xludf.DUMMYFUNCTION("""COMPUTED_VALUE"""),181.975)</f>
        <v>181.975</v>
      </c>
      <c r="M1004" s="14">
        <f>IFERROR(__xludf.DUMMYFUNCTION("""COMPUTED_VALUE"""),184.673)</f>
        <v>184.673</v>
      </c>
      <c r="N1004" s="14">
        <f>IFERROR(__xludf.DUMMYFUNCTION("""COMPUTED_VALUE"""),183.999)</f>
        <v>183.999</v>
      </c>
      <c r="O1004" s="14">
        <f>IFERROR(__xludf.DUMMYFUNCTION("""COMPUTED_VALUE"""),185.708)</f>
        <v>185.708</v>
      </c>
      <c r="P1004" s="14">
        <f>IFERROR(__xludf.DUMMYFUNCTION("""COMPUTED_VALUE"""),185.944)</f>
        <v>185.944</v>
      </c>
      <c r="Q1004" s="14">
        <f>IFERROR(__xludf.DUMMYFUNCTION("""COMPUTED_VALUE"""),184.46)</f>
        <v>184.46</v>
      </c>
      <c r="R1004" s="48">
        <f>IFERROR(__xludf.DUMMYFUNCTION("""COMPUTED_VALUE"""),8.48)</f>
        <v>8.48</v>
      </c>
      <c r="S1004" s="48">
        <f>IFERROR(__xludf.DUMMYFUNCTION("""COMPUTED_VALUE"""),7.01)</f>
        <v>7.01</v>
      </c>
      <c r="T1004" s="48">
        <f>IFERROR(__xludf.DUMMYFUNCTION("""COMPUTED_VALUE"""),7.13)</f>
        <v>7.13</v>
      </c>
      <c r="U1004" s="48">
        <f>IFERROR(__xludf.DUMMYFUNCTION("""COMPUTED_VALUE"""),7.23)</f>
        <v>7.23</v>
      </c>
      <c r="V1004" s="48">
        <f>IFERROR(__xludf.DUMMYFUNCTION("""COMPUTED_VALUE"""),7.31)</f>
        <v>7.31</v>
      </c>
      <c r="W1004" s="14">
        <f>IFERROR(__xludf.DUMMYFUNCTION("""COMPUTED_VALUE"""),7.432)</f>
        <v>7.432</v>
      </c>
      <c r="X1004" s="14">
        <f>IFERROR(__xludf.DUMMYFUNCTION("""COMPUTED_VALUE"""),20.7)</f>
        <v>20.7</v>
      </c>
      <c r="Y1004" s="14">
        <f>IFERROR(__xludf.DUMMYFUNCTION("""COMPUTED_VALUE"""),21.9)</f>
        <v>21.9</v>
      </c>
      <c r="Z1004" s="14">
        <f>IFERROR(__xludf.DUMMYFUNCTION("""COMPUTED_VALUE"""),22.3)</f>
        <v>22.3</v>
      </c>
      <c r="AA1004" s="14">
        <f>IFERROR(__xludf.DUMMYFUNCTION("""COMPUTED_VALUE"""),21.3)</f>
        <v>21.3</v>
      </c>
      <c r="AB1004" s="14">
        <f>IFERROR(__xludf.DUMMYFUNCTION("""COMPUTED_VALUE"""),21.4)</f>
        <v>21.4</v>
      </c>
      <c r="AC1004" s="14">
        <f>IFERROR(__xludf.DUMMYFUNCTION("""COMPUTED_VALUE"""),21.52)</f>
        <v>21.52</v>
      </c>
      <c r="AD1004" s="48">
        <f>IFERROR(__xludf.DUMMYFUNCTION("""COMPUTED_VALUE"""),282.0)</f>
        <v>282</v>
      </c>
      <c r="AE1004" s="48">
        <f>IFERROR(__xludf.DUMMYFUNCTION("""COMPUTED_VALUE"""),295.0)</f>
        <v>295</v>
      </c>
      <c r="AF1004" s="48">
        <f>IFERROR(__xludf.DUMMYFUNCTION("""COMPUTED_VALUE"""),311.0)</f>
        <v>311</v>
      </c>
      <c r="AG1004" s="48">
        <f>IFERROR(__xludf.DUMMYFUNCTION("""COMPUTED_VALUE"""),308.0)</f>
        <v>308</v>
      </c>
      <c r="AH1004" s="48">
        <f>IFERROR(__xludf.DUMMYFUNCTION("""COMPUTED_VALUE"""),296.0)</f>
        <v>296</v>
      </c>
      <c r="AI1004" s="14">
        <f>IFERROR(__xludf.DUMMYFUNCTION("""COMPUTED_VALUE"""),298.4)</f>
        <v>298.4</v>
      </c>
      <c r="AJ1004" s="14">
        <f>IFERROR(__xludf.DUMMYFUNCTION("""COMPUTED_VALUE"""),4.29)</f>
        <v>4.29</v>
      </c>
      <c r="AK1004" s="14">
        <f>IFERROR(__xludf.DUMMYFUNCTION("""COMPUTED_VALUE"""),4.2)</f>
        <v>4.2</v>
      </c>
      <c r="AL1004" s="14">
        <f>IFERROR(__xludf.DUMMYFUNCTION("""COMPUTED_VALUE"""),4.31)</f>
        <v>4.31</v>
      </c>
      <c r="AM1004" s="14">
        <f>IFERROR(__xludf.DUMMYFUNCTION("""COMPUTED_VALUE"""),4.58)</f>
        <v>4.58</v>
      </c>
      <c r="AN1004" s="14">
        <f>IFERROR(__xludf.DUMMYFUNCTION("""COMPUTED_VALUE"""),4.23)</f>
        <v>4.23</v>
      </c>
      <c r="AO1004" s="14">
        <f>IFERROR(__xludf.DUMMYFUNCTION("""COMPUTED_VALUE"""),4.322000000000001)</f>
        <v>4.322</v>
      </c>
      <c r="AP1004" s="14">
        <f>IFERROR(__xludf.DUMMYFUNCTION("""COMPUTED_VALUE"""),17.0)</f>
        <v>17</v>
      </c>
      <c r="AQ1004" s="14">
        <f>IFERROR(__xludf.DUMMYFUNCTION("""COMPUTED_VALUE"""),25.0)</f>
        <v>25</v>
      </c>
      <c r="AR1004" s="14">
        <f>IFERROR(__xludf.DUMMYFUNCTION("""COMPUTED_VALUE"""),46.0)</f>
        <v>46</v>
      </c>
      <c r="AS1004" s="14">
        <f>IFERROR(__xludf.DUMMYFUNCTION("""COMPUTED_VALUE"""),1.0)</f>
        <v>1</v>
      </c>
      <c r="AT1004" s="14">
        <f>IFERROR(__xludf.DUMMYFUNCTION("""COMPUTED_VALUE"""),0.07)</f>
        <v>0.07</v>
      </c>
      <c r="AU1004" s="14">
        <f>IFERROR(__xludf.DUMMYFUNCTION("""COMPUTED_VALUE"""),1.506E7)</f>
        <v>15060000</v>
      </c>
      <c r="AV1004" s="14">
        <f>IFERROR(__xludf.DUMMYFUNCTION("""COMPUTED_VALUE"""),0.22)</f>
        <v>0.22</v>
      </c>
      <c r="AW1004" s="14">
        <f>IFERROR(__xludf.DUMMYFUNCTION("""COMPUTED_VALUE"""),7.0)</f>
        <v>7</v>
      </c>
      <c r="AX1004" s="14">
        <f>IFERROR(__xludf.DUMMYFUNCTION("""COMPUTED_VALUE"""),1122000.0)</f>
        <v>1122000</v>
      </c>
      <c r="AY1004" s="14">
        <f>IFERROR(__xludf.DUMMYFUNCTION("""COMPUTED_VALUE"""),2.0)</f>
        <v>2</v>
      </c>
      <c r="AZ1004" s="14">
        <f>IFERROR(__xludf.DUMMYFUNCTION("""COMPUTED_VALUE"""),0.675)</f>
        <v>0.675</v>
      </c>
      <c r="BA1004" s="14">
        <f t="shared" si="1"/>
        <v>9.675</v>
      </c>
    </row>
    <row r="1005" ht="14.25" customHeight="1">
      <c r="A1005" s="10" t="str">
        <f>IFERROR(__xludf.DUMMYFUNCTION("""COMPUTED_VALUE"""),"181223HA03")</f>
        <v>181223HA03</v>
      </c>
      <c r="B1005" s="12" t="str">
        <f>IFERROR(__xludf.DUMMYFUNCTION("""COMPUTED_VALUE"""),"COR-Britalia")</f>
        <v>COR-Britalia</v>
      </c>
      <c r="C1005" s="12"/>
      <c r="D1005" s="12"/>
      <c r="E1005" s="44">
        <f>IFERROR(__xludf.DUMMYFUNCTION("""COMPUTED_VALUE"""),45278.0)</f>
        <v>45278</v>
      </c>
      <c r="F1005" s="12" t="str">
        <f>IFERROR(__xludf.DUMMYFUNCTION("""COMPUTED_VALUE"""),"TIPO I")</f>
        <v>TIPO I</v>
      </c>
      <c r="G1005" s="12" t="str">
        <f>IFERROR(__xludf.DUMMYFUNCTION("""COMPUTED_VALUE"""),"Canal en concreto, durante el monitoreo se observa color y se percibe olor. 
Altitud: 2571 msnm. ")</f>
        <v>Canal en concreto, durante el monitoreo se observa color y se percibe olor. 
Altitud: 2571 msnm. </v>
      </c>
      <c r="H1005" s="45">
        <f>IFERROR(__xludf.DUMMYFUNCTION("""COMPUTED_VALUE"""),0.5833333333321207)</f>
        <v>0.5833333333</v>
      </c>
      <c r="I1005" s="45">
        <f>IFERROR(__xludf.DUMMYFUNCTION("""COMPUTED_VALUE"""),0.6666666666678793)</f>
        <v>0.6666666667</v>
      </c>
      <c r="J1005" s="12">
        <f>IFERROR(__xludf.DUMMYFUNCTION("""COMPUTED_VALUE"""),3.4)</f>
        <v>3.4</v>
      </c>
      <c r="K1005" s="12">
        <f>IFERROR(__xludf.DUMMYFUNCTION("""COMPUTED_VALUE"""),0.07)</f>
        <v>0.07</v>
      </c>
      <c r="L1005" s="14">
        <f>IFERROR(__xludf.DUMMYFUNCTION("""COMPUTED_VALUE"""),22.289)</f>
        <v>22.289</v>
      </c>
      <c r="M1005" s="14">
        <f>IFERROR(__xludf.DUMMYFUNCTION("""COMPUTED_VALUE"""),23.406)</f>
        <v>23.406</v>
      </c>
      <c r="N1005" s="14">
        <f>IFERROR(__xludf.DUMMYFUNCTION("""COMPUTED_VALUE"""),24.093)</f>
        <v>24.093</v>
      </c>
      <c r="O1005" s="14">
        <f>IFERROR(__xludf.DUMMYFUNCTION("""COMPUTED_VALUE"""),24.307)</f>
        <v>24.307</v>
      </c>
      <c r="P1005" s="14">
        <f>IFERROR(__xludf.DUMMYFUNCTION("""COMPUTED_VALUE"""),24.441)</f>
        <v>24.441</v>
      </c>
      <c r="Q1005" s="14">
        <f>IFERROR(__xludf.DUMMYFUNCTION("""COMPUTED_VALUE"""),23.707)</f>
        <v>23.707</v>
      </c>
      <c r="R1005" s="48">
        <f>IFERROR(__xludf.DUMMYFUNCTION("""COMPUTED_VALUE"""),6.43)</f>
        <v>6.43</v>
      </c>
      <c r="S1005" s="48">
        <f>IFERROR(__xludf.DUMMYFUNCTION("""COMPUTED_VALUE"""),6.34)</f>
        <v>6.34</v>
      </c>
      <c r="T1005" s="48">
        <f>IFERROR(__xludf.DUMMYFUNCTION("""COMPUTED_VALUE"""),6.29)</f>
        <v>6.29</v>
      </c>
      <c r="U1005" s="48">
        <f>IFERROR(__xludf.DUMMYFUNCTION("""COMPUTED_VALUE"""),6.42)</f>
        <v>6.42</v>
      </c>
      <c r="V1005" s="48">
        <f>IFERROR(__xludf.DUMMYFUNCTION("""COMPUTED_VALUE"""),6.6)</f>
        <v>6.6</v>
      </c>
      <c r="W1005" s="14">
        <f>IFERROR(__xludf.DUMMYFUNCTION("""COMPUTED_VALUE"""),6.4159999999999995)</f>
        <v>6.416</v>
      </c>
      <c r="X1005" s="14">
        <f>IFERROR(__xludf.DUMMYFUNCTION("""COMPUTED_VALUE"""),20.4)</f>
        <v>20.4</v>
      </c>
      <c r="Y1005" s="14">
        <f>IFERROR(__xludf.DUMMYFUNCTION("""COMPUTED_VALUE"""),19.1)</f>
        <v>19.1</v>
      </c>
      <c r="Z1005" s="14">
        <f>IFERROR(__xludf.DUMMYFUNCTION("""COMPUTED_VALUE"""),19.4)</f>
        <v>19.4</v>
      </c>
      <c r="AA1005" s="14">
        <f>IFERROR(__xludf.DUMMYFUNCTION("""COMPUTED_VALUE"""),20.3)</f>
        <v>20.3</v>
      </c>
      <c r="AB1005" s="14">
        <f>IFERROR(__xludf.DUMMYFUNCTION("""COMPUTED_VALUE"""),20.5)</f>
        <v>20.5</v>
      </c>
      <c r="AC1005" s="14">
        <f>IFERROR(__xludf.DUMMYFUNCTION("""COMPUTED_VALUE"""),19.94)</f>
        <v>19.94</v>
      </c>
      <c r="AD1005" s="48">
        <f>IFERROR(__xludf.DUMMYFUNCTION("""COMPUTED_VALUE"""),240.0)</f>
        <v>240</v>
      </c>
      <c r="AE1005" s="48">
        <f>IFERROR(__xludf.DUMMYFUNCTION("""COMPUTED_VALUE"""),209.0)</f>
        <v>209</v>
      </c>
      <c r="AF1005" s="48">
        <f>IFERROR(__xludf.DUMMYFUNCTION("""COMPUTED_VALUE"""),246.0)</f>
        <v>246</v>
      </c>
      <c r="AG1005" s="48">
        <f>IFERROR(__xludf.DUMMYFUNCTION("""COMPUTED_VALUE"""),240.0)</f>
        <v>240</v>
      </c>
      <c r="AH1005" s="48">
        <f>IFERROR(__xludf.DUMMYFUNCTION("""COMPUTED_VALUE"""),255.0)</f>
        <v>255</v>
      </c>
      <c r="AI1005" s="14">
        <f>IFERROR(__xludf.DUMMYFUNCTION("""COMPUTED_VALUE"""),238.0)</f>
        <v>238</v>
      </c>
      <c r="AJ1005" s="14">
        <f>IFERROR(__xludf.DUMMYFUNCTION("""COMPUTED_VALUE"""),2.18)</f>
        <v>2.18</v>
      </c>
      <c r="AK1005" s="14">
        <f>IFERROR(__xludf.DUMMYFUNCTION("""COMPUTED_VALUE"""),1.98)</f>
        <v>1.98</v>
      </c>
      <c r="AL1005" s="14">
        <f>IFERROR(__xludf.DUMMYFUNCTION("""COMPUTED_VALUE"""),2.48)</f>
        <v>2.48</v>
      </c>
      <c r="AM1005" s="14">
        <f>IFERROR(__xludf.DUMMYFUNCTION("""COMPUTED_VALUE"""),2.0)</f>
        <v>2</v>
      </c>
      <c r="AN1005" s="14">
        <f>IFERROR(__xludf.DUMMYFUNCTION("""COMPUTED_VALUE"""),1.84)</f>
        <v>1.84</v>
      </c>
      <c r="AO1005" s="14">
        <f>IFERROR(__xludf.DUMMYFUNCTION("""COMPUTED_VALUE"""),2.096)</f>
        <v>2.096</v>
      </c>
      <c r="AP1005" s="14">
        <f>IFERROR(__xludf.DUMMYFUNCTION("""COMPUTED_VALUE"""),16.0)</f>
        <v>16</v>
      </c>
      <c r="AQ1005" s="14">
        <f>IFERROR(__xludf.DUMMYFUNCTION("""COMPUTED_VALUE"""),25.0)</f>
        <v>25</v>
      </c>
      <c r="AR1005" s="14">
        <f>IFERROR(__xludf.DUMMYFUNCTION("""COMPUTED_VALUE"""),20.0)</f>
        <v>20</v>
      </c>
      <c r="AS1005" s="14">
        <f>IFERROR(__xludf.DUMMYFUNCTION("""COMPUTED_VALUE"""),1.0)</f>
        <v>1</v>
      </c>
      <c r="AT1005" s="14">
        <f>IFERROR(__xludf.DUMMYFUNCTION("""COMPUTED_VALUE"""),0.33)</f>
        <v>0.33</v>
      </c>
      <c r="AU1005" s="14">
        <f>IFERROR(__xludf.DUMMYFUNCTION("""COMPUTED_VALUE"""),1.961E7)</f>
        <v>19610000</v>
      </c>
      <c r="AV1005" s="14">
        <f>IFERROR(__xludf.DUMMYFUNCTION("""COMPUTED_VALUE"""),0.29)</f>
        <v>0.29</v>
      </c>
      <c r="AW1005" s="14">
        <f>IFERROR(__xludf.DUMMYFUNCTION("""COMPUTED_VALUE"""),7.3)</f>
        <v>7.3</v>
      </c>
      <c r="AX1005" s="14">
        <f>IFERROR(__xludf.DUMMYFUNCTION("""COMPUTED_VALUE"""),1.324E7)</f>
        <v>13240000</v>
      </c>
      <c r="AY1005" s="14">
        <f>IFERROR(__xludf.DUMMYFUNCTION("""COMPUTED_VALUE"""),0.8)</f>
        <v>0.8</v>
      </c>
      <c r="AZ1005" s="14">
        <f>IFERROR(__xludf.DUMMYFUNCTION("""COMPUTED_VALUE"""),0.568)</f>
        <v>0.568</v>
      </c>
      <c r="BA1005" s="14">
        <f t="shared" si="1"/>
        <v>8.668</v>
      </c>
    </row>
    <row r="1006" ht="14.25" customHeight="1">
      <c r="A1006" s="10" t="str">
        <f>IFERROR(__xludf.DUMMYFUNCTION("""COMPUTED_VALUE"""),"181223HA04")</f>
        <v>181223HA04</v>
      </c>
      <c r="B1006" s="12" t="str">
        <f>IFERROR(__xludf.DUMMYFUNCTION("""COMPUTED_VALUE"""),"CON-Camino del Contador")</f>
        <v>CON-Camino del Contador</v>
      </c>
      <c r="C1006" s="12"/>
      <c r="D1006" s="12"/>
      <c r="E1006" s="44">
        <f>IFERROR(__xludf.DUMMYFUNCTION("""COMPUTED_VALUE"""),45278.0)</f>
        <v>45278</v>
      </c>
      <c r="F1006" s="12" t="str">
        <f>IFERROR(__xludf.DUMMYFUNCTION("""COMPUTED_VALUE"""),"TIPO I")</f>
        <v>TIPO I</v>
      </c>
      <c r="G1006" s="12" t="str">
        <f>IFERROR(__xludf.DUMMYFUNCTION("""COMPUTED_VALUE"""),"Canal en concreto con lecho lodoso - rocoso, durante el monitoreo se observa color y se percibe olor. 
Altitud: 2580 msnm")</f>
        <v>Canal en concreto con lecho lodoso - rocoso, durante el monitoreo se observa color y se percibe olor. 
Altitud: 2580 msnm</v>
      </c>
      <c r="H1006" s="45">
        <f>IFERROR(__xludf.DUMMYFUNCTION("""COMPUTED_VALUE"""),0.6666666666678793)</f>
        <v>0.6666666667</v>
      </c>
      <c r="I1006" s="45">
        <f>IFERROR(__xludf.DUMMYFUNCTION("""COMPUTED_VALUE"""),0.75)</f>
        <v>0.75</v>
      </c>
      <c r="J1006" s="12">
        <f>IFERROR(__xludf.DUMMYFUNCTION("""COMPUTED_VALUE"""),6.8)</f>
        <v>6.8</v>
      </c>
      <c r="K1006" s="12">
        <f>IFERROR(__xludf.DUMMYFUNCTION("""COMPUTED_VALUE"""),0.13)</f>
        <v>0.13</v>
      </c>
      <c r="L1006" s="14">
        <f>IFERROR(__xludf.DUMMYFUNCTION("""COMPUTED_VALUE"""),104.637)</f>
        <v>104.637</v>
      </c>
      <c r="M1006" s="14">
        <f>IFERROR(__xludf.DUMMYFUNCTION("""COMPUTED_VALUE"""),105.207)</f>
        <v>105.207</v>
      </c>
      <c r="N1006" s="14">
        <f>IFERROR(__xludf.DUMMYFUNCTION("""COMPUTED_VALUE"""),105.436)</f>
        <v>105.436</v>
      </c>
      <c r="O1006" s="14">
        <f>IFERROR(__xludf.DUMMYFUNCTION("""COMPUTED_VALUE"""),106.486)</f>
        <v>106.486</v>
      </c>
      <c r="P1006" s="14">
        <f>IFERROR(__xludf.DUMMYFUNCTION("""COMPUTED_VALUE"""),109.468)</f>
        <v>109.468</v>
      </c>
      <c r="Q1006" s="14">
        <f>IFERROR(__xludf.DUMMYFUNCTION("""COMPUTED_VALUE"""),106.247)</f>
        <v>106.247</v>
      </c>
      <c r="R1006" s="48">
        <f>IFERROR(__xludf.DUMMYFUNCTION("""COMPUTED_VALUE"""),7.29)</f>
        <v>7.29</v>
      </c>
      <c r="S1006" s="48">
        <f>IFERROR(__xludf.DUMMYFUNCTION("""COMPUTED_VALUE"""),7.38)</f>
        <v>7.38</v>
      </c>
      <c r="T1006" s="48">
        <f>IFERROR(__xludf.DUMMYFUNCTION("""COMPUTED_VALUE"""),7.44)</f>
        <v>7.44</v>
      </c>
      <c r="U1006" s="48">
        <f>IFERROR(__xludf.DUMMYFUNCTION("""COMPUTED_VALUE"""),7.32)</f>
        <v>7.32</v>
      </c>
      <c r="V1006" s="48">
        <f>IFERROR(__xludf.DUMMYFUNCTION("""COMPUTED_VALUE"""),7.1)</f>
        <v>7.1</v>
      </c>
      <c r="W1006" s="14">
        <f>IFERROR(__xludf.DUMMYFUNCTION("""COMPUTED_VALUE"""),7.306)</f>
        <v>7.306</v>
      </c>
      <c r="X1006" s="14">
        <f>IFERROR(__xludf.DUMMYFUNCTION("""COMPUTED_VALUE"""),21.5)</f>
        <v>21.5</v>
      </c>
      <c r="Y1006" s="14">
        <f>IFERROR(__xludf.DUMMYFUNCTION("""COMPUTED_VALUE"""),21.3)</f>
        <v>21.3</v>
      </c>
      <c r="Z1006" s="14">
        <f>IFERROR(__xludf.DUMMYFUNCTION("""COMPUTED_VALUE"""),20.6)</f>
        <v>20.6</v>
      </c>
      <c r="AA1006" s="14">
        <f>IFERROR(__xludf.DUMMYFUNCTION("""COMPUTED_VALUE"""),21.1)</f>
        <v>21.1</v>
      </c>
      <c r="AB1006" s="14">
        <f>IFERROR(__xludf.DUMMYFUNCTION("""COMPUTED_VALUE"""),20.4)</f>
        <v>20.4</v>
      </c>
      <c r="AC1006" s="14">
        <f>IFERROR(__xludf.DUMMYFUNCTION("""COMPUTED_VALUE"""),20.98)</f>
        <v>20.98</v>
      </c>
      <c r="AD1006" s="48">
        <f>IFERROR(__xludf.DUMMYFUNCTION("""COMPUTED_VALUE"""),405.0)</f>
        <v>405</v>
      </c>
      <c r="AE1006" s="48">
        <f>IFERROR(__xludf.DUMMYFUNCTION("""COMPUTED_VALUE"""),390.0)</f>
        <v>390</v>
      </c>
      <c r="AF1006" s="48">
        <f>IFERROR(__xludf.DUMMYFUNCTION("""COMPUTED_VALUE"""),419.0)</f>
        <v>419</v>
      </c>
      <c r="AG1006" s="48">
        <f>IFERROR(__xludf.DUMMYFUNCTION("""COMPUTED_VALUE"""),406.0)</f>
        <v>406</v>
      </c>
      <c r="AH1006" s="48">
        <f>IFERROR(__xludf.DUMMYFUNCTION("""COMPUTED_VALUE"""),423.0)</f>
        <v>423</v>
      </c>
      <c r="AI1006" s="14">
        <f>IFERROR(__xludf.DUMMYFUNCTION("""COMPUTED_VALUE"""),408.6)</f>
        <v>408.6</v>
      </c>
      <c r="AJ1006" s="14">
        <f>IFERROR(__xludf.DUMMYFUNCTION("""COMPUTED_VALUE"""),2.32)</f>
        <v>2.32</v>
      </c>
      <c r="AK1006" s="14">
        <f>IFERROR(__xludf.DUMMYFUNCTION("""COMPUTED_VALUE"""),2.12)</f>
        <v>2.12</v>
      </c>
      <c r="AL1006" s="14">
        <f>IFERROR(__xludf.DUMMYFUNCTION("""COMPUTED_VALUE"""),2.22)</f>
        <v>2.22</v>
      </c>
      <c r="AM1006" s="14">
        <f>IFERROR(__xludf.DUMMYFUNCTION("""COMPUTED_VALUE"""),2.05)</f>
        <v>2.05</v>
      </c>
      <c r="AN1006" s="14">
        <f>IFERROR(__xludf.DUMMYFUNCTION("""COMPUTED_VALUE"""),1.92)</f>
        <v>1.92</v>
      </c>
      <c r="AO1006" s="14">
        <f>IFERROR(__xludf.DUMMYFUNCTION("""COMPUTED_VALUE"""),2.1260000000000003)</f>
        <v>2.126</v>
      </c>
      <c r="AP1006" s="14">
        <f>IFERROR(__xludf.DUMMYFUNCTION("""COMPUTED_VALUE"""),52.0)</f>
        <v>52</v>
      </c>
      <c r="AQ1006" s="14">
        <f>IFERROR(__xludf.DUMMYFUNCTION("""COMPUTED_VALUE"""),84.0)</f>
        <v>84</v>
      </c>
      <c r="AR1006" s="14">
        <f>IFERROR(__xludf.DUMMYFUNCTION("""COMPUTED_VALUE"""),78.0)</f>
        <v>78</v>
      </c>
      <c r="AS1006" s="14">
        <f>IFERROR(__xludf.DUMMYFUNCTION("""COMPUTED_VALUE"""),1.0)</f>
        <v>1</v>
      </c>
      <c r="AT1006" s="14">
        <f>IFERROR(__xludf.DUMMYFUNCTION("""COMPUTED_VALUE"""),3.45)</f>
        <v>3.45</v>
      </c>
      <c r="AU1006" s="14">
        <f>IFERROR(__xludf.DUMMYFUNCTION("""COMPUTED_VALUE"""),2.436E7)</f>
        <v>24360000</v>
      </c>
      <c r="AV1006" s="14">
        <f>IFERROR(__xludf.DUMMYFUNCTION("""COMPUTED_VALUE"""),1.11)</f>
        <v>1.11</v>
      </c>
      <c r="AW1006" s="14">
        <f>IFERROR(__xludf.DUMMYFUNCTION("""COMPUTED_VALUE"""),16.0)</f>
        <v>16</v>
      </c>
      <c r="AX1006" s="14">
        <f>IFERROR(__xludf.DUMMYFUNCTION("""COMPUTED_VALUE"""),2.235E7)</f>
        <v>22350000</v>
      </c>
      <c r="AY1006" s="14">
        <f>IFERROR(__xludf.DUMMYFUNCTION("""COMPUTED_VALUE"""),0.5)</f>
        <v>0.5</v>
      </c>
      <c r="AZ1006" s="14">
        <f>IFERROR(__xludf.DUMMYFUNCTION("""COMPUTED_VALUE"""),0.007)</f>
        <v>0.007</v>
      </c>
      <c r="BA1006" s="14">
        <f t="shared" si="1"/>
        <v>16.507</v>
      </c>
    </row>
    <row r="1007" ht="14.25" customHeight="1">
      <c r="A1007" s="10" t="str">
        <f>IFERROR(__xludf.DUMMYFUNCTION("""COMPUTED_VALUE"""),"151223WI02")</f>
        <v>151223WI02</v>
      </c>
      <c r="B1007" s="12" t="str">
        <f>IFERROR(__xludf.DUMMYFUNCTION("""COMPUTED_VALUE"""),"QTR-Acapulco")</f>
        <v>QTR-Acapulco</v>
      </c>
      <c r="C1007" s="12"/>
      <c r="D1007" s="12"/>
      <c r="E1007" s="44">
        <f>IFERROR(__xludf.DUMMYFUNCTION("""COMPUTED_VALUE"""),45275.0)</f>
        <v>45275</v>
      </c>
      <c r="F1007" s="12" t="str">
        <f>IFERROR(__xludf.DUMMYFUNCTION("""COMPUTED_VALUE"""),"TIPO I")</f>
        <v>TIPO I</v>
      </c>
      <c r="G1007" s="12" t="str">
        <f>IFERROR(__xludf.DUMMYFUNCTION("""COMPUTED_VALUE"""),"Canal natural con lecho rocoso arenoso,  durante el monitoreo se observa color y se percibe olor.
Altitud: 2594 msnm. ")</f>
        <v>Canal natural con lecho rocoso arenoso,  durante el monitoreo se observa color y se percibe olor.
Altitud: 2594 msnm. </v>
      </c>
      <c r="H1007" s="45">
        <f>IFERROR(__xludf.DUMMYFUNCTION("""COMPUTED_VALUE"""),0.4166666666678793)</f>
        <v>0.4166666667</v>
      </c>
      <c r="I1007" s="45">
        <f>IFERROR(__xludf.DUMMYFUNCTION("""COMPUTED_VALUE"""),0.5)</f>
        <v>0.5</v>
      </c>
      <c r="J1007" s="12">
        <f>IFERROR(__xludf.DUMMYFUNCTION("""COMPUTED_VALUE"""),1.0)</f>
        <v>1</v>
      </c>
      <c r="K1007" s="12">
        <f>IFERROR(__xludf.DUMMYFUNCTION("""COMPUTED_VALUE"""),0.18)</f>
        <v>0.18</v>
      </c>
      <c r="L1007" s="14">
        <f>IFERROR(__xludf.DUMMYFUNCTION("""COMPUTED_VALUE"""),35.306)</f>
        <v>35.306</v>
      </c>
      <c r="M1007" s="14">
        <f>IFERROR(__xludf.DUMMYFUNCTION("""COMPUTED_VALUE"""),36.059)</f>
        <v>36.059</v>
      </c>
      <c r="N1007" s="14">
        <f>IFERROR(__xludf.DUMMYFUNCTION("""COMPUTED_VALUE"""),37.843)</f>
        <v>37.843</v>
      </c>
      <c r="O1007" s="14">
        <f>IFERROR(__xludf.DUMMYFUNCTION("""COMPUTED_VALUE"""),38.9)</f>
        <v>38.9</v>
      </c>
      <c r="P1007" s="14">
        <f>IFERROR(__xludf.DUMMYFUNCTION("""COMPUTED_VALUE"""),40.992)</f>
        <v>40.992</v>
      </c>
      <c r="Q1007" s="14">
        <f>IFERROR(__xludf.DUMMYFUNCTION("""COMPUTED_VALUE"""),37.82)</f>
        <v>37.82</v>
      </c>
      <c r="R1007" s="48">
        <f>IFERROR(__xludf.DUMMYFUNCTION("""COMPUTED_VALUE"""),9.07)</f>
        <v>9.07</v>
      </c>
      <c r="S1007" s="48">
        <f>IFERROR(__xludf.DUMMYFUNCTION("""COMPUTED_VALUE"""),9.12)</f>
        <v>9.12</v>
      </c>
      <c r="T1007" s="48">
        <f>IFERROR(__xludf.DUMMYFUNCTION("""COMPUTED_VALUE"""),9.23)</f>
        <v>9.23</v>
      </c>
      <c r="U1007" s="48">
        <f>IFERROR(__xludf.DUMMYFUNCTION("""COMPUTED_VALUE"""),9.01)</f>
        <v>9.01</v>
      </c>
      <c r="V1007" s="48">
        <f>IFERROR(__xludf.DUMMYFUNCTION("""COMPUTED_VALUE"""),9.19)</f>
        <v>9.19</v>
      </c>
      <c r="W1007" s="14">
        <f>IFERROR(__xludf.DUMMYFUNCTION("""COMPUTED_VALUE"""),9.123999999999999)</f>
        <v>9.124</v>
      </c>
      <c r="X1007" s="14">
        <f>IFERROR(__xludf.DUMMYFUNCTION("""COMPUTED_VALUE"""),16.5)</f>
        <v>16.5</v>
      </c>
      <c r="Y1007" s="14">
        <f>IFERROR(__xludf.DUMMYFUNCTION("""COMPUTED_VALUE"""),16.4)</f>
        <v>16.4</v>
      </c>
      <c r="Z1007" s="14">
        <f>IFERROR(__xludf.DUMMYFUNCTION("""COMPUTED_VALUE"""),16.8)</f>
        <v>16.8</v>
      </c>
      <c r="AA1007" s="14">
        <f>IFERROR(__xludf.DUMMYFUNCTION("""COMPUTED_VALUE"""),16.6)</f>
        <v>16.6</v>
      </c>
      <c r="AB1007" s="14">
        <f>IFERROR(__xludf.DUMMYFUNCTION("""COMPUTED_VALUE"""),16.7)</f>
        <v>16.7</v>
      </c>
      <c r="AC1007" s="14">
        <f>IFERROR(__xludf.DUMMYFUNCTION("""COMPUTED_VALUE"""),16.6)</f>
        <v>16.6</v>
      </c>
      <c r="AD1007" s="48">
        <f>IFERROR(__xludf.DUMMYFUNCTION("""COMPUTED_VALUE"""),498.0)</f>
        <v>498</v>
      </c>
      <c r="AE1007" s="48">
        <f>IFERROR(__xludf.DUMMYFUNCTION("""COMPUTED_VALUE"""),492.0)</f>
        <v>492</v>
      </c>
      <c r="AF1007" s="48">
        <f>IFERROR(__xludf.DUMMYFUNCTION("""COMPUTED_VALUE"""),477.0)</f>
        <v>477</v>
      </c>
      <c r="AG1007" s="48">
        <f>IFERROR(__xludf.DUMMYFUNCTION("""COMPUTED_VALUE"""),510.0)</f>
        <v>510</v>
      </c>
      <c r="AH1007" s="48">
        <f>IFERROR(__xludf.DUMMYFUNCTION("""COMPUTED_VALUE"""),501.0)</f>
        <v>501</v>
      </c>
      <c r="AI1007" s="14">
        <f>IFERROR(__xludf.DUMMYFUNCTION("""COMPUTED_VALUE"""),495.6)</f>
        <v>495.6</v>
      </c>
      <c r="AJ1007" s="14">
        <f>IFERROR(__xludf.DUMMYFUNCTION("""COMPUTED_VALUE"""),1.1)</f>
        <v>1.1</v>
      </c>
      <c r="AK1007" s="14">
        <f>IFERROR(__xludf.DUMMYFUNCTION("""COMPUTED_VALUE"""),1.73)</f>
        <v>1.73</v>
      </c>
      <c r="AL1007" s="14">
        <f>IFERROR(__xludf.DUMMYFUNCTION("""COMPUTED_VALUE"""),1.17)</f>
        <v>1.17</v>
      </c>
      <c r="AM1007" s="14">
        <f>IFERROR(__xludf.DUMMYFUNCTION("""COMPUTED_VALUE"""),1.45)</f>
        <v>1.45</v>
      </c>
      <c r="AN1007" s="14">
        <f>IFERROR(__xludf.DUMMYFUNCTION("""COMPUTED_VALUE"""),1.27)</f>
        <v>1.27</v>
      </c>
      <c r="AO1007" s="14">
        <f>IFERROR(__xludf.DUMMYFUNCTION("""COMPUTED_VALUE"""),1.344)</f>
        <v>1.344</v>
      </c>
      <c r="AP1007" s="14">
        <f>IFERROR(__xludf.DUMMYFUNCTION("""COMPUTED_VALUE"""),338.0)</f>
        <v>338</v>
      </c>
      <c r="AQ1007" s="14">
        <f>IFERROR(__xludf.DUMMYFUNCTION("""COMPUTED_VALUE"""),520.0)</f>
        <v>520</v>
      </c>
      <c r="AR1007" s="14">
        <f>IFERROR(__xludf.DUMMYFUNCTION("""COMPUTED_VALUE"""),5400.0)</f>
        <v>5400</v>
      </c>
      <c r="AS1007" s="14">
        <f>IFERROR(__xludf.DUMMYFUNCTION("""COMPUTED_VALUE"""),1.0)</f>
        <v>1</v>
      </c>
      <c r="AT1007" s="14">
        <f>IFERROR(__xludf.DUMMYFUNCTION("""COMPUTED_VALUE"""),0.98)</f>
        <v>0.98</v>
      </c>
      <c r="AU1007" s="14">
        <f>IFERROR(__xludf.DUMMYFUNCTION("""COMPUTED_VALUE"""),1396000.0)</f>
        <v>1396000</v>
      </c>
      <c r="AV1007" s="14">
        <f>IFERROR(__xludf.DUMMYFUNCTION("""COMPUTED_VALUE"""),1.07)</f>
        <v>1.07</v>
      </c>
      <c r="AW1007" s="14">
        <f>IFERROR(__xludf.DUMMYFUNCTION("""COMPUTED_VALUE"""),17.4)</f>
        <v>17.4</v>
      </c>
      <c r="AX1007" s="14">
        <f>IFERROR(__xludf.DUMMYFUNCTION("""COMPUTED_VALUE"""),1266000.0)</f>
        <v>1266000</v>
      </c>
      <c r="AY1007" s="14">
        <f>IFERROR(__xludf.DUMMYFUNCTION("""COMPUTED_VALUE"""),0.4)</f>
        <v>0.4</v>
      </c>
      <c r="AZ1007" s="14">
        <f>IFERROR(__xludf.DUMMYFUNCTION("""COMPUTED_VALUE"""),0.036)</f>
        <v>0.036</v>
      </c>
      <c r="BA1007" s="14">
        <f t="shared" si="1"/>
        <v>17.836</v>
      </c>
    </row>
    <row r="1008" ht="14.25" customHeight="1">
      <c r="A1008" s="10" t="str">
        <f>IFERROR(__xludf.DUMMYFUNCTION("""COMPUTED_VALUE"""),"091223FE02")</f>
        <v>091223FE02</v>
      </c>
      <c r="B1008" s="12" t="str">
        <f>IFERROR(__xludf.DUMMYFUNCTION("""COMPUTED_VALUE"""),"QZA-Entre Nubes")</f>
        <v>QZA-Entre Nubes</v>
      </c>
      <c r="C1008" s="12"/>
      <c r="D1008" s="12"/>
      <c r="E1008" s="44">
        <f>IFERROR(__xludf.DUMMYFUNCTION("""COMPUTED_VALUE"""),45269.0)</f>
        <v>45269</v>
      </c>
      <c r="F1008" s="12" t="str">
        <f>IFERROR(__xludf.DUMMYFUNCTION("""COMPUTED_VALUE"""),"TIPO I")</f>
        <v>TIPO I</v>
      </c>
      <c r="G1008" s="12" t="str">
        <f>IFERROR(__xludf.DUMMYFUNCTION("""COMPUTED_VALUE"""),"Canal en concreto, durante el monitoreo se observa color y se percibe olor.
Altitud: 2736 msnm.  ")</f>
        <v>Canal en concreto, durante el monitoreo se observa color y se percibe olor.
Altitud: 2736 msnm.  </v>
      </c>
      <c r="H1008" s="45">
        <f>IFERROR(__xludf.DUMMYFUNCTION("""COMPUTED_VALUE"""),0.4166666666678793)</f>
        <v>0.4166666667</v>
      </c>
      <c r="I1008" s="45">
        <f>IFERROR(__xludf.DUMMYFUNCTION("""COMPUTED_VALUE"""),0.5)</f>
        <v>0.5</v>
      </c>
      <c r="J1008" s="12">
        <f>IFERROR(__xludf.DUMMYFUNCTION("""COMPUTED_VALUE"""),4.0)</f>
        <v>4</v>
      </c>
      <c r="K1008" s="12">
        <f>IFERROR(__xludf.DUMMYFUNCTION("""COMPUTED_VALUE"""),0.11)</f>
        <v>0.11</v>
      </c>
      <c r="L1008" s="14">
        <f>IFERROR(__xludf.DUMMYFUNCTION("""COMPUTED_VALUE"""),89.986)</f>
        <v>89.986</v>
      </c>
      <c r="M1008" s="14">
        <f>IFERROR(__xludf.DUMMYFUNCTION("""COMPUTED_VALUE"""),93.09)</f>
        <v>93.09</v>
      </c>
      <c r="N1008" s="14">
        <f>IFERROR(__xludf.DUMMYFUNCTION("""COMPUTED_VALUE"""),92.743)</f>
        <v>92.743</v>
      </c>
      <c r="O1008" s="14">
        <f>IFERROR(__xludf.DUMMYFUNCTION("""COMPUTED_VALUE"""),92.819)</f>
        <v>92.819</v>
      </c>
      <c r="P1008" s="14">
        <f>IFERROR(__xludf.DUMMYFUNCTION("""COMPUTED_VALUE"""),94.629)</f>
        <v>94.629</v>
      </c>
      <c r="Q1008" s="14">
        <f>IFERROR(__xludf.DUMMYFUNCTION("""COMPUTED_VALUE"""),92.653)</f>
        <v>92.653</v>
      </c>
      <c r="R1008" s="48">
        <f>IFERROR(__xludf.DUMMYFUNCTION("""COMPUTED_VALUE"""),7.52)</f>
        <v>7.52</v>
      </c>
      <c r="S1008" s="48">
        <f>IFERROR(__xludf.DUMMYFUNCTION("""COMPUTED_VALUE"""),7.47)</f>
        <v>7.47</v>
      </c>
      <c r="T1008" s="48">
        <f>IFERROR(__xludf.DUMMYFUNCTION("""COMPUTED_VALUE"""),7.43)</f>
        <v>7.43</v>
      </c>
      <c r="U1008" s="48">
        <f>IFERROR(__xludf.DUMMYFUNCTION("""COMPUTED_VALUE"""),7.56)</f>
        <v>7.56</v>
      </c>
      <c r="V1008" s="48">
        <f>IFERROR(__xludf.DUMMYFUNCTION("""COMPUTED_VALUE"""),7.61)</f>
        <v>7.61</v>
      </c>
      <c r="W1008" s="14">
        <f>IFERROR(__xludf.DUMMYFUNCTION("""COMPUTED_VALUE"""),7.517999999999999)</f>
        <v>7.518</v>
      </c>
      <c r="X1008" s="14">
        <f>IFERROR(__xludf.DUMMYFUNCTION("""COMPUTED_VALUE"""),15.6)</f>
        <v>15.6</v>
      </c>
      <c r="Y1008" s="14">
        <f>IFERROR(__xludf.DUMMYFUNCTION("""COMPUTED_VALUE"""),15.6)</f>
        <v>15.6</v>
      </c>
      <c r="Z1008" s="14">
        <f>IFERROR(__xludf.DUMMYFUNCTION("""COMPUTED_VALUE"""),16.1)</f>
        <v>16.1</v>
      </c>
      <c r="AA1008" s="14">
        <f>IFERROR(__xludf.DUMMYFUNCTION("""COMPUTED_VALUE"""),16.2)</f>
        <v>16.2</v>
      </c>
      <c r="AB1008" s="14">
        <f>IFERROR(__xludf.DUMMYFUNCTION("""COMPUTED_VALUE"""),16.6)</f>
        <v>16.6</v>
      </c>
      <c r="AC1008" s="14">
        <f>IFERROR(__xludf.DUMMYFUNCTION("""COMPUTED_VALUE"""),16.02)</f>
        <v>16.02</v>
      </c>
      <c r="AD1008" s="48">
        <f>IFERROR(__xludf.DUMMYFUNCTION("""COMPUTED_VALUE"""),645.0)</f>
        <v>645</v>
      </c>
      <c r="AE1008" s="48">
        <f>IFERROR(__xludf.DUMMYFUNCTION("""COMPUTED_VALUE"""),650.0)</f>
        <v>650</v>
      </c>
      <c r="AF1008" s="48">
        <f>IFERROR(__xludf.DUMMYFUNCTION("""COMPUTED_VALUE"""),658.0)</f>
        <v>658</v>
      </c>
      <c r="AG1008" s="48">
        <f>IFERROR(__xludf.DUMMYFUNCTION("""COMPUTED_VALUE"""),667.0)</f>
        <v>667</v>
      </c>
      <c r="AH1008" s="48">
        <f>IFERROR(__xludf.DUMMYFUNCTION("""COMPUTED_VALUE"""),697.0)</f>
        <v>697</v>
      </c>
      <c r="AI1008" s="14">
        <f>IFERROR(__xludf.DUMMYFUNCTION("""COMPUTED_VALUE"""),663.4)</f>
        <v>663.4</v>
      </c>
      <c r="AJ1008" s="14">
        <f>IFERROR(__xludf.DUMMYFUNCTION("""COMPUTED_VALUE"""),3.58)</f>
        <v>3.58</v>
      </c>
      <c r="AK1008" s="14">
        <f>IFERROR(__xludf.DUMMYFUNCTION("""COMPUTED_VALUE"""),3.25)</f>
        <v>3.25</v>
      </c>
      <c r="AL1008" s="14">
        <f>IFERROR(__xludf.DUMMYFUNCTION("""COMPUTED_VALUE"""),3.18)</f>
        <v>3.18</v>
      </c>
      <c r="AM1008" s="14">
        <f>IFERROR(__xludf.DUMMYFUNCTION("""COMPUTED_VALUE"""),3.73)</f>
        <v>3.73</v>
      </c>
      <c r="AN1008" s="14">
        <f>IFERROR(__xludf.DUMMYFUNCTION("""COMPUTED_VALUE"""),3.37)</f>
        <v>3.37</v>
      </c>
      <c r="AO1008" s="14">
        <f>IFERROR(__xludf.DUMMYFUNCTION("""COMPUTED_VALUE"""),3.4219999999999997)</f>
        <v>3.422</v>
      </c>
      <c r="AP1008" s="14">
        <f>IFERROR(__xludf.DUMMYFUNCTION("""COMPUTED_VALUE"""),230.0)</f>
        <v>230</v>
      </c>
      <c r="AQ1008" s="14">
        <f>IFERROR(__xludf.DUMMYFUNCTION("""COMPUTED_VALUE"""),290.0)</f>
        <v>290</v>
      </c>
      <c r="AR1008" s="14">
        <f>IFERROR(__xludf.DUMMYFUNCTION("""COMPUTED_VALUE"""),127.0)</f>
        <v>127</v>
      </c>
      <c r="AS1008" s="14">
        <f>IFERROR(__xludf.DUMMYFUNCTION("""COMPUTED_VALUE"""),46.0)</f>
        <v>46</v>
      </c>
      <c r="AT1008" s="14">
        <f>IFERROR(__xludf.DUMMYFUNCTION("""COMPUTED_VALUE"""),2.31)</f>
        <v>2.31</v>
      </c>
      <c r="AU1008" s="14">
        <f>IFERROR(__xludf.DUMMYFUNCTION("""COMPUTED_VALUE"""),2.042E8)</f>
        <v>204200000</v>
      </c>
      <c r="AV1008" s="14">
        <f>IFERROR(__xludf.DUMMYFUNCTION("""COMPUTED_VALUE"""),4.64)</f>
        <v>4.64</v>
      </c>
      <c r="AW1008" s="14">
        <f>IFERROR(__xludf.DUMMYFUNCTION("""COMPUTED_VALUE"""),67.8)</f>
        <v>67.8</v>
      </c>
      <c r="AX1008" s="14">
        <f>IFERROR(__xludf.DUMMYFUNCTION("""COMPUTED_VALUE"""),1.626E8)</f>
        <v>162600000</v>
      </c>
      <c r="AY1008" s="14">
        <f>IFERROR(__xludf.DUMMYFUNCTION("""COMPUTED_VALUE"""),1.5)</f>
        <v>1.5</v>
      </c>
      <c r="AZ1008" s="14">
        <f>IFERROR(__xludf.DUMMYFUNCTION("""COMPUTED_VALUE"""),0.007)</f>
        <v>0.007</v>
      </c>
      <c r="BA1008" s="14">
        <f t="shared" si="1"/>
        <v>69.307</v>
      </c>
    </row>
    <row r="1009" ht="14.25" customHeight="1">
      <c r="A1009" s="10" t="str">
        <f>IFERROR(__xludf.DUMMYFUNCTION("""COMPUTED_VALUE"""),"071223DU01")</f>
        <v>071223DU01</v>
      </c>
      <c r="B1009" s="12" t="str">
        <f>IFERROR(__xludf.DUMMYFUNCTION("""COMPUTED_VALUE"""),"QSL-Portal Usme")</f>
        <v>QSL-Portal Usme</v>
      </c>
      <c r="C1009" s="12"/>
      <c r="D1009" s="12"/>
      <c r="E1009" s="44">
        <f>IFERROR(__xludf.DUMMYFUNCTION("""COMPUTED_VALUE"""),45267.0)</f>
        <v>45267</v>
      </c>
      <c r="F1009" s="12" t="str">
        <f>IFERROR(__xludf.DUMMYFUNCTION("""COMPUTED_VALUE"""),"TIPO I")</f>
        <v>TIPO I</v>
      </c>
      <c r="G1009" s="12" t="str">
        <f>IFERROR(__xludf.DUMMYFUNCTION("""COMPUTED_VALUE"""),"Estructura en concreto, durante el monitoreo, se observa color, no se percibe olor.
Altitud: 2535 msnm. ")</f>
        <v>Estructura en concreto, durante el monitoreo, se observa color, no se percibe olor.
Altitud: 2535 msnm. </v>
      </c>
      <c r="H1009" s="45">
        <f>IFERROR(__xludf.DUMMYFUNCTION("""COMPUTED_VALUE"""),0.25)</f>
        <v>0.25</v>
      </c>
      <c r="I1009" s="45">
        <f>IFERROR(__xludf.DUMMYFUNCTION("""COMPUTED_VALUE"""),0.3333333333321207)</f>
        <v>0.3333333333</v>
      </c>
      <c r="J1009" s="12">
        <f>IFERROR(__xludf.DUMMYFUNCTION("""COMPUTED_VALUE"""),1.5)</f>
        <v>1.5</v>
      </c>
      <c r="K1009" s="12">
        <f>IFERROR(__xludf.DUMMYFUNCTION("""COMPUTED_VALUE"""),0.13)</f>
        <v>0.13</v>
      </c>
      <c r="L1009" s="14">
        <f>IFERROR(__xludf.DUMMYFUNCTION("""COMPUTED_VALUE"""),65.577)</f>
        <v>65.577</v>
      </c>
      <c r="M1009" s="14">
        <f>IFERROR(__xludf.DUMMYFUNCTION("""COMPUTED_VALUE"""),65.603)</f>
        <v>65.603</v>
      </c>
      <c r="N1009" s="14">
        <f>IFERROR(__xludf.DUMMYFUNCTION("""COMPUTED_VALUE"""),66.49)</f>
        <v>66.49</v>
      </c>
      <c r="O1009" s="14">
        <f>IFERROR(__xludf.DUMMYFUNCTION("""COMPUTED_VALUE"""),67.181)</f>
        <v>67.181</v>
      </c>
      <c r="P1009" s="14">
        <f>IFERROR(__xludf.DUMMYFUNCTION("""COMPUTED_VALUE"""),67.831)</f>
        <v>67.831</v>
      </c>
      <c r="Q1009" s="14">
        <f>IFERROR(__xludf.DUMMYFUNCTION("""COMPUTED_VALUE"""),66.536)</f>
        <v>66.536</v>
      </c>
      <c r="R1009" s="48">
        <f>IFERROR(__xludf.DUMMYFUNCTION("""COMPUTED_VALUE"""),7.12)</f>
        <v>7.12</v>
      </c>
      <c r="S1009" s="48">
        <f>IFERROR(__xludf.DUMMYFUNCTION("""COMPUTED_VALUE"""),6.83)</f>
        <v>6.83</v>
      </c>
      <c r="T1009" s="48">
        <f>IFERROR(__xludf.DUMMYFUNCTION("""COMPUTED_VALUE"""),6.99)</f>
        <v>6.99</v>
      </c>
      <c r="U1009" s="48">
        <f>IFERROR(__xludf.DUMMYFUNCTION("""COMPUTED_VALUE"""),7.14)</f>
        <v>7.14</v>
      </c>
      <c r="V1009" s="48">
        <f>IFERROR(__xludf.DUMMYFUNCTION("""COMPUTED_VALUE"""),7.03)</f>
        <v>7.03</v>
      </c>
      <c r="W1009" s="14">
        <f>IFERROR(__xludf.DUMMYFUNCTION("""COMPUTED_VALUE"""),7.022)</f>
        <v>7.022</v>
      </c>
      <c r="X1009" s="14">
        <f>IFERROR(__xludf.DUMMYFUNCTION("""COMPUTED_VALUE"""),14.1)</f>
        <v>14.1</v>
      </c>
      <c r="Y1009" s="14">
        <f>IFERROR(__xludf.DUMMYFUNCTION("""COMPUTED_VALUE"""),14.2)</f>
        <v>14.2</v>
      </c>
      <c r="Z1009" s="14">
        <f>IFERROR(__xludf.DUMMYFUNCTION("""COMPUTED_VALUE"""),15.3)</f>
        <v>15.3</v>
      </c>
      <c r="AA1009" s="14">
        <f>IFERROR(__xludf.DUMMYFUNCTION("""COMPUTED_VALUE"""),15.5)</f>
        <v>15.5</v>
      </c>
      <c r="AB1009" s="14">
        <f>IFERROR(__xludf.DUMMYFUNCTION("""COMPUTED_VALUE"""),15.5)</f>
        <v>15.5</v>
      </c>
      <c r="AC1009" s="14">
        <f>IFERROR(__xludf.DUMMYFUNCTION("""COMPUTED_VALUE"""),14.919999999999998)</f>
        <v>14.92</v>
      </c>
      <c r="AD1009" s="48">
        <f>IFERROR(__xludf.DUMMYFUNCTION("""COMPUTED_VALUE"""),344.0)</f>
        <v>344</v>
      </c>
      <c r="AE1009" s="48">
        <f>IFERROR(__xludf.DUMMYFUNCTION("""COMPUTED_VALUE"""),335.0)</f>
        <v>335</v>
      </c>
      <c r="AF1009" s="48">
        <f>IFERROR(__xludf.DUMMYFUNCTION("""COMPUTED_VALUE"""),328.0)</f>
        <v>328</v>
      </c>
      <c r="AG1009" s="48">
        <f>IFERROR(__xludf.DUMMYFUNCTION("""COMPUTED_VALUE"""),353.0)</f>
        <v>353</v>
      </c>
      <c r="AH1009" s="48">
        <f>IFERROR(__xludf.DUMMYFUNCTION("""COMPUTED_VALUE"""),350.0)</f>
        <v>350</v>
      </c>
      <c r="AI1009" s="14">
        <f>IFERROR(__xludf.DUMMYFUNCTION("""COMPUTED_VALUE"""),342.0)</f>
        <v>342</v>
      </c>
      <c r="AJ1009" s="14">
        <f>IFERROR(__xludf.DUMMYFUNCTION("""COMPUTED_VALUE"""),3.53)</f>
        <v>3.53</v>
      </c>
      <c r="AK1009" s="14">
        <f>IFERROR(__xludf.DUMMYFUNCTION("""COMPUTED_VALUE"""),2.81)</f>
        <v>2.81</v>
      </c>
      <c r="AL1009" s="14">
        <f>IFERROR(__xludf.DUMMYFUNCTION("""COMPUTED_VALUE"""),3.13)</f>
        <v>3.13</v>
      </c>
      <c r="AM1009" s="14">
        <f>IFERROR(__xludf.DUMMYFUNCTION("""COMPUTED_VALUE"""),3.28)</f>
        <v>3.28</v>
      </c>
      <c r="AN1009" s="14">
        <f>IFERROR(__xludf.DUMMYFUNCTION("""COMPUTED_VALUE"""),3.63)</f>
        <v>3.63</v>
      </c>
      <c r="AO1009" s="14">
        <f>IFERROR(__xludf.DUMMYFUNCTION("""COMPUTED_VALUE"""),3.276)</f>
        <v>3.276</v>
      </c>
      <c r="AP1009" s="14">
        <f>IFERROR(__xludf.DUMMYFUNCTION("""COMPUTED_VALUE"""),14.0)</f>
        <v>14</v>
      </c>
      <c r="AQ1009" s="14">
        <f>IFERROR(__xludf.DUMMYFUNCTION("""COMPUTED_VALUE"""),27.0)</f>
        <v>27</v>
      </c>
      <c r="AR1009" s="14">
        <f>IFERROR(__xludf.DUMMYFUNCTION("""COMPUTED_VALUE"""),20.0)</f>
        <v>20</v>
      </c>
      <c r="AS1009" s="14">
        <f>IFERROR(__xludf.DUMMYFUNCTION("""COMPUTED_VALUE"""),12.0)</f>
        <v>12</v>
      </c>
      <c r="AT1009" s="14">
        <f>IFERROR(__xludf.DUMMYFUNCTION("""COMPUTED_VALUE"""),0.75)</f>
        <v>0.75</v>
      </c>
      <c r="AU1009" s="14">
        <f>IFERROR(__xludf.DUMMYFUNCTION("""COMPUTED_VALUE"""),2.646E7)</f>
        <v>26460000</v>
      </c>
      <c r="AV1009" s="14">
        <f>IFERROR(__xludf.DUMMYFUNCTION("""COMPUTED_VALUE"""),1.81)</f>
        <v>1.81</v>
      </c>
      <c r="AW1009" s="14">
        <f>IFERROR(__xludf.DUMMYFUNCTION("""COMPUTED_VALUE"""),16.8)</f>
        <v>16.8</v>
      </c>
      <c r="AX1009" s="14">
        <f>IFERROR(__xludf.DUMMYFUNCTION("""COMPUTED_VALUE"""),2.14E7)</f>
        <v>21400000</v>
      </c>
      <c r="AY1009" s="14">
        <f>IFERROR(__xludf.DUMMYFUNCTION("""COMPUTED_VALUE"""),0.4)</f>
        <v>0.4</v>
      </c>
      <c r="AZ1009" s="14">
        <f>IFERROR(__xludf.DUMMYFUNCTION("""COMPUTED_VALUE"""),0.007)</f>
        <v>0.007</v>
      </c>
      <c r="BA1009" s="14">
        <f t="shared" si="1"/>
        <v>17.207</v>
      </c>
    </row>
    <row r="1010" ht="14.25" customHeight="1">
      <c r="A1010" s="10" t="str">
        <f>IFERROR(__xludf.DUMMYFUNCTION("""COMPUTED_VALUE"""),"200224SA01")</f>
        <v>200224SA01</v>
      </c>
      <c r="B1010" s="12" t="str">
        <f>IFERROR(__xludf.DUMMYFUNCTION("""COMPUTED_VALUE"""),"CON-Bella Suiza")</f>
        <v>CON-Bella Suiza</v>
      </c>
      <c r="C1010" s="12"/>
      <c r="D1010" s="12"/>
      <c r="E1010" s="44">
        <f>IFERROR(__xludf.DUMMYFUNCTION("""COMPUTED_VALUE"""),45342.0)</f>
        <v>45342</v>
      </c>
      <c r="F1010" s="12" t="str">
        <f>IFERROR(__xludf.DUMMYFUNCTION("""COMPUTED_VALUE"""),"TIPO I")</f>
        <v>TIPO I</v>
      </c>
      <c r="G1010" s="12" t="str">
        <f>IFERROR(__xludf.DUMMYFUNCTION("""COMPUTED_VALUE"""),"Canal artificial en concreto trapezoidal, el monitoreo se realiza a 20 metros aguas abajo del puente vehicular de la carrera décima. Altitud: 2598 msnm. ")</f>
        <v>Canal artificial en concreto trapezoidal, el monitoreo se realiza a 20 metros aguas abajo del puente vehicular de la carrera décima. Altitud: 2598 msnm. </v>
      </c>
      <c r="H1010" s="45">
        <f>IFERROR(__xludf.DUMMYFUNCTION("""COMPUTED_VALUE"""),0.25)</f>
        <v>0.25</v>
      </c>
      <c r="I1010" s="45">
        <f>IFERROR(__xludf.DUMMYFUNCTION("""COMPUTED_VALUE"""),0.3333333333321207)</f>
        <v>0.3333333333</v>
      </c>
      <c r="J1010" s="12">
        <f>IFERROR(__xludf.DUMMYFUNCTION("""COMPUTED_VALUE"""),0.9)</f>
        <v>0.9</v>
      </c>
      <c r="K1010" s="12">
        <f>IFERROR(__xludf.DUMMYFUNCTION("""COMPUTED_VALUE"""),0.07)</f>
        <v>0.07</v>
      </c>
      <c r="L1010" s="14">
        <f>IFERROR(__xludf.DUMMYFUNCTION("""COMPUTED_VALUE"""),3.384)</f>
        <v>3.384</v>
      </c>
      <c r="M1010" s="14">
        <f>IFERROR(__xludf.DUMMYFUNCTION("""COMPUTED_VALUE"""),3.411)</f>
        <v>3.411</v>
      </c>
      <c r="N1010" s="14">
        <f>IFERROR(__xludf.DUMMYFUNCTION("""COMPUTED_VALUE"""),4.128)</f>
        <v>4.128</v>
      </c>
      <c r="O1010" s="14">
        <f>IFERROR(__xludf.DUMMYFUNCTION("""COMPUTED_VALUE"""),5.051)</f>
        <v>5.051</v>
      </c>
      <c r="P1010" s="14">
        <f>IFERROR(__xludf.DUMMYFUNCTION("""COMPUTED_VALUE"""),5.319)</f>
        <v>5.319</v>
      </c>
      <c r="Q1010" s="14">
        <f>IFERROR(__xludf.DUMMYFUNCTION("""COMPUTED_VALUE"""),4.259)</f>
        <v>4.259</v>
      </c>
      <c r="R1010" s="48">
        <f>IFERROR(__xludf.DUMMYFUNCTION("""COMPUTED_VALUE"""),7.72)</f>
        <v>7.72</v>
      </c>
      <c r="S1010" s="48">
        <f>IFERROR(__xludf.DUMMYFUNCTION("""COMPUTED_VALUE"""),7.72)</f>
        <v>7.72</v>
      </c>
      <c r="T1010" s="48">
        <f>IFERROR(__xludf.DUMMYFUNCTION("""COMPUTED_VALUE"""),7.84)</f>
        <v>7.84</v>
      </c>
      <c r="U1010" s="48">
        <f>IFERROR(__xludf.DUMMYFUNCTION("""COMPUTED_VALUE"""),7.83)</f>
        <v>7.83</v>
      </c>
      <c r="V1010" s="48">
        <f>IFERROR(__xludf.DUMMYFUNCTION("""COMPUTED_VALUE"""),7.96)</f>
        <v>7.96</v>
      </c>
      <c r="W1010" s="14">
        <f>IFERROR(__xludf.DUMMYFUNCTION("""COMPUTED_VALUE"""),7.814)</f>
        <v>7.814</v>
      </c>
      <c r="X1010" s="14">
        <f>IFERROR(__xludf.DUMMYFUNCTION("""COMPUTED_VALUE"""),18.1)</f>
        <v>18.1</v>
      </c>
      <c r="Y1010" s="14">
        <f>IFERROR(__xludf.DUMMYFUNCTION("""COMPUTED_VALUE"""),19.0)</f>
        <v>19</v>
      </c>
      <c r="Z1010" s="14">
        <f>IFERROR(__xludf.DUMMYFUNCTION("""COMPUTED_VALUE"""),19.0)</f>
        <v>19</v>
      </c>
      <c r="AA1010" s="14">
        <f>IFERROR(__xludf.DUMMYFUNCTION("""COMPUTED_VALUE"""),18.9)</f>
        <v>18.9</v>
      </c>
      <c r="AB1010" s="14">
        <f>IFERROR(__xludf.DUMMYFUNCTION("""COMPUTED_VALUE"""),19.2)</f>
        <v>19.2</v>
      </c>
      <c r="AC1010" s="14">
        <f>IFERROR(__xludf.DUMMYFUNCTION("""COMPUTED_VALUE"""),18.84)</f>
        <v>18.84</v>
      </c>
      <c r="AD1010" s="48">
        <f>IFERROR(__xludf.DUMMYFUNCTION("""COMPUTED_VALUE"""),242.0)</f>
        <v>242</v>
      </c>
      <c r="AE1010" s="48">
        <f>IFERROR(__xludf.DUMMYFUNCTION("""COMPUTED_VALUE"""),269.0)</f>
        <v>269</v>
      </c>
      <c r="AF1010" s="48">
        <f>IFERROR(__xludf.DUMMYFUNCTION("""COMPUTED_VALUE"""),300.0)</f>
        <v>300</v>
      </c>
      <c r="AG1010" s="48">
        <f>IFERROR(__xludf.DUMMYFUNCTION("""COMPUTED_VALUE"""),352.0)</f>
        <v>352</v>
      </c>
      <c r="AH1010" s="48">
        <f>IFERROR(__xludf.DUMMYFUNCTION("""COMPUTED_VALUE"""),391.0)</f>
        <v>391</v>
      </c>
      <c r="AI1010" s="14">
        <f>IFERROR(__xludf.DUMMYFUNCTION("""COMPUTED_VALUE"""),310.8)</f>
        <v>310.8</v>
      </c>
      <c r="AJ1010" s="14">
        <f>IFERROR(__xludf.DUMMYFUNCTION("""COMPUTED_VALUE"""),2.5)</f>
        <v>2.5</v>
      </c>
      <c r="AK1010" s="14">
        <f>IFERROR(__xludf.DUMMYFUNCTION("""COMPUTED_VALUE"""),2.55)</f>
        <v>2.55</v>
      </c>
      <c r="AL1010" s="14">
        <f>IFERROR(__xludf.DUMMYFUNCTION("""COMPUTED_VALUE"""),2.35)</f>
        <v>2.35</v>
      </c>
      <c r="AM1010" s="14">
        <f>IFERROR(__xludf.DUMMYFUNCTION("""COMPUTED_VALUE"""),1.64)</f>
        <v>1.64</v>
      </c>
      <c r="AN1010" s="14">
        <f>IFERROR(__xludf.DUMMYFUNCTION("""COMPUTED_VALUE"""),1.33)</f>
        <v>1.33</v>
      </c>
      <c r="AO1010" s="14">
        <f>IFERROR(__xludf.DUMMYFUNCTION("""COMPUTED_VALUE"""),2.0740000000000003)</f>
        <v>2.074</v>
      </c>
      <c r="AP1010" s="14">
        <f>IFERROR(__xludf.DUMMYFUNCTION("""COMPUTED_VALUE"""),22.0)</f>
        <v>22</v>
      </c>
      <c r="AQ1010" s="14">
        <f>IFERROR(__xludf.DUMMYFUNCTION("""COMPUTED_VALUE"""),33.0)</f>
        <v>33</v>
      </c>
      <c r="AR1010" s="14">
        <f>IFERROR(__xludf.DUMMYFUNCTION("""COMPUTED_VALUE"""),11.0)</f>
        <v>11</v>
      </c>
      <c r="AS1010" s="14">
        <f>IFERROR(__xludf.DUMMYFUNCTION("""COMPUTED_VALUE"""),1.0)</f>
        <v>1</v>
      </c>
      <c r="AT1010" s="14">
        <f>IFERROR(__xludf.DUMMYFUNCTION("""COMPUTED_VALUE"""),0.48)</f>
        <v>0.48</v>
      </c>
      <c r="AU1010" s="14">
        <f>IFERROR(__xludf.DUMMYFUNCTION("""COMPUTED_VALUE"""),1.13E8)</f>
        <v>113000000</v>
      </c>
      <c r="AV1010" s="14">
        <f>IFERROR(__xludf.DUMMYFUNCTION("""COMPUTED_VALUE"""),1.37)</f>
        <v>1.37</v>
      </c>
      <c r="AW1010" s="14">
        <f>IFERROR(__xludf.DUMMYFUNCTION("""COMPUTED_VALUE"""),11.2)</f>
        <v>11.2</v>
      </c>
      <c r="AX1010" s="14">
        <f>IFERROR(__xludf.DUMMYFUNCTION("""COMPUTED_VALUE"""),8.13E7)</f>
        <v>81300000</v>
      </c>
      <c r="AY1010" s="14">
        <f>IFERROR(__xludf.DUMMYFUNCTION("""COMPUTED_VALUE"""),0.4)</f>
        <v>0.4</v>
      </c>
      <c r="AZ1010" s="14">
        <f>IFERROR(__xludf.DUMMYFUNCTION("""COMPUTED_VALUE"""),0.007)</f>
        <v>0.007</v>
      </c>
      <c r="BA1010" s="14">
        <f t="shared" si="1"/>
        <v>11.607</v>
      </c>
    </row>
    <row r="1011" ht="14.25" customHeight="1">
      <c r="A1011" s="10" t="str">
        <f>IFERROR(__xludf.DUMMYFUNCTION("""COMPUTED_VALUE"""),"200224SA02")</f>
        <v>200224SA02</v>
      </c>
      <c r="B1011" s="12" t="str">
        <f>IFERROR(__xludf.DUMMYFUNCTION("""COMPUTED_VALUE"""),"CON-Country")</f>
        <v>CON-Country</v>
      </c>
      <c r="C1011" s="12"/>
      <c r="D1011" s="12"/>
      <c r="E1011" s="44">
        <f>IFERROR(__xludf.DUMMYFUNCTION("""COMPUTED_VALUE"""),45342.0)</f>
        <v>45342</v>
      </c>
      <c r="F1011" s="12" t="str">
        <f>IFERROR(__xludf.DUMMYFUNCTION("""COMPUTED_VALUE"""),"TIPO I")</f>
        <v>TIPO I</v>
      </c>
      <c r="G1011" s="12" t="str">
        <f>IFERROR(__xludf.DUMMYFUNCTION("""COMPUTED_VALUE"""),"Canal en concreto trapezoidal con pastizales en los costados, se ajusta y se verifica el oxímetro con solución patrón cero, se observa gran cantidad de lama y algas en el lecho. Altitud 2584 msnm. ")</f>
        <v>Canal en concreto trapezoidal con pastizales en los costados, se ajusta y se verifica el oxímetro con solución patrón cero, se observa gran cantidad de lama y algas en el lecho. Altitud 2584 msnm. </v>
      </c>
      <c r="H1011" s="45">
        <f>IFERROR(__xludf.DUMMYFUNCTION("""COMPUTED_VALUE"""),0.4166666666678793)</f>
        <v>0.4166666667</v>
      </c>
      <c r="I1011" s="45">
        <f>IFERROR(__xludf.DUMMYFUNCTION("""COMPUTED_VALUE"""),0.5)</f>
        <v>0.5</v>
      </c>
      <c r="J1011" s="12">
        <f>IFERROR(__xludf.DUMMYFUNCTION("""COMPUTED_VALUE"""),0.45)</f>
        <v>0.45</v>
      </c>
      <c r="K1011" s="12">
        <f>IFERROR(__xludf.DUMMYFUNCTION("""COMPUTED_VALUE"""),0.04)</f>
        <v>0.04</v>
      </c>
      <c r="L1011" s="14">
        <f>IFERROR(__xludf.DUMMYFUNCTION("""COMPUTED_VALUE"""),3.326)</f>
        <v>3.326</v>
      </c>
      <c r="M1011" s="14">
        <f>IFERROR(__xludf.DUMMYFUNCTION("""COMPUTED_VALUE"""),3.224)</f>
        <v>3.224</v>
      </c>
      <c r="N1011" s="14">
        <f>IFERROR(__xludf.DUMMYFUNCTION("""COMPUTED_VALUE"""),3.398)</f>
        <v>3.398</v>
      </c>
      <c r="O1011" s="14">
        <f>IFERROR(__xludf.DUMMYFUNCTION("""COMPUTED_VALUE"""),3.186)</f>
        <v>3.186</v>
      </c>
      <c r="P1011" s="14">
        <f>IFERROR(__xludf.DUMMYFUNCTION("""COMPUTED_VALUE"""),3.165)</f>
        <v>3.165</v>
      </c>
      <c r="Q1011" s="14">
        <f>IFERROR(__xludf.DUMMYFUNCTION("""COMPUTED_VALUE"""),3.26)</f>
        <v>3.26</v>
      </c>
      <c r="R1011" s="48">
        <f>IFERROR(__xludf.DUMMYFUNCTION("""COMPUTED_VALUE"""),9.31)</f>
        <v>9.31</v>
      </c>
      <c r="S1011" s="48">
        <f>IFERROR(__xludf.DUMMYFUNCTION("""COMPUTED_VALUE"""),9.42)</f>
        <v>9.42</v>
      </c>
      <c r="T1011" s="48">
        <f>IFERROR(__xludf.DUMMYFUNCTION("""COMPUTED_VALUE"""),9.55)</f>
        <v>9.55</v>
      </c>
      <c r="U1011" s="48">
        <f>IFERROR(__xludf.DUMMYFUNCTION("""COMPUTED_VALUE"""),9.71)</f>
        <v>9.71</v>
      </c>
      <c r="V1011" s="48">
        <f>IFERROR(__xludf.DUMMYFUNCTION("""COMPUTED_VALUE"""),9.77)</f>
        <v>9.77</v>
      </c>
      <c r="W1011" s="14">
        <f>IFERROR(__xludf.DUMMYFUNCTION("""COMPUTED_VALUE"""),9.552000000000001)</f>
        <v>9.552</v>
      </c>
      <c r="X1011" s="14">
        <f>IFERROR(__xludf.DUMMYFUNCTION("""COMPUTED_VALUE"""),23.2)</f>
        <v>23.2</v>
      </c>
      <c r="Y1011" s="14">
        <f>IFERROR(__xludf.DUMMYFUNCTION("""COMPUTED_VALUE"""),24.1)</f>
        <v>24.1</v>
      </c>
      <c r="Z1011" s="14">
        <f>IFERROR(__xludf.DUMMYFUNCTION("""COMPUTED_VALUE"""),25.7)</f>
        <v>25.7</v>
      </c>
      <c r="AA1011" s="14">
        <f>IFERROR(__xludf.DUMMYFUNCTION("""COMPUTED_VALUE"""),26.4)</f>
        <v>26.4</v>
      </c>
      <c r="AB1011" s="14">
        <f>IFERROR(__xludf.DUMMYFUNCTION("""COMPUTED_VALUE"""),27.0)</f>
        <v>27</v>
      </c>
      <c r="AC1011" s="14">
        <f>IFERROR(__xludf.DUMMYFUNCTION("""COMPUTED_VALUE"""),25.28)</f>
        <v>25.28</v>
      </c>
      <c r="AD1011" s="48">
        <f>IFERROR(__xludf.DUMMYFUNCTION("""COMPUTED_VALUE"""),308.0)</f>
        <v>308</v>
      </c>
      <c r="AE1011" s="48">
        <f>IFERROR(__xludf.DUMMYFUNCTION("""COMPUTED_VALUE"""),277.0)</f>
        <v>277</v>
      </c>
      <c r="AF1011" s="48">
        <f>IFERROR(__xludf.DUMMYFUNCTION("""COMPUTED_VALUE"""),286.0)</f>
        <v>286</v>
      </c>
      <c r="AG1011" s="48">
        <f>IFERROR(__xludf.DUMMYFUNCTION("""COMPUTED_VALUE"""),291.0)</f>
        <v>291</v>
      </c>
      <c r="AH1011" s="48">
        <f>IFERROR(__xludf.DUMMYFUNCTION("""COMPUTED_VALUE"""),293.0)</f>
        <v>293</v>
      </c>
      <c r="AI1011" s="14">
        <f>IFERROR(__xludf.DUMMYFUNCTION("""COMPUTED_VALUE"""),291.0)</f>
        <v>291</v>
      </c>
      <c r="AJ1011" s="14">
        <f>IFERROR(__xludf.DUMMYFUNCTION("""COMPUTED_VALUE"""),11.36)</f>
        <v>11.36</v>
      </c>
      <c r="AK1011" s="14">
        <f>IFERROR(__xludf.DUMMYFUNCTION("""COMPUTED_VALUE"""),12.48)</f>
        <v>12.48</v>
      </c>
      <c r="AL1011" s="14">
        <f>IFERROR(__xludf.DUMMYFUNCTION("""COMPUTED_VALUE"""),12.03)</f>
        <v>12.03</v>
      </c>
      <c r="AM1011" s="14">
        <f>IFERROR(__xludf.DUMMYFUNCTION("""COMPUTED_VALUE"""),12.86)</f>
        <v>12.86</v>
      </c>
      <c r="AN1011" s="14">
        <f>IFERROR(__xludf.DUMMYFUNCTION("""COMPUTED_VALUE"""),13.65)</f>
        <v>13.65</v>
      </c>
      <c r="AO1011" s="14">
        <f>IFERROR(__xludf.DUMMYFUNCTION("""COMPUTED_VALUE"""),12.475999999999999)</f>
        <v>12.476</v>
      </c>
      <c r="AP1011" s="14">
        <f>IFERROR(__xludf.DUMMYFUNCTION("""COMPUTED_VALUE"""),16.0)</f>
        <v>16</v>
      </c>
      <c r="AQ1011" s="14">
        <f>IFERROR(__xludf.DUMMYFUNCTION("""COMPUTED_VALUE"""),37.0)</f>
        <v>37</v>
      </c>
      <c r="AR1011" s="14">
        <f>IFERROR(__xludf.DUMMYFUNCTION("""COMPUTED_VALUE"""),13.0)</f>
        <v>13</v>
      </c>
      <c r="AS1011" s="14">
        <f>IFERROR(__xludf.DUMMYFUNCTION("""COMPUTED_VALUE"""),1.0)</f>
        <v>1</v>
      </c>
      <c r="AT1011" s="14">
        <f>IFERROR(__xludf.DUMMYFUNCTION("""COMPUTED_VALUE"""),0.21)</f>
        <v>0.21</v>
      </c>
      <c r="AU1011" s="14">
        <f>IFERROR(__xludf.DUMMYFUNCTION("""COMPUTED_VALUE"""),60.5)</f>
        <v>60.5</v>
      </c>
      <c r="AV1011" s="14">
        <f>IFERROR(__xludf.DUMMYFUNCTION("""COMPUTED_VALUE"""),1.57)</f>
        <v>1.57</v>
      </c>
      <c r="AW1011" s="14">
        <f>IFERROR(__xludf.DUMMYFUNCTION("""COMPUTED_VALUE"""),11.5)</f>
        <v>11.5</v>
      </c>
      <c r="AX1011" s="14">
        <f>IFERROR(__xludf.DUMMYFUNCTION("""COMPUTED_VALUE"""),41.0)</f>
        <v>41</v>
      </c>
      <c r="AY1011" s="14">
        <f>IFERROR(__xludf.DUMMYFUNCTION("""COMPUTED_VALUE"""),0.5)</f>
        <v>0.5</v>
      </c>
      <c r="AZ1011" s="14">
        <f>IFERROR(__xludf.DUMMYFUNCTION("""COMPUTED_VALUE"""),0.264)</f>
        <v>0.264</v>
      </c>
      <c r="BA1011" s="14">
        <f t="shared" si="1"/>
        <v>12.264</v>
      </c>
    </row>
    <row r="1012" ht="14.25" customHeight="1">
      <c r="A1012" s="10" t="str">
        <f>IFERROR(__xludf.DUMMYFUNCTION("""COMPUTED_VALUE"""),"160224FM01")</f>
        <v>160224FM01</v>
      </c>
      <c r="B1012" s="12" t="str">
        <f>IFERROR(__xludf.DUMMYFUNCTION("""COMPUTED_VALUE"""),"QYO-Arrayanal")</f>
        <v>QYO-Arrayanal</v>
      </c>
      <c r="C1012" s="12"/>
      <c r="D1012" s="12"/>
      <c r="E1012" s="44">
        <f>IFERROR(__xludf.DUMMYFUNCTION("""COMPUTED_VALUE"""),45338.0)</f>
        <v>45338</v>
      </c>
      <c r="F1012" s="12" t="str">
        <f>IFERROR(__xludf.DUMMYFUNCTION("""COMPUTED_VALUE"""),"TIPO I")</f>
        <v>TIPO I</v>
      </c>
      <c r="G1012" s="12" t="str">
        <f>IFERROR(__xludf.DUMMYFUNCTION("""COMPUTED_VALUE"""),"Lecho rocoso, arenoso y lodoso con vegetación aledaña, se observa color, no se percibe olor. 
Altitud: 2821 msnm. ")</f>
        <v>Lecho rocoso, arenoso y lodoso con vegetación aledaña, se observa color, no se percibe olor. 
Altitud: 2821 msnm. </v>
      </c>
      <c r="H1012" s="45">
        <f>IFERROR(__xludf.DUMMYFUNCTION("""COMPUTED_VALUE"""),0.3333333333321207)</f>
        <v>0.3333333333</v>
      </c>
      <c r="I1012" s="45">
        <f>IFERROR(__xludf.DUMMYFUNCTION("""COMPUTED_VALUE"""),0.4166666666678793)</f>
        <v>0.4166666667</v>
      </c>
      <c r="J1012" s="12">
        <f>IFERROR(__xludf.DUMMYFUNCTION("""COMPUTED_VALUE"""),2.7)</f>
        <v>2.7</v>
      </c>
      <c r="K1012" s="12">
        <f>IFERROR(__xludf.DUMMYFUNCTION("""COMPUTED_VALUE"""),0.27)</f>
        <v>0.27</v>
      </c>
      <c r="L1012" s="14">
        <f>IFERROR(__xludf.DUMMYFUNCTION("""COMPUTED_VALUE"""),45.583)</f>
        <v>45.583</v>
      </c>
      <c r="M1012" s="14">
        <f>IFERROR(__xludf.DUMMYFUNCTION("""COMPUTED_VALUE"""),47.608)</f>
        <v>47.608</v>
      </c>
      <c r="N1012" s="14">
        <f>IFERROR(__xludf.DUMMYFUNCTION("""COMPUTED_VALUE"""),44.671)</f>
        <v>44.671</v>
      </c>
      <c r="O1012" s="14">
        <f>IFERROR(__xludf.DUMMYFUNCTION("""COMPUTED_VALUE"""),43.27)</f>
        <v>43.27</v>
      </c>
      <c r="P1012" s="14">
        <f>IFERROR(__xludf.DUMMYFUNCTION("""COMPUTED_VALUE"""),45.394)</f>
        <v>45.394</v>
      </c>
      <c r="Q1012" s="14">
        <f>IFERROR(__xludf.DUMMYFUNCTION("""COMPUTED_VALUE"""),45.305)</f>
        <v>45.305</v>
      </c>
      <c r="R1012" s="48">
        <f>IFERROR(__xludf.DUMMYFUNCTION("""COMPUTED_VALUE"""),6.84)</f>
        <v>6.84</v>
      </c>
      <c r="S1012" s="48">
        <f>IFERROR(__xludf.DUMMYFUNCTION("""COMPUTED_VALUE"""),6.6)</f>
        <v>6.6</v>
      </c>
      <c r="T1012" s="48">
        <f>IFERROR(__xludf.DUMMYFUNCTION("""COMPUTED_VALUE"""),6.54)</f>
        <v>6.54</v>
      </c>
      <c r="U1012" s="48">
        <f>IFERROR(__xludf.DUMMYFUNCTION("""COMPUTED_VALUE"""),6.59)</f>
        <v>6.59</v>
      </c>
      <c r="V1012" s="48">
        <f>IFERROR(__xludf.DUMMYFUNCTION("""COMPUTED_VALUE"""),6.69)</f>
        <v>6.69</v>
      </c>
      <c r="W1012" s="14">
        <f>IFERROR(__xludf.DUMMYFUNCTION("""COMPUTED_VALUE"""),6.651999999999999)</f>
        <v>6.652</v>
      </c>
      <c r="X1012" s="14">
        <f>IFERROR(__xludf.DUMMYFUNCTION("""COMPUTED_VALUE"""),13.0)</f>
        <v>13</v>
      </c>
      <c r="Y1012" s="14">
        <f>IFERROR(__xludf.DUMMYFUNCTION("""COMPUTED_VALUE"""),13.2)</f>
        <v>13.2</v>
      </c>
      <c r="Z1012" s="14">
        <f>IFERROR(__xludf.DUMMYFUNCTION("""COMPUTED_VALUE"""),13.2)</f>
        <v>13.2</v>
      </c>
      <c r="AA1012" s="14">
        <f>IFERROR(__xludf.DUMMYFUNCTION("""COMPUTED_VALUE"""),13.4)</f>
        <v>13.4</v>
      </c>
      <c r="AB1012" s="14">
        <f>IFERROR(__xludf.DUMMYFUNCTION("""COMPUTED_VALUE"""),13.4)</f>
        <v>13.4</v>
      </c>
      <c r="AC1012" s="14">
        <f>IFERROR(__xludf.DUMMYFUNCTION("""COMPUTED_VALUE"""),13.24)</f>
        <v>13.24</v>
      </c>
      <c r="AD1012" s="48">
        <f>IFERROR(__xludf.DUMMYFUNCTION("""COMPUTED_VALUE"""),191.3)</f>
        <v>191.3</v>
      </c>
      <c r="AE1012" s="48">
        <f>IFERROR(__xludf.DUMMYFUNCTION("""COMPUTED_VALUE"""),188.0)</f>
        <v>188</v>
      </c>
      <c r="AF1012" s="48">
        <f>IFERROR(__xludf.DUMMYFUNCTION("""COMPUTED_VALUE"""),192.6)</f>
        <v>192.6</v>
      </c>
      <c r="AG1012" s="48">
        <f>IFERROR(__xludf.DUMMYFUNCTION("""COMPUTED_VALUE"""),201.0)</f>
        <v>201</v>
      </c>
      <c r="AH1012" s="48">
        <f>IFERROR(__xludf.DUMMYFUNCTION("""COMPUTED_VALUE"""),256.0)</f>
        <v>256</v>
      </c>
      <c r="AI1012" s="14">
        <f>IFERROR(__xludf.DUMMYFUNCTION("""COMPUTED_VALUE"""),205.78000000000003)</f>
        <v>205.78</v>
      </c>
      <c r="AJ1012" s="14">
        <f>IFERROR(__xludf.DUMMYFUNCTION("""COMPUTED_VALUE"""),6.0)</f>
        <v>6</v>
      </c>
      <c r="AK1012" s="14">
        <f>IFERROR(__xludf.DUMMYFUNCTION("""COMPUTED_VALUE"""),6.2)</f>
        <v>6.2</v>
      </c>
      <c r="AL1012" s="14">
        <f>IFERROR(__xludf.DUMMYFUNCTION("""COMPUTED_VALUE"""),6.3)</f>
        <v>6.3</v>
      </c>
      <c r="AM1012" s="14">
        <f>IFERROR(__xludf.DUMMYFUNCTION("""COMPUTED_VALUE"""),5.2)</f>
        <v>5.2</v>
      </c>
      <c r="AN1012" s="14">
        <f>IFERROR(__xludf.DUMMYFUNCTION("""COMPUTED_VALUE"""),5.3)</f>
        <v>5.3</v>
      </c>
      <c r="AO1012" s="14">
        <f>IFERROR(__xludf.DUMMYFUNCTION("""COMPUTED_VALUE"""),5.8)</f>
        <v>5.8</v>
      </c>
      <c r="AP1012" s="14">
        <f>IFERROR(__xludf.DUMMYFUNCTION("""COMPUTED_VALUE"""),11.0)</f>
        <v>11</v>
      </c>
      <c r="AQ1012" s="14">
        <f>IFERROR(__xludf.DUMMYFUNCTION("""COMPUTED_VALUE"""),31.0)</f>
        <v>31</v>
      </c>
      <c r="AR1012" s="14">
        <f>IFERROR(__xludf.DUMMYFUNCTION("""COMPUTED_VALUE"""),17.0)</f>
        <v>17</v>
      </c>
      <c r="AS1012" s="14">
        <f>IFERROR(__xludf.DUMMYFUNCTION("""COMPUTED_VALUE"""),1.0)</f>
        <v>1</v>
      </c>
      <c r="AT1012" s="14">
        <f>IFERROR(__xludf.DUMMYFUNCTION("""COMPUTED_VALUE"""),0.07)</f>
        <v>0.07</v>
      </c>
      <c r="AU1012" s="14">
        <f>IFERROR(__xludf.DUMMYFUNCTION("""COMPUTED_VALUE"""),85500.0)</f>
        <v>85500</v>
      </c>
      <c r="AV1012" s="14">
        <f>IFERROR(__xludf.DUMMYFUNCTION("""COMPUTED_VALUE"""),0.68)</f>
        <v>0.68</v>
      </c>
      <c r="AW1012" s="14">
        <f>IFERROR(__xludf.DUMMYFUNCTION("""COMPUTED_VALUE"""),5.6)</f>
        <v>5.6</v>
      </c>
      <c r="AX1012" s="14">
        <f>IFERROR(__xludf.DUMMYFUNCTION("""COMPUTED_VALUE"""),49500.0)</f>
        <v>49500</v>
      </c>
      <c r="AY1012" s="14">
        <f>IFERROR(__xludf.DUMMYFUNCTION("""COMPUTED_VALUE"""),1.5)</f>
        <v>1.5</v>
      </c>
      <c r="AZ1012" s="14">
        <f>IFERROR(__xludf.DUMMYFUNCTION("""COMPUTED_VALUE"""),0.106)</f>
        <v>0.106</v>
      </c>
      <c r="BA1012" s="14">
        <f t="shared" si="1"/>
        <v>7.206</v>
      </c>
    </row>
    <row r="1013" ht="14.25" customHeight="1">
      <c r="A1013" s="10" t="str">
        <f>IFERROR(__xludf.DUMMYFUNCTION("""COMPUTED_VALUE"""),"160224FM02")</f>
        <v>160224FM02</v>
      </c>
      <c r="B1013" s="12" t="str">
        <f>IFERROR(__xludf.DUMMYFUNCTION("""COMPUTED_VALUE"""),"QYO-Bolonia")</f>
        <v>QYO-Bolonia</v>
      </c>
      <c r="C1013" s="12"/>
      <c r="D1013" s="12"/>
      <c r="E1013" s="44">
        <f>IFERROR(__xludf.DUMMYFUNCTION("""COMPUTED_VALUE"""),45338.0)</f>
        <v>45338</v>
      </c>
      <c r="F1013" s="12" t="str">
        <f>IFERROR(__xludf.DUMMYFUNCTION("""COMPUTED_VALUE"""),"TIPO I")</f>
        <v>TIPO I</v>
      </c>
      <c r="G1013" s="12" t="str">
        <f>IFERROR(__xludf.DUMMYFUNCTION("""COMPUTED_VALUE"""),"Canal rocoso, arenoso y lodoso, se observa vegetación aledaña y residuos sólidos en el cauce, durante el desarrollo del monitoreo se observa color y se percibe olor. 
Altitud: 2743 msnm. ")</f>
        <v>Canal rocoso, arenoso y lodoso, se observa vegetación aledaña y residuos sólidos en el cauce, durante el desarrollo del monitoreo se observa color y se percibe olor. 
Altitud: 2743 msnm. </v>
      </c>
      <c r="H1013" s="45">
        <f>IFERROR(__xludf.DUMMYFUNCTION("""COMPUTED_VALUE"""),0.5)</f>
        <v>0.5</v>
      </c>
      <c r="I1013" s="45">
        <f>IFERROR(__xludf.DUMMYFUNCTION("""COMPUTED_VALUE"""),0.5833333333321207)</f>
        <v>0.5833333333</v>
      </c>
      <c r="J1013" s="12">
        <f>IFERROR(__xludf.DUMMYFUNCTION("""COMPUTED_VALUE"""),3.9)</f>
        <v>3.9</v>
      </c>
      <c r="K1013" s="12">
        <f>IFERROR(__xludf.DUMMYFUNCTION("""COMPUTED_VALUE"""),0.32)</f>
        <v>0.32</v>
      </c>
      <c r="L1013" s="14">
        <f>IFERROR(__xludf.DUMMYFUNCTION("""COMPUTED_VALUE"""),119.718)</f>
        <v>119.718</v>
      </c>
      <c r="M1013" s="14">
        <f>IFERROR(__xludf.DUMMYFUNCTION("""COMPUTED_VALUE"""),118.217)</f>
        <v>118.217</v>
      </c>
      <c r="N1013" s="14">
        <f>IFERROR(__xludf.DUMMYFUNCTION("""COMPUTED_VALUE"""),120.386)</f>
        <v>120.386</v>
      </c>
      <c r="O1013" s="14">
        <f>IFERROR(__xludf.DUMMYFUNCTION("""COMPUTED_VALUE"""),122.856)</f>
        <v>122.856</v>
      </c>
      <c r="P1013" s="14">
        <f>IFERROR(__xludf.DUMMYFUNCTION("""COMPUTED_VALUE"""),119.075)</f>
        <v>119.075</v>
      </c>
      <c r="Q1013" s="14">
        <f>IFERROR(__xludf.DUMMYFUNCTION("""COMPUTED_VALUE"""),120.05)</f>
        <v>120.05</v>
      </c>
      <c r="R1013" s="48">
        <f>IFERROR(__xludf.DUMMYFUNCTION("""COMPUTED_VALUE"""),6.91)</f>
        <v>6.91</v>
      </c>
      <c r="S1013" s="48">
        <f>IFERROR(__xludf.DUMMYFUNCTION("""COMPUTED_VALUE"""),7.08)</f>
        <v>7.08</v>
      </c>
      <c r="T1013" s="48">
        <f>IFERROR(__xludf.DUMMYFUNCTION("""COMPUTED_VALUE"""),6.96)</f>
        <v>6.96</v>
      </c>
      <c r="U1013" s="48">
        <f>IFERROR(__xludf.DUMMYFUNCTION("""COMPUTED_VALUE"""),7.14)</f>
        <v>7.14</v>
      </c>
      <c r="V1013" s="48">
        <f>IFERROR(__xludf.DUMMYFUNCTION("""COMPUTED_VALUE"""),7.04)</f>
        <v>7.04</v>
      </c>
      <c r="W1013" s="14">
        <f>IFERROR(__xludf.DUMMYFUNCTION("""COMPUTED_VALUE"""),7.026000000000001)</f>
        <v>7.026</v>
      </c>
      <c r="X1013" s="14">
        <f>IFERROR(__xludf.DUMMYFUNCTION("""COMPUTED_VALUE"""),15.8)</f>
        <v>15.8</v>
      </c>
      <c r="Y1013" s="14">
        <f>IFERROR(__xludf.DUMMYFUNCTION("""COMPUTED_VALUE"""),16.2)</f>
        <v>16.2</v>
      </c>
      <c r="Z1013" s="14">
        <f>IFERROR(__xludf.DUMMYFUNCTION("""COMPUTED_VALUE"""),15.9)</f>
        <v>15.9</v>
      </c>
      <c r="AA1013" s="14">
        <f>IFERROR(__xludf.DUMMYFUNCTION("""COMPUTED_VALUE"""),16.9)</f>
        <v>16.9</v>
      </c>
      <c r="AB1013" s="14">
        <f>IFERROR(__xludf.DUMMYFUNCTION("""COMPUTED_VALUE"""),15.9)</f>
        <v>15.9</v>
      </c>
      <c r="AC1013" s="14">
        <f>IFERROR(__xludf.DUMMYFUNCTION("""COMPUTED_VALUE"""),16.14)</f>
        <v>16.14</v>
      </c>
      <c r="AD1013" s="48">
        <f>IFERROR(__xludf.DUMMYFUNCTION("""COMPUTED_VALUE"""),287.0)</f>
        <v>287</v>
      </c>
      <c r="AE1013" s="48">
        <f>IFERROR(__xludf.DUMMYFUNCTION("""COMPUTED_VALUE"""),291.0)</f>
        <v>291</v>
      </c>
      <c r="AF1013" s="48">
        <f>IFERROR(__xludf.DUMMYFUNCTION("""COMPUTED_VALUE"""),289.0)</f>
        <v>289</v>
      </c>
      <c r="AG1013" s="48">
        <f>IFERROR(__xludf.DUMMYFUNCTION("""COMPUTED_VALUE"""),314.0)</f>
        <v>314</v>
      </c>
      <c r="AH1013" s="48">
        <f>IFERROR(__xludf.DUMMYFUNCTION("""COMPUTED_VALUE"""),307.0)</f>
        <v>307</v>
      </c>
      <c r="AI1013" s="14">
        <f>IFERROR(__xludf.DUMMYFUNCTION("""COMPUTED_VALUE"""),297.6)</f>
        <v>297.6</v>
      </c>
      <c r="AJ1013" s="14">
        <f>IFERROR(__xludf.DUMMYFUNCTION("""COMPUTED_VALUE"""),5.2)</f>
        <v>5.2</v>
      </c>
      <c r="AK1013" s="14">
        <f>IFERROR(__xludf.DUMMYFUNCTION("""COMPUTED_VALUE"""),5.5)</f>
        <v>5.5</v>
      </c>
      <c r="AL1013" s="14">
        <f>IFERROR(__xludf.DUMMYFUNCTION("""COMPUTED_VALUE"""),5.3)</f>
        <v>5.3</v>
      </c>
      <c r="AM1013" s="14">
        <f>IFERROR(__xludf.DUMMYFUNCTION("""COMPUTED_VALUE"""),5.1)</f>
        <v>5.1</v>
      </c>
      <c r="AN1013" s="14">
        <f>IFERROR(__xludf.DUMMYFUNCTION("""COMPUTED_VALUE"""),4.9)</f>
        <v>4.9</v>
      </c>
      <c r="AO1013" s="14">
        <f>IFERROR(__xludf.DUMMYFUNCTION("""COMPUTED_VALUE"""),5.2)</f>
        <v>5.2</v>
      </c>
      <c r="AP1013" s="14">
        <f>IFERROR(__xludf.DUMMYFUNCTION("""COMPUTED_VALUE"""),13.0)</f>
        <v>13</v>
      </c>
      <c r="AQ1013" s="14">
        <f>IFERROR(__xludf.DUMMYFUNCTION("""COMPUTED_VALUE"""),29.0)</f>
        <v>29</v>
      </c>
      <c r="AR1013" s="14">
        <f>IFERROR(__xludf.DUMMYFUNCTION("""COMPUTED_VALUE"""),24.0)</f>
        <v>24</v>
      </c>
      <c r="AS1013" s="14">
        <f>IFERROR(__xludf.DUMMYFUNCTION("""COMPUTED_VALUE"""),1.0)</f>
        <v>1</v>
      </c>
      <c r="AT1013" s="14">
        <f>IFERROR(__xludf.DUMMYFUNCTION("""COMPUTED_VALUE"""),0.07)</f>
        <v>0.07</v>
      </c>
      <c r="AU1013" s="14">
        <f>IFERROR(__xludf.DUMMYFUNCTION("""COMPUTED_VALUE"""),1.396E7)</f>
        <v>13960000</v>
      </c>
      <c r="AV1013" s="14">
        <f>IFERROR(__xludf.DUMMYFUNCTION("""COMPUTED_VALUE"""),1.12)</f>
        <v>1.12</v>
      </c>
      <c r="AW1013" s="14">
        <f>IFERROR(__xludf.DUMMYFUNCTION("""COMPUTED_VALUE"""),8.1)</f>
        <v>8.1</v>
      </c>
      <c r="AX1013" s="14">
        <f>IFERROR(__xludf.DUMMYFUNCTION("""COMPUTED_VALUE"""),1.025E7)</f>
        <v>10250000</v>
      </c>
      <c r="AY1013" s="14">
        <f>IFERROR(__xludf.DUMMYFUNCTION("""COMPUTED_VALUE"""),1.4)</f>
        <v>1.4</v>
      </c>
      <c r="AZ1013" s="14">
        <f>IFERROR(__xludf.DUMMYFUNCTION("""COMPUTED_VALUE"""),0.154)</f>
        <v>0.154</v>
      </c>
      <c r="BA1013" s="14">
        <f t="shared" si="1"/>
        <v>9.654</v>
      </c>
    </row>
    <row r="1014" ht="14.25" customHeight="1">
      <c r="A1014" s="10" t="str">
        <f>IFERROR(__xludf.DUMMYFUNCTION("""COMPUTED_VALUE"""),"160224FM03")</f>
        <v>160224FM03</v>
      </c>
      <c r="B1014" s="12" t="str">
        <f>IFERROR(__xludf.DUMMYFUNCTION("""COMPUTED_VALUE"""),"QYO-Monte Blanco")</f>
        <v>QYO-Monte Blanco</v>
      </c>
      <c r="C1014" s="12"/>
      <c r="D1014" s="12"/>
      <c r="E1014" s="44">
        <f>IFERROR(__xludf.DUMMYFUNCTION("""COMPUTED_VALUE"""),45338.0)</f>
        <v>45338</v>
      </c>
      <c r="F1014" s="12" t="str">
        <f>IFERROR(__xludf.DUMMYFUNCTION("""COMPUTED_VALUE"""),"TIPO I")</f>
        <v>TIPO I</v>
      </c>
      <c r="G1014" s="12" t="str">
        <f>IFERROR(__xludf.DUMMYFUNCTION("""COMPUTED_VALUE"""),"Canal rocoso, arenoso y lodoso con vegetación aledaña, durante el monitoreo se percibe olor, se observa color y residuos sólidos.
Altitud: 2556 msnm. ")</f>
        <v>Canal rocoso, arenoso y lodoso con vegetación aledaña, durante el monitoreo se percibe olor, se observa color y residuos sólidos.
Altitud: 2556 msnm. </v>
      </c>
      <c r="H1014" s="45">
        <f>IFERROR(__xludf.DUMMYFUNCTION("""COMPUTED_VALUE"""),0.6666666666678793)</f>
        <v>0.6666666667</v>
      </c>
      <c r="I1014" s="45">
        <f>IFERROR(__xludf.DUMMYFUNCTION("""COMPUTED_VALUE"""),0.75)</f>
        <v>0.75</v>
      </c>
      <c r="J1014" s="12">
        <f>IFERROR(__xludf.DUMMYFUNCTION("""COMPUTED_VALUE"""),1.8)</f>
        <v>1.8</v>
      </c>
      <c r="K1014" s="12">
        <f>IFERROR(__xludf.DUMMYFUNCTION("""COMPUTED_VALUE"""),0.37)</f>
        <v>0.37</v>
      </c>
      <c r="L1014" s="14">
        <f>IFERROR(__xludf.DUMMYFUNCTION("""COMPUTED_VALUE"""),131.334)</f>
        <v>131.334</v>
      </c>
      <c r="M1014" s="14">
        <f>IFERROR(__xludf.DUMMYFUNCTION("""COMPUTED_VALUE"""),132.651)</f>
        <v>132.651</v>
      </c>
      <c r="N1014" s="14">
        <f>IFERROR(__xludf.DUMMYFUNCTION("""COMPUTED_VALUE"""),135.567)</f>
        <v>135.567</v>
      </c>
      <c r="O1014" s="14">
        <f>IFERROR(__xludf.DUMMYFUNCTION("""COMPUTED_VALUE"""),137.495)</f>
        <v>137.495</v>
      </c>
      <c r="P1014" s="14">
        <f>IFERROR(__xludf.DUMMYFUNCTION("""COMPUTED_VALUE"""),138.355)</f>
        <v>138.355</v>
      </c>
      <c r="Q1014" s="14">
        <f>IFERROR(__xludf.DUMMYFUNCTION("""COMPUTED_VALUE"""),135.08)</f>
        <v>135.08</v>
      </c>
      <c r="R1014" s="48">
        <f>IFERROR(__xludf.DUMMYFUNCTION("""COMPUTED_VALUE"""),7.03)</f>
        <v>7.03</v>
      </c>
      <c r="S1014" s="48">
        <f>IFERROR(__xludf.DUMMYFUNCTION("""COMPUTED_VALUE"""),6.91)</f>
        <v>6.91</v>
      </c>
      <c r="T1014" s="48">
        <f>IFERROR(__xludf.DUMMYFUNCTION("""COMPUTED_VALUE"""),7.0)</f>
        <v>7</v>
      </c>
      <c r="U1014" s="48">
        <f>IFERROR(__xludf.DUMMYFUNCTION("""COMPUTED_VALUE"""),6.64)</f>
        <v>6.64</v>
      </c>
      <c r="V1014" s="48">
        <f>IFERROR(__xludf.DUMMYFUNCTION("""COMPUTED_VALUE"""),6.9)</f>
        <v>6.9</v>
      </c>
      <c r="W1014" s="14">
        <f>IFERROR(__xludf.DUMMYFUNCTION("""COMPUTED_VALUE"""),6.896000000000001)</f>
        <v>6.896</v>
      </c>
      <c r="X1014" s="14">
        <f>IFERROR(__xludf.DUMMYFUNCTION("""COMPUTED_VALUE"""),18.4)</f>
        <v>18.4</v>
      </c>
      <c r="Y1014" s="14">
        <f>IFERROR(__xludf.DUMMYFUNCTION("""COMPUTED_VALUE"""),18.6)</f>
        <v>18.6</v>
      </c>
      <c r="Z1014" s="14">
        <f>IFERROR(__xludf.DUMMYFUNCTION("""COMPUTED_VALUE"""),18.5)</f>
        <v>18.5</v>
      </c>
      <c r="AA1014" s="14">
        <f>IFERROR(__xludf.DUMMYFUNCTION("""COMPUTED_VALUE"""),18.1)</f>
        <v>18.1</v>
      </c>
      <c r="AB1014" s="14">
        <f>IFERROR(__xludf.DUMMYFUNCTION("""COMPUTED_VALUE"""),18.4)</f>
        <v>18.4</v>
      </c>
      <c r="AC1014" s="14">
        <f>IFERROR(__xludf.DUMMYFUNCTION("""COMPUTED_VALUE"""),18.4)</f>
        <v>18.4</v>
      </c>
      <c r="AD1014" s="48">
        <f>IFERROR(__xludf.DUMMYFUNCTION("""COMPUTED_VALUE"""),471.0)</f>
        <v>471</v>
      </c>
      <c r="AE1014" s="48">
        <f>IFERROR(__xludf.DUMMYFUNCTION("""COMPUTED_VALUE"""),437.0)</f>
        <v>437</v>
      </c>
      <c r="AF1014" s="48">
        <f>IFERROR(__xludf.DUMMYFUNCTION("""COMPUTED_VALUE"""),472.0)</f>
        <v>472</v>
      </c>
      <c r="AG1014" s="48">
        <f>IFERROR(__xludf.DUMMYFUNCTION("""COMPUTED_VALUE"""),466.0)</f>
        <v>466</v>
      </c>
      <c r="AH1014" s="48">
        <f>IFERROR(__xludf.DUMMYFUNCTION("""COMPUTED_VALUE"""),459.0)</f>
        <v>459</v>
      </c>
      <c r="AI1014" s="14">
        <f>IFERROR(__xludf.DUMMYFUNCTION("""COMPUTED_VALUE"""),461.0)</f>
        <v>461</v>
      </c>
      <c r="AJ1014" s="14">
        <f>IFERROR(__xludf.DUMMYFUNCTION("""COMPUTED_VALUE"""),2.9)</f>
        <v>2.9</v>
      </c>
      <c r="AK1014" s="14">
        <f>IFERROR(__xludf.DUMMYFUNCTION("""COMPUTED_VALUE"""),2.8)</f>
        <v>2.8</v>
      </c>
      <c r="AL1014" s="14">
        <f>IFERROR(__xludf.DUMMYFUNCTION("""COMPUTED_VALUE"""),2.4)</f>
        <v>2.4</v>
      </c>
      <c r="AM1014" s="14">
        <f>IFERROR(__xludf.DUMMYFUNCTION("""COMPUTED_VALUE"""),2.3)</f>
        <v>2.3</v>
      </c>
      <c r="AN1014" s="14">
        <f>IFERROR(__xludf.DUMMYFUNCTION("""COMPUTED_VALUE"""),2.6)</f>
        <v>2.6</v>
      </c>
      <c r="AO1014" s="14">
        <f>IFERROR(__xludf.DUMMYFUNCTION("""COMPUTED_VALUE"""),2.5999999999999996)</f>
        <v>2.6</v>
      </c>
      <c r="AP1014" s="14">
        <f>IFERROR(__xludf.DUMMYFUNCTION("""COMPUTED_VALUE"""),93.0)</f>
        <v>93</v>
      </c>
      <c r="AQ1014" s="14">
        <f>IFERROR(__xludf.DUMMYFUNCTION("""COMPUTED_VALUE"""),135.0)</f>
        <v>135</v>
      </c>
      <c r="AR1014" s="14">
        <f>IFERROR(__xludf.DUMMYFUNCTION("""COMPUTED_VALUE"""),33.0)</f>
        <v>33</v>
      </c>
      <c r="AS1014" s="14">
        <f>IFERROR(__xludf.DUMMYFUNCTION("""COMPUTED_VALUE"""),12.0)</f>
        <v>12</v>
      </c>
      <c r="AT1014" s="14">
        <f>IFERROR(__xludf.DUMMYFUNCTION("""COMPUTED_VALUE"""),0.43)</f>
        <v>0.43</v>
      </c>
      <c r="AU1014" s="14">
        <f>IFERROR(__xludf.DUMMYFUNCTION("""COMPUTED_VALUE"""),1046000.0)</f>
        <v>1046000</v>
      </c>
      <c r="AV1014" s="14">
        <f>IFERROR(__xludf.DUMMYFUNCTION("""COMPUTED_VALUE"""),1.74)</f>
        <v>1.74</v>
      </c>
      <c r="AW1014" s="14">
        <f>IFERROR(__xludf.DUMMYFUNCTION("""COMPUTED_VALUE"""),17.1)</f>
        <v>17.1</v>
      </c>
      <c r="AX1014" s="14">
        <f>IFERROR(__xludf.DUMMYFUNCTION("""COMPUTED_VALUE"""),805000.0)</f>
        <v>805000</v>
      </c>
      <c r="AY1014" s="14">
        <f>IFERROR(__xludf.DUMMYFUNCTION("""COMPUTED_VALUE"""),0.9)</f>
        <v>0.9</v>
      </c>
      <c r="AZ1014" s="14">
        <f>IFERROR(__xludf.DUMMYFUNCTION("""COMPUTED_VALUE"""),0.007)</f>
        <v>0.007</v>
      </c>
      <c r="BA1014" s="14">
        <f t="shared" si="1"/>
        <v>18.007</v>
      </c>
    </row>
    <row r="1015" ht="14.25" customHeight="1">
      <c r="A1015" s="10" t="str">
        <f>IFERROR(__xludf.DUMMYFUNCTION("""COMPUTED_VALUE"""),"170224SA01")</f>
        <v>170224SA01</v>
      </c>
      <c r="B1015" s="12" t="str">
        <f>IFERROR(__xludf.DUMMYFUNCTION("""COMPUTED_VALUE"""),"QCH-La Orquídea")</f>
        <v>QCH-La Orquídea</v>
      </c>
      <c r="C1015" s="12"/>
      <c r="D1015" s="12"/>
      <c r="E1015" s="44">
        <f>IFERROR(__xludf.DUMMYFUNCTION("""COMPUTED_VALUE"""),45339.0)</f>
        <v>45339</v>
      </c>
      <c r="F1015" s="12" t="str">
        <f>IFERROR(__xludf.DUMMYFUNCTION("""COMPUTED_VALUE"""),"TIPO I")</f>
        <v>TIPO I</v>
      </c>
      <c r="G1015" s="12" t="str">
        <f>IFERROR(__xludf.DUMMYFUNCTION("""COMPUTED_VALUE"""),"Tubería en concreto, caida a canal natural, durante el monitoreo se observa color y se percibe olor, posterior a la tercera alícuota se observa cambio de color en el agua. 
Altitud: 2834 msnm. ")</f>
        <v>Tubería en concreto, caida a canal natural, durante el monitoreo se observa color y se percibe olor, posterior a la tercera alícuota se observa cambio de color en el agua. 
Altitud: 2834 msnm. </v>
      </c>
      <c r="H1015" s="45">
        <f>IFERROR(__xludf.DUMMYFUNCTION("""COMPUTED_VALUE"""),0.25)</f>
        <v>0.25</v>
      </c>
      <c r="I1015" s="45">
        <f>IFERROR(__xludf.DUMMYFUNCTION("""COMPUTED_VALUE"""),0.3333333333321207)</f>
        <v>0.3333333333</v>
      </c>
      <c r="J1015" s="12"/>
      <c r="K1015" s="12"/>
      <c r="L1015" s="14">
        <f>IFERROR(__xludf.DUMMYFUNCTION("""COMPUTED_VALUE"""),0.185)</f>
        <v>0.185</v>
      </c>
      <c r="M1015" s="14">
        <f>IFERROR(__xludf.DUMMYFUNCTION("""COMPUTED_VALUE"""),0.195)</f>
        <v>0.195</v>
      </c>
      <c r="N1015" s="14">
        <f>IFERROR(__xludf.DUMMYFUNCTION("""COMPUTED_VALUE"""),0.1918)</f>
        <v>0.1918</v>
      </c>
      <c r="O1015" s="14">
        <f>IFERROR(__xludf.DUMMYFUNCTION("""COMPUTED_VALUE"""),0.19)</f>
        <v>0.19</v>
      </c>
      <c r="P1015" s="14">
        <f>IFERROR(__xludf.DUMMYFUNCTION("""COMPUTED_VALUE"""),0.192)</f>
        <v>0.192</v>
      </c>
      <c r="Q1015" s="14">
        <f>IFERROR(__xludf.DUMMYFUNCTION("""COMPUTED_VALUE"""),0.191)</f>
        <v>0.191</v>
      </c>
      <c r="R1015" s="48">
        <f>IFERROR(__xludf.DUMMYFUNCTION("""COMPUTED_VALUE"""),7.66)</f>
        <v>7.66</v>
      </c>
      <c r="S1015" s="48">
        <f>IFERROR(__xludf.DUMMYFUNCTION("""COMPUTED_VALUE"""),7.74)</f>
        <v>7.74</v>
      </c>
      <c r="T1015" s="48">
        <f>IFERROR(__xludf.DUMMYFUNCTION("""COMPUTED_VALUE"""),7.56)</f>
        <v>7.56</v>
      </c>
      <c r="U1015" s="48">
        <f>IFERROR(__xludf.DUMMYFUNCTION("""COMPUTED_VALUE"""),7.58)</f>
        <v>7.58</v>
      </c>
      <c r="V1015" s="48">
        <f>IFERROR(__xludf.DUMMYFUNCTION("""COMPUTED_VALUE"""),7.62)</f>
        <v>7.62</v>
      </c>
      <c r="W1015" s="14">
        <f>IFERROR(__xludf.DUMMYFUNCTION("""COMPUTED_VALUE"""),7.632)</f>
        <v>7.632</v>
      </c>
      <c r="X1015" s="14">
        <f>IFERROR(__xludf.DUMMYFUNCTION("""COMPUTED_VALUE"""),16.0)</f>
        <v>16</v>
      </c>
      <c r="Y1015" s="14">
        <f>IFERROR(__xludf.DUMMYFUNCTION("""COMPUTED_VALUE"""),16.0)</f>
        <v>16</v>
      </c>
      <c r="Z1015" s="14">
        <f>IFERROR(__xludf.DUMMYFUNCTION("""COMPUTED_VALUE"""),16.4)</f>
        <v>16.4</v>
      </c>
      <c r="AA1015" s="14">
        <f>IFERROR(__xludf.DUMMYFUNCTION("""COMPUTED_VALUE"""),16.0)</f>
        <v>16</v>
      </c>
      <c r="AB1015" s="14">
        <f>IFERROR(__xludf.DUMMYFUNCTION("""COMPUTED_VALUE"""),16.3)</f>
        <v>16.3</v>
      </c>
      <c r="AC1015" s="14">
        <f>IFERROR(__xludf.DUMMYFUNCTION("""COMPUTED_VALUE"""),16.14)</f>
        <v>16.14</v>
      </c>
      <c r="AD1015" s="48">
        <f>IFERROR(__xludf.DUMMYFUNCTION("""COMPUTED_VALUE"""),591.0)</f>
        <v>591</v>
      </c>
      <c r="AE1015" s="48">
        <f>IFERROR(__xludf.DUMMYFUNCTION("""COMPUTED_VALUE"""),556.0)</f>
        <v>556</v>
      </c>
      <c r="AF1015" s="48">
        <f>IFERROR(__xludf.DUMMYFUNCTION("""COMPUTED_VALUE"""),521.0)</f>
        <v>521</v>
      </c>
      <c r="AG1015" s="48">
        <f>IFERROR(__xludf.DUMMYFUNCTION("""COMPUTED_VALUE"""),552.0)</f>
        <v>552</v>
      </c>
      <c r="AH1015" s="48">
        <f>IFERROR(__xludf.DUMMYFUNCTION("""COMPUTED_VALUE"""),625.0)</f>
        <v>625</v>
      </c>
      <c r="AI1015" s="14">
        <f>IFERROR(__xludf.DUMMYFUNCTION("""COMPUTED_VALUE"""),569.0)</f>
        <v>569</v>
      </c>
      <c r="AJ1015" s="14">
        <f>IFERROR(__xludf.DUMMYFUNCTION("""COMPUTED_VALUE"""),4.1)</f>
        <v>4.1</v>
      </c>
      <c r="AK1015" s="14">
        <f>IFERROR(__xludf.DUMMYFUNCTION("""COMPUTED_VALUE"""),4.2)</f>
        <v>4.2</v>
      </c>
      <c r="AL1015" s="14">
        <f>IFERROR(__xludf.DUMMYFUNCTION("""COMPUTED_VALUE"""),4.1)</f>
        <v>4.1</v>
      </c>
      <c r="AM1015" s="14">
        <f>IFERROR(__xludf.DUMMYFUNCTION("""COMPUTED_VALUE"""),4.2)</f>
        <v>4.2</v>
      </c>
      <c r="AN1015" s="14">
        <f>IFERROR(__xludf.DUMMYFUNCTION("""COMPUTED_VALUE"""),4.0)</f>
        <v>4</v>
      </c>
      <c r="AO1015" s="14">
        <f>IFERROR(__xludf.DUMMYFUNCTION("""COMPUTED_VALUE"""),4.12)</f>
        <v>4.12</v>
      </c>
      <c r="AP1015" s="14">
        <f>IFERROR(__xludf.DUMMYFUNCTION("""COMPUTED_VALUE"""),32.0)</f>
        <v>32</v>
      </c>
      <c r="AQ1015" s="14">
        <f>IFERROR(__xludf.DUMMYFUNCTION("""COMPUTED_VALUE"""),143.0)</f>
        <v>143</v>
      </c>
      <c r="AR1015" s="14">
        <f>IFERROR(__xludf.DUMMYFUNCTION("""COMPUTED_VALUE"""),51.0)</f>
        <v>51</v>
      </c>
      <c r="AS1015" s="14">
        <f>IFERROR(__xludf.DUMMYFUNCTION("""COMPUTED_VALUE"""),1.0)</f>
        <v>1</v>
      </c>
      <c r="AT1015" s="14">
        <f>IFERROR(__xludf.DUMMYFUNCTION("""COMPUTED_VALUE"""),0.07)</f>
        <v>0.07</v>
      </c>
      <c r="AU1015" s="14">
        <f>IFERROR(__xludf.DUMMYFUNCTION("""COMPUTED_VALUE"""),87800.0)</f>
        <v>87800</v>
      </c>
      <c r="AV1015" s="14">
        <f>IFERROR(__xludf.DUMMYFUNCTION("""COMPUTED_VALUE"""),0.06)</f>
        <v>0.06</v>
      </c>
      <c r="AW1015" s="14">
        <f>IFERROR(__xludf.DUMMYFUNCTION("""COMPUTED_VALUE"""),3.1)</f>
        <v>3.1</v>
      </c>
      <c r="AX1015" s="14">
        <f>IFERROR(__xludf.DUMMYFUNCTION("""COMPUTED_VALUE"""),5210.0)</f>
        <v>5210</v>
      </c>
      <c r="AY1015" s="14">
        <f>IFERROR(__xludf.DUMMYFUNCTION("""COMPUTED_VALUE"""),0.5)</f>
        <v>0.5</v>
      </c>
      <c r="AZ1015" s="14">
        <f>IFERROR(__xludf.DUMMYFUNCTION("""COMPUTED_VALUE"""),0.074)</f>
        <v>0.074</v>
      </c>
      <c r="BA1015" s="14">
        <f t="shared" si="1"/>
        <v>3.674</v>
      </c>
    </row>
    <row r="1016" ht="14.25" customHeight="1">
      <c r="A1016" s="10" t="str">
        <f>IFERROR(__xludf.DUMMYFUNCTION("""COMPUTED_VALUE"""),"200224AN01")</f>
        <v>200224AN01</v>
      </c>
      <c r="B1016" s="12" t="str">
        <f>IFERROR(__xludf.DUMMYFUNCTION("""COMPUTED_VALUE"""),"COR-Britalia")</f>
        <v>COR-Britalia</v>
      </c>
      <c r="C1016" s="12"/>
      <c r="D1016" s="12"/>
      <c r="E1016" s="44">
        <f>IFERROR(__xludf.DUMMYFUNCTION("""COMPUTED_VALUE"""),45342.0)</f>
        <v>45342</v>
      </c>
      <c r="F1016" s="12" t="str">
        <f>IFERROR(__xludf.DUMMYFUNCTION("""COMPUTED_VALUE"""),"TIPO I")</f>
        <v>TIPO I</v>
      </c>
      <c r="G1016" s="12" t="str">
        <f>IFERROR(__xludf.DUMMYFUNCTION("""COMPUTED_VALUE"""),"Canal trapezoidal en concreto, presencia de pastizales en sus márgenes, presencia de algas en el fondo del canal, se percibe olor y se observa color.
Altitud: 2566 msnm.")</f>
        <v>Canal trapezoidal en concreto, presencia de pastizales en sus márgenes, presencia de algas en el fondo del canal, se percibe olor y se observa color.
Altitud: 2566 msnm.</v>
      </c>
      <c r="H1016" s="45">
        <f>IFERROR(__xludf.DUMMYFUNCTION("""COMPUTED_VALUE"""),0.25)</f>
        <v>0.25</v>
      </c>
      <c r="I1016" s="45">
        <f>IFERROR(__xludf.DUMMYFUNCTION("""COMPUTED_VALUE"""),0.3333333333321207)</f>
        <v>0.3333333333</v>
      </c>
      <c r="J1016" s="12">
        <f>IFERROR(__xludf.DUMMYFUNCTION("""COMPUTED_VALUE"""),3.0)</f>
        <v>3</v>
      </c>
      <c r="K1016" s="12">
        <f>IFERROR(__xludf.DUMMYFUNCTION("""COMPUTED_VALUE"""),0.06)</f>
        <v>0.06</v>
      </c>
      <c r="L1016" s="14">
        <f>IFERROR(__xludf.DUMMYFUNCTION("""COMPUTED_VALUE"""),12.072)</f>
        <v>12.072</v>
      </c>
      <c r="M1016" s="14">
        <f>IFERROR(__xludf.DUMMYFUNCTION("""COMPUTED_VALUE"""),12.024)</f>
        <v>12.024</v>
      </c>
      <c r="N1016" s="14">
        <f>IFERROR(__xludf.DUMMYFUNCTION("""COMPUTED_VALUE"""),12.431)</f>
        <v>12.431</v>
      </c>
      <c r="O1016" s="14">
        <f>IFERROR(__xludf.DUMMYFUNCTION("""COMPUTED_VALUE"""),12.695)</f>
        <v>12.695</v>
      </c>
      <c r="P1016" s="14">
        <f>IFERROR(__xludf.DUMMYFUNCTION("""COMPUTED_VALUE"""),13.395)</f>
        <v>13.395</v>
      </c>
      <c r="Q1016" s="14">
        <f>IFERROR(__xludf.DUMMYFUNCTION("""COMPUTED_VALUE"""),12.523)</f>
        <v>12.523</v>
      </c>
      <c r="R1016" s="48">
        <f>IFERROR(__xludf.DUMMYFUNCTION("""COMPUTED_VALUE"""),7.21)</f>
        <v>7.21</v>
      </c>
      <c r="S1016" s="48">
        <f>IFERROR(__xludf.DUMMYFUNCTION("""COMPUTED_VALUE"""),6.96)</f>
        <v>6.96</v>
      </c>
      <c r="T1016" s="48">
        <f>IFERROR(__xludf.DUMMYFUNCTION("""COMPUTED_VALUE"""),7.16)</f>
        <v>7.16</v>
      </c>
      <c r="U1016" s="48">
        <f>IFERROR(__xludf.DUMMYFUNCTION("""COMPUTED_VALUE"""),7.25)</f>
        <v>7.25</v>
      </c>
      <c r="V1016" s="48">
        <f>IFERROR(__xludf.DUMMYFUNCTION("""COMPUTED_VALUE"""),7.21)</f>
        <v>7.21</v>
      </c>
      <c r="W1016" s="14">
        <f>IFERROR(__xludf.DUMMYFUNCTION("""COMPUTED_VALUE"""),7.1579999999999995)</f>
        <v>7.158</v>
      </c>
      <c r="X1016" s="14">
        <f>IFERROR(__xludf.DUMMYFUNCTION("""COMPUTED_VALUE"""),19.8)</f>
        <v>19.8</v>
      </c>
      <c r="Y1016" s="14">
        <f>IFERROR(__xludf.DUMMYFUNCTION("""COMPUTED_VALUE"""),19.7)</f>
        <v>19.7</v>
      </c>
      <c r="Z1016" s="14">
        <f>IFERROR(__xludf.DUMMYFUNCTION("""COMPUTED_VALUE"""),19.4)</f>
        <v>19.4</v>
      </c>
      <c r="AA1016" s="14">
        <f>IFERROR(__xludf.DUMMYFUNCTION("""COMPUTED_VALUE"""),20.1)</f>
        <v>20.1</v>
      </c>
      <c r="AB1016" s="14">
        <f>IFERROR(__xludf.DUMMYFUNCTION("""COMPUTED_VALUE"""),19.3)</f>
        <v>19.3</v>
      </c>
      <c r="AC1016" s="14">
        <f>IFERROR(__xludf.DUMMYFUNCTION("""COMPUTED_VALUE"""),19.66)</f>
        <v>19.66</v>
      </c>
      <c r="AD1016" s="48">
        <f>IFERROR(__xludf.DUMMYFUNCTION("""COMPUTED_VALUE"""),322.0)</f>
        <v>322</v>
      </c>
      <c r="AE1016" s="48">
        <f>IFERROR(__xludf.DUMMYFUNCTION("""COMPUTED_VALUE"""),322.0)</f>
        <v>322</v>
      </c>
      <c r="AF1016" s="48">
        <f>IFERROR(__xludf.DUMMYFUNCTION("""COMPUTED_VALUE"""),323.0)</f>
        <v>323</v>
      </c>
      <c r="AG1016" s="48">
        <f>IFERROR(__xludf.DUMMYFUNCTION("""COMPUTED_VALUE"""),315.0)</f>
        <v>315</v>
      </c>
      <c r="AH1016" s="48">
        <f>IFERROR(__xludf.DUMMYFUNCTION("""COMPUTED_VALUE"""),320.0)</f>
        <v>320</v>
      </c>
      <c r="AI1016" s="14">
        <f>IFERROR(__xludf.DUMMYFUNCTION("""COMPUTED_VALUE"""),320.4)</f>
        <v>320.4</v>
      </c>
      <c r="AJ1016" s="14">
        <f>IFERROR(__xludf.DUMMYFUNCTION("""COMPUTED_VALUE"""),0.77)</f>
        <v>0.77</v>
      </c>
      <c r="AK1016" s="14">
        <f>IFERROR(__xludf.DUMMYFUNCTION("""COMPUTED_VALUE"""),1.97)</f>
        <v>1.97</v>
      </c>
      <c r="AL1016" s="14">
        <f>IFERROR(__xludf.DUMMYFUNCTION("""COMPUTED_VALUE"""),1.81)</f>
        <v>1.81</v>
      </c>
      <c r="AM1016" s="14">
        <f>IFERROR(__xludf.DUMMYFUNCTION("""COMPUTED_VALUE"""),1.69)</f>
        <v>1.69</v>
      </c>
      <c r="AN1016" s="14">
        <f>IFERROR(__xludf.DUMMYFUNCTION("""COMPUTED_VALUE"""),1.59)</f>
        <v>1.59</v>
      </c>
      <c r="AO1016" s="14">
        <f>IFERROR(__xludf.DUMMYFUNCTION("""COMPUTED_VALUE"""),1.566)</f>
        <v>1.566</v>
      </c>
      <c r="AP1016" s="14">
        <f>IFERROR(__xludf.DUMMYFUNCTION("""COMPUTED_VALUE"""),15.0)</f>
        <v>15</v>
      </c>
      <c r="AQ1016" s="14">
        <f>IFERROR(__xludf.DUMMYFUNCTION("""COMPUTED_VALUE"""),40.0)</f>
        <v>40</v>
      </c>
      <c r="AR1016" s="14">
        <f>IFERROR(__xludf.DUMMYFUNCTION("""COMPUTED_VALUE"""),16.0)</f>
        <v>16</v>
      </c>
      <c r="AS1016" s="14">
        <f>IFERROR(__xludf.DUMMYFUNCTION("""COMPUTED_VALUE"""),1.0)</f>
        <v>1</v>
      </c>
      <c r="AT1016" s="14">
        <f>IFERROR(__xludf.DUMMYFUNCTION("""COMPUTED_VALUE"""),1.44)</f>
        <v>1.44</v>
      </c>
      <c r="AU1016" s="14">
        <f>IFERROR(__xludf.DUMMYFUNCTION("""COMPUTED_VALUE"""),1.722E8)</f>
        <v>172200000</v>
      </c>
      <c r="AV1016" s="14">
        <f>IFERROR(__xludf.DUMMYFUNCTION("""COMPUTED_VALUE"""),0.57)</f>
        <v>0.57</v>
      </c>
      <c r="AW1016" s="14">
        <f>IFERROR(__xludf.DUMMYFUNCTION("""COMPUTED_VALUE"""),11.2)</f>
        <v>11.2</v>
      </c>
      <c r="AX1016" s="14">
        <f>IFERROR(__xludf.DUMMYFUNCTION("""COMPUTED_VALUE"""),1.497E8)</f>
        <v>149700000</v>
      </c>
      <c r="AY1016" s="14">
        <f>IFERROR(__xludf.DUMMYFUNCTION("""COMPUTED_VALUE"""),0.5)</f>
        <v>0.5</v>
      </c>
      <c r="AZ1016" s="14">
        <f>IFERROR(__xludf.DUMMYFUNCTION("""COMPUTED_VALUE"""),0.007)</f>
        <v>0.007</v>
      </c>
      <c r="BA1016" s="14">
        <f t="shared" si="1"/>
        <v>11.707</v>
      </c>
    </row>
    <row r="1017" ht="14.25" customHeight="1">
      <c r="A1017" s="10" t="str">
        <f>IFERROR(__xludf.DUMMYFUNCTION("""COMPUTED_VALUE"""),"170224SA02")</f>
        <v>170224SA02</v>
      </c>
      <c r="B1017" s="12" t="str">
        <f>IFERROR(__xludf.DUMMYFUNCTION("""COMPUTED_VALUE"""),"QCH-Cantarrana")</f>
        <v>QCH-Cantarrana</v>
      </c>
      <c r="C1017" s="12"/>
      <c r="D1017" s="12"/>
      <c r="E1017" s="44">
        <f>IFERROR(__xludf.DUMMYFUNCTION("""COMPUTED_VALUE"""),45339.0)</f>
        <v>45339</v>
      </c>
      <c r="F1017" s="12" t="str">
        <f>IFERROR(__xludf.DUMMYFUNCTION("""COMPUTED_VALUE"""),"TIPO I")</f>
        <v>TIPO I</v>
      </c>
      <c r="G1017" s="12" t="str">
        <f>IFERROR(__xludf.DUMMYFUNCTION("""COMPUTED_VALUE"""),"Lecho natural rocoso arenoso, durante el monitoreo se percibe olor, se observa color y espuma. 
Altitud: 2660 msnm. ")</f>
        <v>Lecho natural rocoso arenoso, durante el monitoreo se percibe olor, se observa color y espuma. 
Altitud: 2660 msnm. </v>
      </c>
      <c r="H1017" s="45">
        <f>IFERROR(__xludf.DUMMYFUNCTION("""COMPUTED_VALUE"""),0.4166666666678793)</f>
        <v>0.4166666667</v>
      </c>
      <c r="I1017" s="45">
        <f>IFERROR(__xludf.DUMMYFUNCTION("""COMPUTED_VALUE"""),0.5)</f>
        <v>0.5</v>
      </c>
      <c r="J1017" s="12">
        <f>IFERROR(__xludf.DUMMYFUNCTION("""COMPUTED_VALUE"""),0.48)</f>
        <v>0.48</v>
      </c>
      <c r="K1017" s="12">
        <f>IFERROR(__xludf.DUMMYFUNCTION("""COMPUTED_VALUE"""),0.19)</f>
        <v>0.19</v>
      </c>
      <c r="L1017" s="14">
        <f>IFERROR(__xludf.DUMMYFUNCTION("""COMPUTED_VALUE"""),46.049)</f>
        <v>46.049</v>
      </c>
      <c r="M1017" s="14">
        <f>IFERROR(__xludf.DUMMYFUNCTION("""COMPUTED_VALUE"""),47.292)</f>
        <v>47.292</v>
      </c>
      <c r="N1017" s="14">
        <f>IFERROR(__xludf.DUMMYFUNCTION("""COMPUTED_VALUE"""),47.78)</f>
        <v>47.78</v>
      </c>
      <c r="O1017" s="14">
        <f>IFERROR(__xludf.DUMMYFUNCTION("""COMPUTED_VALUE"""),47.354)</f>
        <v>47.354</v>
      </c>
      <c r="P1017" s="14">
        <f>IFERROR(__xludf.DUMMYFUNCTION("""COMPUTED_VALUE"""),47.685)</f>
        <v>47.685</v>
      </c>
      <c r="Q1017" s="14">
        <f>IFERROR(__xludf.DUMMYFUNCTION("""COMPUTED_VALUE"""),47.232)</f>
        <v>47.232</v>
      </c>
      <c r="R1017" s="48">
        <f>IFERROR(__xludf.DUMMYFUNCTION("""COMPUTED_VALUE"""),7.96)</f>
        <v>7.96</v>
      </c>
      <c r="S1017" s="48">
        <f>IFERROR(__xludf.DUMMYFUNCTION("""COMPUTED_VALUE"""),7.8)</f>
        <v>7.8</v>
      </c>
      <c r="T1017" s="48">
        <f>IFERROR(__xludf.DUMMYFUNCTION("""COMPUTED_VALUE"""),7.7)</f>
        <v>7.7</v>
      </c>
      <c r="U1017" s="48">
        <f>IFERROR(__xludf.DUMMYFUNCTION("""COMPUTED_VALUE"""),7.57)</f>
        <v>7.57</v>
      </c>
      <c r="V1017" s="48">
        <f>IFERROR(__xludf.DUMMYFUNCTION("""COMPUTED_VALUE"""),7.56)</f>
        <v>7.56</v>
      </c>
      <c r="W1017" s="14">
        <f>IFERROR(__xludf.DUMMYFUNCTION("""COMPUTED_VALUE"""),7.718000000000001)</f>
        <v>7.718</v>
      </c>
      <c r="X1017" s="14">
        <f>IFERROR(__xludf.DUMMYFUNCTION("""COMPUTED_VALUE"""),16.9)</f>
        <v>16.9</v>
      </c>
      <c r="Y1017" s="14">
        <f>IFERROR(__xludf.DUMMYFUNCTION("""COMPUTED_VALUE"""),16.3)</f>
        <v>16.3</v>
      </c>
      <c r="Z1017" s="14">
        <f>IFERROR(__xludf.DUMMYFUNCTION("""COMPUTED_VALUE"""),17.1)</f>
        <v>17.1</v>
      </c>
      <c r="AA1017" s="14">
        <f>IFERROR(__xludf.DUMMYFUNCTION("""COMPUTED_VALUE"""),17.4)</f>
        <v>17.4</v>
      </c>
      <c r="AB1017" s="14">
        <f>IFERROR(__xludf.DUMMYFUNCTION("""COMPUTED_VALUE"""),17.0)</f>
        <v>17</v>
      </c>
      <c r="AC1017" s="14">
        <f>IFERROR(__xludf.DUMMYFUNCTION("""COMPUTED_VALUE"""),16.94)</f>
        <v>16.94</v>
      </c>
      <c r="AD1017" s="48">
        <f>IFERROR(__xludf.DUMMYFUNCTION("""COMPUTED_VALUE"""),1118.0)</f>
        <v>1118</v>
      </c>
      <c r="AE1017" s="48">
        <f>IFERROR(__xludf.DUMMYFUNCTION("""COMPUTED_VALUE"""),1040.0)</f>
        <v>1040</v>
      </c>
      <c r="AF1017" s="48">
        <f>IFERROR(__xludf.DUMMYFUNCTION("""COMPUTED_VALUE"""),1007.0)</f>
        <v>1007</v>
      </c>
      <c r="AG1017" s="48">
        <f>IFERROR(__xludf.DUMMYFUNCTION("""COMPUTED_VALUE"""),936.0)</f>
        <v>936</v>
      </c>
      <c r="AH1017" s="48">
        <f>IFERROR(__xludf.DUMMYFUNCTION("""COMPUTED_VALUE"""),915.0)</f>
        <v>915</v>
      </c>
      <c r="AI1017" s="14">
        <f>IFERROR(__xludf.DUMMYFUNCTION("""COMPUTED_VALUE"""),1003.2)</f>
        <v>1003.2</v>
      </c>
      <c r="AJ1017" s="14">
        <f>IFERROR(__xludf.DUMMYFUNCTION("""COMPUTED_VALUE"""),3.0)</f>
        <v>3</v>
      </c>
      <c r="AK1017" s="14">
        <f>IFERROR(__xludf.DUMMYFUNCTION("""COMPUTED_VALUE"""),2.8)</f>
        <v>2.8</v>
      </c>
      <c r="AL1017" s="14">
        <f>IFERROR(__xludf.DUMMYFUNCTION("""COMPUTED_VALUE"""),3.2)</f>
        <v>3.2</v>
      </c>
      <c r="AM1017" s="14">
        <f>IFERROR(__xludf.DUMMYFUNCTION("""COMPUTED_VALUE"""),3.0)</f>
        <v>3</v>
      </c>
      <c r="AN1017" s="14">
        <f>IFERROR(__xludf.DUMMYFUNCTION("""COMPUTED_VALUE"""),2.8)</f>
        <v>2.8</v>
      </c>
      <c r="AO1017" s="14">
        <f>IFERROR(__xludf.DUMMYFUNCTION("""COMPUTED_VALUE"""),2.96)</f>
        <v>2.96</v>
      </c>
      <c r="AP1017" s="14">
        <f>IFERROR(__xludf.DUMMYFUNCTION("""COMPUTED_VALUE"""),476.0)</f>
        <v>476</v>
      </c>
      <c r="AQ1017" s="14">
        <f>IFERROR(__xludf.DUMMYFUNCTION("""COMPUTED_VALUE"""),733.0)</f>
        <v>733</v>
      </c>
      <c r="AR1017" s="14">
        <f>IFERROR(__xludf.DUMMYFUNCTION("""COMPUTED_VALUE"""),309.0)</f>
        <v>309</v>
      </c>
      <c r="AS1017" s="14">
        <f>IFERROR(__xludf.DUMMYFUNCTION("""COMPUTED_VALUE"""),140.0)</f>
        <v>140</v>
      </c>
      <c r="AT1017" s="14">
        <f>IFERROR(__xludf.DUMMYFUNCTION("""COMPUTED_VALUE"""),6.95)</f>
        <v>6.95</v>
      </c>
      <c r="AU1017" s="14">
        <f>IFERROR(__xludf.DUMMYFUNCTION("""COMPUTED_VALUE"""),1.21E8)</f>
        <v>121000000</v>
      </c>
      <c r="AV1017" s="14">
        <f>IFERROR(__xludf.DUMMYFUNCTION("""COMPUTED_VALUE"""),6.79)</f>
        <v>6.79</v>
      </c>
      <c r="AW1017" s="14">
        <f>IFERROR(__xludf.DUMMYFUNCTION("""COMPUTED_VALUE"""),61.0)</f>
        <v>61</v>
      </c>
      <c r="AX1017" s="14">
        <f>IFERROR(__xludf.DUMMYFUNCTION("""COMPUTED_VALUE"""),6.37E7)</f>
        <v>63700000</v>
      </c>
      <c r="AY1017" s="14">
        <f>IFERROR(__xludf.DUMMYFUNCTION("""COMPUTED_VALUE"""),0.5)</f>
        <v>0.5</v>
      </c>
      <c r="AZ1017" s="14">
        <f>IFERROR(__xludf.DUMMYFUNCTION("""COMPUTED_VALUE"""),0.007)</f>
        <v>0.007</v>
      </c>
      <c r="BA1017" s="14">
        <f t="shared" si="1"/>
        <v>61.507</v>
      </c>
    </row>
    <row r="1018" ht="14.25" customHeight="1">
      <c r="A1018" s="10" t="str">
        <f>IFERROR(__xludf.DUMMYFUNCTION("""COMPUTED_VALUE"""),"200224FM02")</f>
        <v>200224FM02</v>
      </c>
      <c r="B1018" s="12" t="str">
        <f>IFERROR(__xludf.DUMMYFUNCTION("""COMPUTED_VALUE"""),"CMO-Santa Ana")</f>
        <v>CMO-Santa Ana</v>
      </c>
      <c r="C1018" s="12"/>
      <c r="D1018" s="12"/>
      <c r="E1018" s="44">
        <f>IFERROR(__xludf.DUMMYFUNCTION("""COMPUTED_VALUE"""),45342.0)</f>
        <v>45342</v>
      </c>
      <c r="F1018" s="12" t="str">
        <f>IFERROR(__xludf.DUMMYFUNCTION("""COMPUTED_VALUE"""),"TIPO I")</f>
        <v>TIPO I</v>
      </c>
      <c r="G1018" s="12" t="str">
        <f>IFERROR(__xludf.DUMMYFUNCTION("""COMPUTED_VALUE"""),"Lecho artificial canal en concreto, presencia de sedimento, se observa cobertura vegetal arbórea con presencia de pastizales, no se percibe olor se observa color, material flotante. Durante la ultima alícuota se observa un cambio en el color y aumento en "&amp;"el material flotante.
Altitud: 2576 msnm.")</f>
        <v>Lecho artificial canal en concreto, presencia de sedimento, se observa cobertura vegetal arbórea con presencia de pastizales, no se percibe olor se observa color, material flotante. Durante la ultima alícuota se observa un cambio en el color y aumento en el material flotante.
Altitud: 2576 msnm.</v>
      </c>
      <c r="H1018" s="45">
        <f>IFERROR(__xludf.DUMMYFUNCTION("""COMPUTED_VALUE"""),0.5)</f>
        <v>0.5</v>
      </c>
      <c r="I1018" s="45">
        <f>IFERROR(__xludf.DUMMYFUNCTION("""COMPUTED_VALUE"""),0.5833333333321207)</f>
        <v>0.5833333333</v>
      </c>
      <c r="J1018" s="12">
        <f>IFERROR(__xludf.DUMMYFUNCTION("""COMPUTED_VALUE"""),0.2)</f>
        <v>0.2</v>
      </c>
      <c r="K1018" s="12">
        <f>IFERROR(__xludf.DUMMYFUNCTION("""COMPUTED_VALUE"""),3.4)</f>
        <v>3.4</v>
      </c>
      <c r="L1018" s="14">
        <f>IFERROR(__xludf.DUMMYFUNCTION("""COMPUTED_VALUE"""),163.871)</f>
        <v>163.871</v>
      </c>
      <c r="M1018" s="14">
        <f>IFERROR(__xludf.DUMMYFUNCTION("""COMPUTED_VALUE"""),164.492)</f>
        <v>164.492</v>
      </c>
      <c r="N1018" s="14">
        <f>IFERROR(__xludf.DUMMYFUNCTION("""COMPUTED_VALUE"""),163.858)</f>
        <v>163.858</v>
      </c>
      <c r="O1018" s="14">
        <f>IFERROR(__xludf.DUMMYFUNCTION("""COMPUTED_VALUE"""),163.449)</f>
        <v>163.449</v>
      </c>
      <c r="P1018" s="14">
        <f>IFERROR(__xludf.DUMMYFUNCTION("""COMPUTED_VALUE"""),168.743)</f>
        <v>168.743</v>
      </c>
      <c r="Q1018" s="14">
        <f>IFERROR(__xludf.DUMMYFUNCTION("""COMPUTED_VALUE"""),164.883)</f>
        <v>164.883</v>
      </c>
      <c r="R1018" s="48">
        <f>IFERROR(__xludf.DUMMYFUNCTION("""COMPUTED_VALUE"""),6.84)</f>
        <v>6.84</v>
      </c>
      <c r="S1018" s="48">
        <f>IFERROR(__xludf.DUMMYFUNCTION("""COMPUTED_VALUE"""),6.72)</f>
        <v>6.72</v>
      </c>
      <c r="T1018" s="48">
        <f>IFERROR(__xludf.DUMMYFUNCTION("""COMPUTED_VALUE"""),6.9)</f>
        <v>6.9</v>
      </c>
      <c r="U1018" s="48">
        <f>IFERROR(__xludf.DUMMYFUNCTION("""COMPUTED_VALUE"""),6.98)</f>
        <v>6.98</v>
      </c>
      <c r="V1018" s="48">
        <f>IFERROR(__xludf.DUMMYFUNCTION("""COMPUTED_VALUE"""),7.0)</f>
        <v>7</v>
      </c>
      <c r="W1018" s="14">
        <f>IFERROR(__xludf.DUMMYFUNCTION("""COMPUTED_VALUE"""),6.888)</f>
        <v>6.888</v>
      </c>
      <c r="X1018" s="14">
        <f>IFERROR(__xludf.DUMMYFUNCTION("""COMPUTED_VALUE"""),19.7)</f>
        <v>19.7</v>
      </c>
      <c r="Y1018" s="14">
        <f>IFERROR(__xludf.DUMMYFUNCTION("""COMPUTED_VALUE"""),20.1)</f>
        <v>20.1</v>
      </c>
      <c r="Z1018" s="14">
        <f>IFERROR(__xludf.DUMMYFUNCTION("""COMPUTED_VALUE"""),20.5)</f>
        <v>20.5</v>
      </c>
      <c r="AA1018" s="14">
        <f>IFERROR(__xludf.DUMMYFUNCTION("""COMPUTED_VALUE"""),20.4)</f>
        <v>20.4</v>
      </c>
      <c r="AB1018" s="14">
        <f>IFERROR(__xludf.DUMMYFUNCTION("""COMPUTED_VALUE"""),20.6)</f>
        <v>20.6</v>
      </c>
      <c r="AC1018" s="14">
        <f>IFERROR(__xludf.DUMMYFUNCTION("""COMPUTED_VALUE"""),20.259999999999998)</f>
        <v>20.26</v>
      </c>
      <c r="AD1018" s="48">
        <f>IFERROR(__xludf.DUMMYFUNCTION("""COMPUTED_VALUE"""),417.0)</f>
        <v>417</v>
      </c>
      <c r="AE1018" s="48">
        <f>IFERROR(__xludf.DUMMYFUNCTION("""COMPUTED_VALUE"""),423.0)</f>
        <v>423</v>
      </c>
      <c r="AF1018" s="48">
        <f>IFERROR(__xludf.DUMMYFUNCTION("""COMPUTED_VALUE"""),435.0)</f>
        <v>435</v>
      </c>
      <c r="AG1018" s="48">
        <f>IFERROR(__xludf.DUMMYFUNCTION("""COMPUTED_VALUE"""),434.0)</f>
        <v>434</v>
      </c>
      <c r="AH1018" s="48">
        <f>IFERROR(__xludf.DUMMYFUNCTION("""COMPUTED_VALUE"""),471.0)</f>
        <v>471</v>
      </c>
      <c r="AI1018" s="14">
        <f>IFERROR(__xludf.DUMMYFUNCTION("""COMPUTED_VALUE"""),436.0)</f>
        <v>436</v>
      </c>
      <c r="AJ1018" s="14">
        <f>IFERROR(__xludf.DUMMYFUNCTION("""COMPUTED_VALUE"""),1.7)</f>
        <v>1.7</v>
      </c>
      <c r="AK1018" s="14">
        <f>IFERROR(__xludf.DUMMYFUNCTION("""COMPUTED_VALUE"""),1.4)</f>
        <v>1.4</v>
      </c>
      <c r="AL1018" s="14">
        <f>IFERROR(__xludf.DUMMYFUNCTION("""COMPUTED_VALUE"""),1.4)</f>
        <v>1.4</v>
      </c>
      <c r="AM1018" s="14">
        <f>IFERROR(__xludf.DUMMYFUNCTION("""COMPUTED_VALUE"""),1.6)</f>
        <v>1.6</v>
      </c>
      <c r="AN1018" s="14">
        <f>IFERROR(__xludf.DUMMYFUNCTION("""COMPUTED_VALUE"""),1.0)</f>
        <v>1</v>
      </c>
      <c r="AO1018" s="14">
        <f>IFERROR(__xludf.DUMMYFUNCTION("""COMPUTED_VALUE"""),1.42)</f>
        <v>1.42</v>
      </c>
      <c r="AP1018" s="14">
        <f>IFERROR(__xludf.DUMMYFUNCTION("""COMPUTED_VALUE"""),76.0)</f>
        <v>76</v>
      </c>
      <c r="AQ1018" s="14">
        <f>IFERROR(__xludf.DUMMYFUNCTION("""COMPUTED_VALUE"""),112.0)</f>
        <v>112</v>
      </c>
      <c r="AR1018" s="14">
        <f>IFERROR(__xludf.DUMMYFUNCTION("""COMPUTED_VALUE"""),32.0)</f>
        <v>32</v>
      </c>
      <c r="AS1018" s="14">
        <f>IFERROR(__xludf.DUMMYFUNCTION("""COMPUTED_VALUE"""),3.7)</f>
        <v>3.7</v>
      </c>
      <c r="AT1018" s="14">
        <f>IFERROR(__xludf.DUMMYFUNCTION("""COMPUTED_VALUE"""),1.8)</f>
        <v>1.8</v>
      </c>
      <c r="AU1018" s="14">
        <f>IFERROR(__xludf.DUMMYFUNCTION("""COMPUTED_VALUE"""),9360000.0)</f>
        <v>9360000</v>
      </c>
      <c r="AV1018" s="14">
        <f>IFERROR(__xludf.DUMMYFUNCTION("""COMPUTED_VALUE"""),2.66)</f>
        <v>2.66</v>
      </c>
      <c r="AW1018" s="14">
        <f>IFERROR(__xludf.DUMMYFUNCTION("""COMPUTED_VALUE"""),16.2)</f>
        <v>16.2</v>
      </c>
      <c r="AX1018" s="14">
        <f>IFERROR(__xludf.DUMMYFUNCTION("""COMPUTED_VALUE"""),5390000.0)</f>
        <v>5390000</v>
      </c>
      <c r="AY1018" s="14">
        <f>IFERROR(__xludf.DUMMYFUNCTION("""COMPUTED_VALUE"""),0.2)</f>
        <v>0.2</v>
      </c>
      <c r="AZ1018" s="14">
        <f>IFERROR(__xludf.DUMMYFUNCTION("""COMPUTED_VALUE"""),0.007)</f>
        <v>0.007</v>
      </c>
      <c r="BA1018" s="14">
        <f t="shared" si="1"/>
        <v>16.407</v>
      </c>
    </row>
    <row r="1019" ht="14.25" customHeight="1">
      <c r="A1019" s="10" t="str">
        <f>IFERROR(__xludf.DUMMYFUNCTION("""COMPUTED_VALUE"""),"210224DA01")</f>
        <v>210224DA01</v>
      </c>
      <c r="B1019" s="12" t="str">
        <f>IFERROR(__xludf.DUMMYFUNCTION("""COMPUTED_VALUE"""),"CON-Camino del Contador")</f>
        <v>CON-Camino del Contador</v>
      </c>
      <c r="C1019" s="12"/>
      <c r="D1019" s="12"/>
      <c r="E1019" s="44">
        <f>IFERROR(__xludf.DUMMYFUNCTION("""COMPUTED_VALUE"""),45343.0)</f>
        <v>45343</v>
      </c>
      <c r="F1019" s="12" t="str">
        <f>IFERROR(__xludf.DUMMYFUNCTION("""COMPUTED_VALUE"""),"TIPO I")</f>
        <v>TIPO I</v>
      </c>
      <c r="G1019" s="12" t="str">
        <f>IFERROR(__xludf.DUMMYFUNCTION("""COMPUTED_VALUE"""),"Lecho artificial canal en concreto, presencia de pastizales. Se percibe olor y se observa color, en el punto de monitoreo se observa deterioro del canal debido a la presencia de gran cantidad de residuos, de igual forma se observa algas y lama en el agua "&amp;"y lodos en descomposición en las orillas.")</f>
        <v>Lecho artificial canal en concreto, presencia de pastizales. Se percibe olor y se observa color, en el punto de monitoreo se observa deterioro del canal debido a la presencia de gran cantidad de residuos, de igual forma se observa algas y lama en el agua y lodos en descomposición en las orillas.</v>
      </c>
      <c r="H1019" s="45">
        <f>IFERROR(__xludf.DUMMYFUNCTION("""COMPUTED_VALUE"""),0.3333333333321207)</f>
        <v>0.3333333333</v>
      </c>
      <c r="I1019" s="45">
        <f>IFERROR(__xludf.DUMMYFUNCTION("""COMPUTED_VALUE"""),0.4166666666678793)</f>
        <v>0.4166666667</v>
      </c>
      <c r="J1019" s="12">
        <f>IFERROR(__xludf.DUMMYFUNCTION("""COMPUTED_VALUE"""),2.0)</f>
        <v>2</v>
      </c>
      <c r="K1019" s="12">
        <f>IFERROR(__xludf.DUMMYFUNCTION("""COMPUTED_VALUE"""),0.08)</f>
        <v>0.08</v>
      </c>
      <c r="L1019" s="14">
        <f>IFERROR(__xludf.DUMMYFUNCTION("""COMPUTED_VALUE"""),14.77)</f>
        <v>14.77</v>
      </c>
      <c r="M1019" s="14">
        <f>IFERROR(__xludf.DUMMYFUNCTION("""COMPUTED_VALUE"""),14.596)</f>
        <v>14.596</v>
      </c>
      <c r="N1019" s="14">
        <f>IFERROR(__xludf.DUMMYFUNCTION("""COMPUTED_VALUE"""),14.921)</f>
        <v>14.921</v>
      </c>
      <c r="O1019" s="14">
        <f>IFERROR(__xludf.DUMMYFUNCTION("""COMPUTED_VALUE"""),15.103)</f>
        <v>15.103</v>
      </c>
      <c r="P1019" s="14">
        <f>IFERROR(__xludf.DUMMYFUNCTION("""COMPUTED_VALUE"""),15.021)</f>
        <v>15.021</v>
      </c>
      <c r="Q1019" s="14">
        <f>IFERROR(__xludf.DUMMYFUNCTION("""COMPUTED_VALUE"""),14.882)</f>
        <v>14.882</v>
      </c>
      <c r="R1019" s="48">
        <f>IFERROR(__xludf.DUMMYFUNCTION("""COMPUTED_VALUE"""),7.98)</f>
        <v>7.98</v>
      </c>
      <c r="S1019" s="48">
        <f>IFERROR(__xludf.DUMMYFUNCTION("""COMPUTED_VALUE"""),7.95)</f>
        <v>7.95</v>
      </c>
      <c r="T1019" s="48">
        <f>IFERROR(__xludf.DUMMYFUNCTION("""COMPUTED_VALUE"""),8.01)</f>
        <v>8.01</v>
      </c>
      <c r="U1019" s="48">
        <f>IFERROR(__xludf.DUMMYFUNCTION("""COMPUTED_VALUE"""),8.08)</f>
        <v>8.08</v>
      </c>
      <c r="V1019" s="48">
        <f>IFERROR(__xludf.DUMMYFUNCTION("""COMPUTED_VALUE"""),8.09)</f>
        <v>8.09</v>
      </c>
      <c r="W1019" s="14">
        <f>IFERROR(__xludf.DUMMYFUNCTION("""COMPUTED_VALUE"""),8.022)</f>
        <v>8.022</v>
      </c>
      <c r="X1019" s="14">
        <f>IFERROR(__xludf.DUMMYFUNCTION("""COMPUTED_VALUE"""),17.6)</f>
        <v>17.6</v>
      </c>
      <c r="Y1019" s="14">
        <f>IFERROR(__xludf.DUMMYFUNCTION("""COMPUTED_VALUE"""),19.1)</f>
        <v>19.1</v>
      </c>
      <c r="Z1019" s="14">
        <f>IFERROR(__xludf.DUMMYFUNCTION("""COMPUTED_VALUE"""),20.6)</f>
        <v>20.6</v>
      </c>
      <c r="AA1019" s="14">
        <f>IFERROR(__xludf.DUMMYFUNCTION("""COMPUTED_VALUE"""),21.4)</f>
        <v>21.4</v>
      </c>
      <c r="AB1019" s="14">
        <f>IFERROR(__xludf.DUMMYFUNCTION("""COMPUTED_VALUE"""),23.3)</f>
        <v>23.3</v>
      </c>
      <c r="AC1019" s="14">
        <f>IFERROR(__xludf.DUMMYFUNCTION("""COMPUTED_VALUE"""),20.4)</f>
        <v>20.4</v>
      </c>
      <c r="AD1019" s="48">
        <f>IFERROR(__xludf.DUMMYFUNCTION("""COMPUTED_VALUE"""),613.0)</f>
        <v>613</v>
      </c>
      <c r="AE1019" s="48">
        <f>IFERROR(__xludf.DUMMYFUNCTION("""COMPUTED_VALUE"""),612.0)</f>
        <v>612</v>
      </c>
      <c r="AF1019" s="48">
        <f>IFERROR(__xludf.DUMMYFUNCTION("""COMPUTED_VALUE"""),601.0)</f>
        <v>601</v>
      </c>
      <c r="AG1019" s="48">
        <f>IFERROR(__xludf.DUMMYFUNCTION("""COMPUTED_VALUE"""),582.0)</f>
        <v>582</v>
      </c>
      <c r="AH1019" s="48">
        <f>IFERROR(__xludf.DUMMYFUNCTION("""COMPUTED_VALUE"""),573.0)</f>
        <v>573</v>
      </c>
      <c r="AI1019" s="14">
        <f>IFERROR(__xludf.DUMMYFUNCTION("""COMPUTED_VALUE"""),596.2)</f>
        <v>596.2</v>
      </c>
      <c r="AJ1019" s="14">
        <f>IFERROR(__xludf.DUMMYFUNCTION("""COMPUTED_VALUE"""),4.8)</f>
        <v>4.8</v>
      </c>
      <c r="AK1019" s="14">
        <f>IFERROR(__xludf.DUMMYFUNCTION("""COMPUTED_VALUE"""),5.3)</f>
        <v>5.3</v>
      </c>
      <c r="AL1019" s="14">
        <f>IFERROR(__xludf.DUMMYFUNCTION("""COMPUTED_VALUE"""),5.9)</f>
        <v>5.9</v>
      </c>
      <c r="AM1019" s="14">
        <f>IFERROR(__xludf.DUMMYFUNCTION("""COMPUTED_VALUE"""),7.4)</f>
        <v>7.4</v>
      </c>
      <c r="AN1019" s="14">
        <f>IFERROR(__xludf.DUMMYFUNCTION("""COMPUTED_VALUE"""),7.4)</f>
        <v>7.4</v>
      </c>
      <c r="AO1019" s="14">
        <f>IFERROR(__xludf.DUMMYFUNCTION("""COMPUTED_VALUE"""),6.159999999999999)</f>
        <v>6.16</v>
      </c>
      <c r="AP1019" s="14">
        <f>IFERROR(__xludf.DUMMYFUNCTION("""COMPUTED_VALUE"""),72.0)</f>
        <v>72</v>
      </c>
      <c r="AQ1019" s="14">
        <f>IFERROR(__xludf.DUMMYFUNCTION("""COMPUTED_VALUE"""),156.0)</f>
        <v>156</v>
      </c>
      <c r="AR1019" s="14">
        <f>IFERROR(__xludf.DUMMYFUNCTION("""COMPUTED_VALUE"""),54.0)</f>
        <v>54</v>
      </c>
      <c r="AS1019" s="14">
        <f>IFERROR(__xludf.DUMMYFUNCTION("""COMPUTED_VALUE"""),12.0)</f>
        <v>12</v>
      </c>
      <c r="AT1019" s="14">
        <f>IFERROR(__xludf.DUMMYFUNCTION("""COMPUTED_VALUE"""),2.5)</f>
        <v>2.5</v>
      </c>
      <c r="AU1019" s="14">
        <f>IFERROR(__xludf.DUMMYFUNCTION("""COMPUTED_VALUE"""),1.092E7)</f>
        <v>10920000</v>
      </c>
      <c r="AV1019" s="14">
        <f>IFERROR(__xludf.DUMMYFUNCTION("""COMPUTED_VALUE"""),2.93)</f>
        <v>2.93</v>
      </c>
      <c r="AW1019" s="14">
        <f>IFERROR(__xludf.DUMMYFUNCTION("""COMPUTED_VALUE"""),26.0)</f>
        <v>26</v>
      </c>
      <c r="AX1019" s="14">
        <f>IFERROR(__xludf.DUMMYFUNCTION("""COMPUTED_VALUE"""),7000000.0)</f>
        <v>7000000</v>
      </c>
      <c r="AY1019" s="14">
        <f>IFERROR(__xludf.DUMMYFUNCTION("""COMPUTED_VALUE"""),0.2)</f>
        <v>0.2</v>
      </c>
      <c r="AZ1019" s="14">
        <f>IFERROR(__xludf.DUMMYFUNCTION("""COMPUTED_VALUE"""),0.007)</f>
        <v>0.007</v>
      </c>
      <c r="BA1019" s="14">
        <f t="shared" si="1"/>
        <v>26.207</v>
      </c>
    </row>
    <row r="1020" ht="14.25" customHeight="1">
      <c r="A1020" s="10" t="str">
        <f>IFERROR(__xludf.DUMMYFUNCTION("""COMPUTED_VALUE"""),"190224FM01")</f>
        <v>190224FM01</v>
      </c>
      <c r="B1020" s="12" t="str">
        <f>IFERROR(__xludf.DUMMYFUNCTION("""COMPUTED_VALUE"""),"QTR-Mochuelo Bajo")</f>
        <v>QTR-Mochuelo Bajo</v>
      </c>
      <c r="C1020" s="12"/>
      <c r="D1020" s="12"/>
      <c r="E1020" s="44">
        <f>IFERROR(__xludf.DUMMYFUNCTION("""COMPUTED_VALUE"""),45341.0)</f>
        <v>45341</v>
      </c>
      <c r="F1020" s="12" t="str">
        <f>IFERROR(__xludf.DUMMYFUNCTION("""COMPUTED_VALUE"""),"TIPO I")</f>
        <v>TIPO I</v>
      </c>
      <c r="G1020" s="12" t="str">
        <f>IFERROR(__xludf.DUMMYFUNCTION("""COMPUTED_VALUE"""),"Monitoreo realizado en canal natural , lecho rocoso y arenoso. Cobertura vegetal arbórea con presencia de pastizales. 
Durante las toma de muestra se percibe olor y se observa color.")</f>
        <v>Monitoreo realizado en canal natural , lecho rocoso y arenoso. Cobertura vegetal arbórea con presencia de pastizales. 
Durante las toma de muestra se percibe olor y se observa color.</v>
      </c>
      <c r="H1020" s="45">
        <f>IFERROR(__xludf.DUMMYFUNCTION("""COMPUTED_VALUE"""),0.3333333333321207)</f>
        <v>0.3333333333</v>
      </c>
      <c r="I1020" s="45">
        <f>IFERROR(__xludf.DUMMYFUNCTION("""COMPUTED_VALUE"""),0.4166666666678793)</f>
        <v>0.4166666667</v>
      </c>
      <c r="J1020" s="12"/>
      <c r="K1020" s="12"/>
      <c r="L1020" s="14">
        <f>IFERROR(__xludf.DUMMYFUNCTION("""COMPUTED_VALUE"""),34.706)</f>
        <v>34.706</v>
      </c>
      <c r="M1020" s="14">
        <f>IFERROR(__xludf.DUMMYFUNCTION("""COMPUTED_VALUE"""),34.939)</f>
        <v>34.939</v>
      </c>
      <c r="N1020" s="14">
        <f>IFERROR(__xludf.DUMMYFUNCTION("""COMPUTED_VALUE"""),35.036)</f>
        <v>35.036</v>
      </c>
      <c r="O1020" s="14">
        <f>IFERROR(__xludf.DUMMYFUNCTION("""COMPUTED_VALUE"""),35.335)</f>
        <v>35.335</v>
      </c>
      <c r="P1020" s="14">
        <f>IFERROR(__xludf.DUMMYFUNCTION("""COMPUTED_VALUE"""),35.262)</f>
        <v>35.262</v>
      </c>
      <c r="Q1020" s="14">
        <f>IFERROR(__xludf.DUMMYFUNCTION("""COMPUTED_VALUE"""),35.055)</f>
        <v>35.055</v>
      </c>
      <c r="R1020" s="48">
        <f>IFERROR(__xludf.DUMMYFUNCTION("""COMPUTED_VALUE"""),7.46)</f>
        <v>7.46</v>
      </c>
      <c r="S1020" s="48">
        <f>IFERROR(__xludf.DUMMYFUNCTION("""COMPUTED_VALUE"""),7.33)</f>
        <v>7.33</v>
      </c>
      <c r="T1020" s="48">
        <f>IFERROR(__xludf.DUMMYFUNCTION("""COMPUTED_VALUE"""),7.27)</f>
        <v>7.27</v>
      </c>
      <c r="U1020" s="48">
        <f>IFERROR(__xludf.DUMMYFUNCTION("""COMPUTED_VALUE"""),7.28)</f>
        <v>7.28</v>
      </c>
      <c r="V1020" s="48">
        <f>IFERROR(__xludf.DUMMYFUNCTION("""COMPUTED_VALUE"""),7.24)</f>
        <v>7.24</v>
      </c>
      <c r="W1020" s="14">
        <f>IFERROR(__xludf.DUMMYFUNCTION("""COMPUTED_VALUE"""),7.316)</f>
        <v>7.316</v>
      </c>
      <c r="X1020" s="14">
        <f>IFERROR(__xludf.DUMMYFUNCTION("""COMPUTED_VALUE"""),15.1)</f>
        <v>15.1</v>
      </c>
      <c r="Y1020" s="14">
        <f>IFERROR(__xludf.DUMMYFUNCTION("""COMPUTED_VALUE"""),15.4)</f>
        <v>15.4</v>
      </c>
      <c r="Z1020" s="14">
        <f>IFERROR(__xludf.DUMMYFUNCTION("""COMPUTED_VALUE"""),15.9)</f>
        <v>15.9</v>
      </c>
      <c r="AA1020" s="14">
        <f>IFERROR(__xludf.DUMMYFUNCTION("""COMPUTED_VALUE"""),16.6)</f>
        <v>16.6</v>
      </c>
      <c r="AB1020" s="14">
        <f>IFERROR(__xludf.DUMMYFUNCTION("""COMPUTED_VALUE"""),17.0)</f>
        <v>17</v>
      </c>
      <c r="AC1020" s="14">
        <f>IFERROR(__xludf.DUMMYFUNCTION("""COMPUTED_VALUE"""),16.0)</f>
        <v>16</v>
      </c>
      <c r="AD1020" s="48">
        <f>IFERROR(__xludf.DUMMYFUNCTION("""COMPUTED_VALUE"""),576.0)</f>
        <v>576</v>
      </c>
      <c r="AE1020" s="48">
        <f>IFERROR(__xludf.DUMMYFUNCTION("""COMPUTED_VALUE"""),559.0)</f>
        <v>559</v>
      </c>
      <c r="AF1020" s="48">
        <f>IFERROR(__xludf.DUMMYFUNCTION("""COMPUTED_VALUE"""),581.0)</f>
        <v>581</v>
      </c>
      <c r="AG1020" s="48">
        <f>IFERROR(__xludf.DUMMYFUNCTION("""COMPUTED_VALUE"""),569.0)</f>
        <v>569</v>
      </c>
      <c r="AH1020" s="48">
        <f>IFERROR(__xludf.DUMMYFUNCTION("""COMPUTED_VALUE"""),604.0)</f>
        <v>604</v>
      </c>
      <c r="AI1020" s="14">
        <f>IFERROR(__xludf.DUMMYFUNCTION("""COMPUTED_VALUE"""),577.8)</f>
        <v>577.8</v>
      </c>
      <c r="AJ1020" s="14">
        <f>IFERROR(__xludf.DUMMYFUNCTION("""COMPUTED_VALUE"""),3.9)</f>
        <v>3.9</v>
      </c>
      <c r="AK1020" s="14">
        <f>IFERROR(__xludf.DUMMYFUNCTION("""COMPUTED_VALUE"""),3.6)</f>
        <v>3.6</v>
      </c>
      <c r="AL1020" s="14">
        <f>IFERROR(__xludf.DUMMYFUNCTION("""COMPUTED_VALUE"""),3.3)</f>
        <v>3.3</v>
      </c>
      <c r="AM1020" s="14">
        <f>IFERROR(__xludf.DUMMYFUNCTION("""COMPUTED_VALUE"""),3.2)</f>
        <v>3.2</v>
      </c>
      <c r="AN1020" s="14">
        <f>IFERROR(__xludf.DUMMYFUNCTION("""COMPUTED_VALUE"""),3.3)</f>
        <v>3.3</v>
      </c>
      <c r="AO1020" s="14">
        <f>IFERROR(__xludf.DUMMYFUNCTION("""COMPUTED_VALUE"""),3.46)</f>
        <v>3.46</v>
      </c>
      <c r="AP1020" s="14">
        <f>IFERROR(__xludf.DUMMYFUNCTION("""COMPUTED_VALUE"""),48.0)</f>
        <v>48</v>
      </c>
      <c r="AQ1020" s="14">
        <f>IFERROR(__xludf.DUMMYFUNCTION("""COMPUTED_VALUE"""),100.0)</f>
        <v>100</v>
      </c>
      <c r="AR1020" s="14">
        <f>IFERROR(__xludf.DUMMYFUNCTION("""COMPUTED_VALUE"""),70.0)</f>
        <v>70</v>
      </c>
      <c r="AS1020" s="14">
        <f>IFERROR(__xludf.DUMMYFUNCTION("""COMPUTED_VALUE"""),13.0)</f>
        <v>13</v>
      </c>
      <c r="AT1020" s="14">
        <f>IFERROR(__xludf.DUMMYFUNCTION("""COMPUTED_VALUE"""),1.38)</f>
        <v>1.38</v>
      </c>
      <c r="AU1020" s="14">
        <f>IFERROR(__xludf.DUMMYFUNCTION("""COMPUTED_VALUE"""),1.597E8)</f>
        <v>159700000</v>
      </c>
      <c r="AV1020" s="14">
        <f>IFERROR(__xludf.DUMMYFUNCTION("""COMPUTED_VALUE"""),3.87)</f>
        <v>3.87</v>
      </c>
      <c r="AW1020" s="14">
        <f>IFERROR(__xludf.DUMMYFUNCTION("""COMPUTED_VALUE"""),15.7)</f>
        <v>15.7</v>
      </c>
      <c r="AX1020" s="14">
        <f>IFERROR(__xludf.DUMMYFUNCTION("""COMPUTED_VALUE"""),1.21E8)</f>
        <v>121000000</v>
      </c>
      <c r="AY1020" s="14">
        <f>IFERROR(__xludf.DUMMYFUNCTION("""COMPUTED_VALUE"""),0.2)</f>
        <v>0.2</v>
      </c>
      <c r="AZ1020" s="14">
        <f>IFERROR(__xludf.DUMMYFUNCTION("""COMPUTED_VALUE"""),0.007)</f>
        <v>0.007</v>
      </c>
      <c r="BA1020" s="14">
        <f t="shared" si="1"/>
        <v>15.907</v>
      </c>
    </row>
    <row r="1021" ht="14.25" customHeight="1">
      <c r="A1021" s="10" t="str">
        <f>IFERROR(__xludf.DUMMYFUNCTION("""COMPUTED_VALUE"""),"210224DA02")</f>
        <v>210224DA02</v>
      </c>
      <c r="B1021" s="12" t="str">
        <f>IFERROR(__xludf.DUMMYFUNCTION("""COMPUTED_VALUE"""),"CMO-Alhambra")</f>
        <v>CMO-Alhambra</v>
      </c>
      <c r="C1021" s="12"/>
      <c r="D1021" s="12"/>
      <c r="E1021" s="44">
        <f>IFERROR(__xludf.DUMMYFUNCTION("""COMPUTED_VALUE"""),45343.0)</f>
        <v>45343</v>
      </c>
      <c r="F1021" s="12" t="str">
        <f>IFERROR(__xludf.DUMMYFUNCTION("""COMPUTED_VALUE"""),"TIPO I")</f>
        <v>TIPO I</v>
      </c>
      <c r="G1021" s="12" t="str">
        <f>IFERROR(__xludf.DUMMYFUNCTION("""COMPUTED_VALUE"""),"Monitoreo realizado en canal artificial, con estructura en concreto con sedimentos, cobertura vegetal arbórea con presencia de pastizales.  
En el canal se observa residuos de lodos en las orillas, se observa color y se percibe olor. ")</f>
        <v>Monitoreo realizado en canal artificial, con estructura en concreto con sedimentos, cobertura vegetal arbórea con presencia de pastizales.  
En el canal se observa residuos de lodos en las orillas, se observa color y se percibe olor. </v>
      </c>
      <c r="H1021" s="45">
        <f>IFERROR(__xludf.DUMMYFUNCTION("""COMPUTED_VALUE"""),0.5)</f>
        <v>0.5</v>
      </c>
      <c r="I1021" s="45">
        <f>IFERROR(__xludf.DUMMYFUNCTION("""COMPUTED_VALUE"""),0.5833333333321207)</f>
        <v>0.5833333333</v>
      </c>
      <c r="J1021" s="12">
        <f>IFERROR(__xludf.DUMMYFUNCTION("""COMPUTED_VALUE"""),5.8)</f>
        <v>5.8</v>
      </c>
      <c r="K1021" s="12">
        <f>IFERROR(__xludf.DUMMYFUNCTION("""COMPUTED_VALUE"""),0.17)</f>
        <v>0.17</v>
      </c>
      <c r="L1021" s="14">
        <f>IFERROR(__xludf.DUMMYFUNCTION("""COMPUTED_VALUE"""),294.661)</f>
        <v>294.661</v>
      </c>
      <c r="M1021" s="14">
        <f>IFERROR(__xludf.DUMMYFUNCTION("""COMPUTED_VALUE"""),295.524)</f>
        <v>295.524</v>
      </c>
      <c r="N1021" s="14">
        <f>IFERROR(__xludf.DUMMYFUNCTION("""COMPUTED_VALUE"""),295.155)</f>
        <v>295.155</v>
      </c>
      <c r="O1021" s="14">
        <f>IFERROR(__xludf.DUMMYFUNCTION("""COMPUTED_VALUE"""),296.146)</f>
        <v>296.146</v>
      </c>
      <c r="P1021" s="14">
        <f>IFERROR(__xludf.DUMMYFUNCTION("""COMPUTED_VALUE"""),295.988)</f>
        <v>295.988</v>
      </c>
      <c r="Q1021" s="14">
        <f>IFERROR(__xludf.DUMMYFUNCTION("""COMPUTED_VALUE"""),295.495)</f>
        <v>295.495</v>
      </c>
      <c r="R1021" s="48">
        <f>IFERROR(__xludf.DUMMYFUNCTION("""COMPUTED_VALUE"""),7.03)</f>
        <v>7.03</v>
      </c>
      <c r="S1021" s="48">
        <f>IFERROR(__xludf.DUMMYFUNCTION("""COMPUTED_VALUE"""),7.0)</f>
        <v>7</v>
      </c>
      <c r="T1021" s="48">
        <f>IFERROR(__xludf.DUMMYFUNCTION("""COMPUTED_VALUE"""),7.04)</f>
        <v>7.04</v>
      </c>
      <c r="U1021" s="48">
        <f>IFERROR(__xludf.DUMMYFUNCTION("""COMPUTED_VALUE"""),7.01)</f>
        <v>7.01</v>
      </c>
      <c r="V1021" s="48">
        <f>IFERROR(__xludf.DUMMYFUNCTION("""COMPUTED_VALUE"""),7.01)</f>
        <v>7.01</v>
      </c>
      <c r="W1021" s="14">
        <f>IFERROR(__xludf.DUMMYFUNCTION("""COMPUTED_VALUE"""),7.017999999999999)</f>
        <v>7.018</v>
      </c>
      <c r="X1021" s="14">
        <f>IFERROR(__xludf.DUMMYFUNCTION("""COMPUTED_VALUE"""),24.5)</f>
        <v>24.5</v>
      </c>
      <c r="Y1021" s="14">
        <f>IFERROR(__xludf.DUMMYFUNCTION("""COMPUTED_VALUE"""),24.2)</f>
        <v>24.2</v>
      </c>
      <c r="Z1021" s="14">
        <f>IFERROR(__xludf.DUMMYFUNCTION("""COMPUTED_VALUE"""),25.3)</f>
        <v>25.3</v>
      </c>
      <c r="AA1021" s="14">
        <f>IFERROR(__xludf.DUMMYFUNCTION("""COMPUTED_VALUE"""),25.6)</f>
        <v>25.6</v>
      </c>
      <c r="AB1021" s="14">
        <f>IFERROR(__xludf.DUMMYFUNCTION("""COMPUTED_VALUE"""),25.6)</f>
        <v>25.6</v>
      </c>
      <c r="AC1021" s="14">
        <f>IFERROR(__xludf.DUMMYFUNCTION("""COMPUTED_VALUE"""),25.04)</f>
        <v>25.04</v>
      </c>
      <c r="AD1021" s="48">
        <f>IFERROR(__xludf.DUMMYFUNCTION("""COMPUTED_VALUE"""),483.0)</f>
        <v>483</v>
      </c>
      <c r="AE1021" s="48">
        <f>IFERROR(__xludf.DUMMYFUNCTION("""COMPUTED_VALUE"""),475.0)</f>
        <v>475</v>
      </c>
      <c r="AF1021" s="48">
        <f>IFERROR(__xludf.DUMMYFUNCTION("""COMPUTED_VALUE"""),484.0)</f>
        <v>484</v>
      </c>
      <c r="AG1021" s="48">
        <f>IFERROR(__xludf.DUMMYFUNCTION("""COMPUTED_VALUE"""),471.0)</f>
        <v>471</v>
      </c>
      <c r="AH1021" s="48">
        <f>IFERROR(__xludf.DUMMYFUNCTION("""COMPUTED_VALUE"""),474.0)</f>
        <v>474</v>
      </c>
      <c r="AI1021" s="14">
        <f>IFERROR(__xludf.DUMMYFUNCTION("""COMPUTED_VALUE"""),477.4)</f>
        <v>477.4</v>
      </c>
      <c r="AJ1021" s="14">
        <f>IFERROR(__xludf.DUMMYFUNCTION("""COMPUTED_VALUE"""),0.9)</f>
        <v>0.9</v>
      </c>
      <c r="AK1021" s="14">
        <f>IFERROR(__xludf.DUMMYFUNCTION("""COMPUTED_VALUE"""),1.4)</f>
        <v>1.4</v>
      </c>
      <c r="AL1021" s="14">
        <f>IFERROR(__xludf.DUMMYFUNCTION("""COMPUTED_VALUE"""),0.7)</f>
        <v>0.7</v>
      </c>
      <c r="AM1021" s="14">
        <f>IFERROR(__xludf.DUMMYFUNCTION("""COMPUTED_VALUE"""),0.9)</f>
        <v>0.9</v>
      </c>
      <c r="AN1021" s="14">
        <f>IFERROR(__xludf.DUMMYFUNCTION("""COMPUTED_VALUE"""),0.8)</f>
        <v>0.8</v>
      </c>
      <c r="AO1021" s="14">
        <f>IFERROR(__xludf.DUMMYFUNCTION("""COMPUTED_VALUE"""),0.9400000000000001)</f>
        <v>0.94</v>
      </c>
      <c r="AP1021" s="14">
        <f>IFERROR(__xludf.DUMMYFUNCTION("""COMPUTED_VALUE"""),112.0)</f>
        <v>112</v>
      </c>
      <c r="AQ1021" s="14">
        <f>IFERROR(__xludf.DUMMYFUNCTION("""COMPUTED_VALUE"""),184.0)</f>
        <v>184</v>
      </c>
      <c r="AR1021" s="14">
        <f>IFERROR(__xludf.DUMMYFUNCTION("""COMPUTED_VALUE"""),29.0)</f>
        <v>29</v>
      </c>
      <c r="AS1021" s="14">
        <f>IFERROR(__xludf.DUMMYFUNCTION("""COMPUTED_VALUE"""),27.0)</f>
        <v>27</v>
      </c>
      <c r="AT1021" s="14">
        <f>IFERROR(__xludf.DUMMYFUNCTION("""COMPUTED_VALUE"""),3.05)</f>
        <v>3.05</v>
      </c>
      <c r="AU1021" s="14">
        <f>IFERROR(__xludf.DUMMYFUNCTION("""COMPUTED_VALUE"""),9330000.0)</f>
        <v>9330000</v>
      </c>
      <c r="AV1021" s="14">
        <f>IFERROR(__xludf.DUMMYFUNCTION("""COMPUTED_VALUE"""),2.36)</f>
        <v>2.36</v>
      </c>
      <c r="AW1021" s="14">
        <f>IFERROR(__xludf.DUMMYFUNCTION("""COMPUTED_VALUE"""),24.4)</f>
        <v>24.4</v>
      </c>
      <c r="AX1021" s="14">
        <f>IFERROR(__xludf.DUMMYFUNCTION("""COMPUTED_VALUE"""),5120000.0)</f>
        <v>5120000</v>
      </c>
      <c r="AY1021" s="14">
        <f>IFERROR(__xludf.DUMMYFUNCTION("""COMPUTED_VALUE"""),0.2)</f>
        <v>0.2</v>
      </c>
      <c r="AZ1021" s="14">
        <f>IFERROR(__xludf.DUMMYFUNCTION("""COMPUTED_VALUE"""),0.007)</f>
        <v>0.007</v>
      </c>
      <c r="BA1021" s="14">
        <f t="shared" si="1"/>
        <v>24.607</v>
      </c>
    </row>
    <row r="1022" ht="14.25" customHeight="1">
      <c r="A1022" s="10" t="str">
        <f>IFERROR(__xludf.DUMMYFUNCTION("""COMPUTED_VALUE"""),"220224FE01")</f>
        <v>220224FE01</v>
      </c>
      <c r="B1022" s="12" t="str">
        <f>IFERROR(__xludf.DUMMYFUNCTION("""COMPUTED_VALUE"""),"CRN-Quebrada Chicó")</f>
        <v>CRN-Quebrada Chicó</v>
      </c>
      <c r="C1022" s="12"/>
      <c r="D1022" s="12"/>
      <c r="E1022" s="44">
        <f>IFERROR(__xludf.DUMMYFUNCTION("""COMPUTED_VALUE"""),45344.0)</f>
        <v>45344</v>
      </c>
      <c r="F1022" s="12" t="str">
        <f>IFERROR(__xludf.DUMMYFUNCTION("""COMPUTED_VALUE"""),"TIPO I")</f>
        <v>TIPO I</v>
      </c>
      <c r="G1022" s="12" t="str">
        <f>IFERROR(__xludf.DUMMYFUNCTION("""COMPUTED_VALUE"""),"Monitoreo realizado en lecho artificial, tubería en concreto con cobertura vegetal arbórea.
Durante la toma de muestra no se percibe olor, no se observa color. ")</f>
        <v>Monitoreo realizado en lecho artificial, tubería en concreto con cobertura vegetal arbórea.
Durante la toma de muestra no se percibe olor, no se observa color. </v>
      </c>
      <c r="H1022" s="45">
        <f>IFERROR(__xludf.DUMMYFUNCTION("""COMPUTED_VALUE"""),0.25)</f>
        <v>0.25</v>
      </c>
      <c r="I1022" s="45">
        <f>IFERROR(__xludf.DUMMYFUNCTION("""COMPUTED_VALUE"""),0.3333333333321207)</f>
        <v>0.3333333333</v>
      </c>
      <c r="J1022" s="12"/>
      <c r="K1022" s="12"/>
      <c r="L1022" s="14">
        <f>IFERROR(__xludf.DUMMYFUNCTION("""COMPUTED_VALUE"""),1.712)</f>
        <v>1.712</v>
      </c>
      <c r="M1022" s="14">
        <f>IFERROR(__xludf.DUMMYFUNCTION("""COMPUTED_VALUE"""),1.705)</f>
        <v>1.705</v>
      </c>
      <c r="N1022" s="14">
        <f>IFERROR(__xludf.DUMMYFUNCTION("""COMPUTED_VALUE"""),1.958)</f>
        <v>1.958</v>
      </c>
      <c r="O1022" s="14">
        <f>IFERROR(__xludf.DUMMYFUNCTION("""COMPUTED_VALUE"""),1.728)</f>
        <v>1.728</v>
      </c>
      <c r="P1022" s="14">
        <f>IFERROR(__xludf.DUMMYFUNCTION("""COMPUTED_VALUE"""),1.724)</f>
        <v>1.724</v>
      </c>
      <c r="Q1022" s="14">
        <f>IFERROR(__xludf.DUMMYFUNCTION("""COMPUTED_VALUE"""),1.765)</f>
        <v>1.765</v>
      </c>
      <c r="R1022" s="48">
        <f>IFERROR(__xludf.DUMMYFUNCTION("""COMPUTED_VALUE"""),6.47)</f>
        <v>6.47</v>
      </c>
      <c r="S1022" s="48">
        <f>IFERROR(__xludf.DUMMYFUNCTION("""COMPUTED_VALUE"""),6.38)</f>
        <v>6.38</v>
      </c>
      <c r="T1022" s="48">
        <f>IFERROR(__xludf.DUMMYFUNCTION("""COMPUTED_VALUE"""),6.33)</f>
        <v>6.33</v>
      </c>
      <c r="U1022" s="48">
        <f>IFERROR(__xludf.DUMMYFUNCTION("""COMPUTED_VALUE"""),6.3)</f>
        <v>6.3</v>
      </c>
      <c r="V1022" s="48">
        <f>IFERROR(__xludf.DUMMYFUNCTION("""COMPUTED_VALUE"""),6.21)</f>
        <v>6.21</v>
      </c>
      <c r="W1022" s="14">
        <f>IFERROR(__xludf.DUMMYFUNCTION("""COMPUTED_VALUE"""),6.338)</f>
        <v>6.338</v>
      </c>
      <c r="X1022" s="14">
        <f>IFERROR(__xludf.DUMMYFUNCTION("""COMPUTED_VALUE"""),15.6)</f>
        <v>15.6</v>
      </c>
      <c r="Y1022" s="14">
        <f>IFERROR(__xludf.DUMMYFUNCTION("""COMPUTED_VALUE"""),15.5)</f>
        <v>15.5</v>
      </c>
      <c r="Z1022" s="14">
        <f>IFERROR(__xludf.DUMMYFUNCTION("""COMPUTED_VALUE"""),15.6)</f>
        <v>15.6</v>
      </c>
      <c r="AA1022" s="14">
        <f>IFERROR(__xludf.DUMMYFUNCTION("""COMPUTED_VALUE"""),15.6)</f>
        <v>15.6</v>
      </c>
      <c r="AB1022" s="14">
        <f>IFERROR(__xludf.DUMMYFUNCTION("""COMPUTED_VALUE"""),15.7)</f>
        <v>15.7</v>
      </c>
      <c r="AC1022" s="14">
        <f>IFERROR(__xludf.DUMMYFUNCTION("""COMPUTED_VALUE"""),15.6)</f>
        <v>15.6</v>
      </c>
      <c r="AD1022" s="48">
        <f>IFERROR(__xludf.DUMMYFUNCTION("""COMPUTED_VALUE"""),73.9)</f>
        <v>73.9</v>
      </c>
      <c r="AE1022" s="48">
        <f>IFERROR(__xludf.DUMMYFUNCTION("""COMPUTED_VALUE"""),63.7)</f>
        <v>63.7</v>
      </c>
      <c r="AF1022" s="48">
        <f>IFERROR(__xludf.DUMMYFUNCTION("""COMPUTED_VALUE"""),68.4)</f>
        <v>68.4</v>
      </c>
      <c r="AG1022" s="48">
        <f>IFERROR(__xludf.DUMMYFUNCTION("""COMPUTED_VALUE"""),70.7)</f>
        <v>70.7</v>
      </c>
      <c r="AH1022" s="48">
        <f>IFERROR(__xludf.DUMMYFUNCTION("""COMPUTED_VALUE"""),69.9)</f>
        <v>69.9</v>
      </c>
      <c r="AI1022" s="14">
        <f>IFERROR(__xludf.DUMMYFUNCTION("""COMPUTED_VALUE"""),69.32000000000001)</f>
        <v>69.32</v>
      </c>
      <c r="AJ1022" s="14">
        <f>IFERROR(__xludf.DUMMYFUNCTION("""COMPUTED_VALUE"""),5.3)</f>
        <v>5.3</v>
      </c>
      <c r="AK1022" s="14">
        <f>IFERROR(__xludf.DUMMYFUNCTION("""COMPUTED_VALUE"""),5.7)</f>
        <v>5.7</v>
      </c>
      <c r="AL1022" s="14">
        <f>IFERROR(__xludf.DUMMYFUNCTION("""COMPUTED_VALUE"""),5.3)</f>
        <v>5.3</v>
      </c>
      <c r="AM1022" s="14">
        <f>IFERROR(__xludf.DUMMYFUNCTION("""COMPUTED_VALUE"""),5.1)</f>
        <v>5.1</v>
      </c>
      <c r="AN1022" s="14">
        <f>IFERROR(__xludf.DUMMYFUNCTION("""COMPUTED_VALUE"""),4.9)</f>
        <v>4.9</v>
      </c>
      <c r="AO1022" s="14">
        <f>IFERROR(__xludf.DUMMYFUNCTION("""COMPUTED_VALUE"""),5.26)</f>
        <v>5.26</v>
      </c>
      <c r="AP1022" s="14">
        <f>IFERROR(__xludf.DUMMYFUNCTION("""COMPUTED_VALUE"""),2.0)</f>
        <v>2</v>
      </c>
      <c r="AQ1022" s="14">
        <f>IFERROR(__xludf.DUMMYFUNCTION("""COMPUTED_VALUE"""),5.0)</f>
        <v>5</v>
      </c>
      <c r="AR1022" s="14">
        <f>IFERROR(__xludf.DUMMYFUNCTION("""COMPUTED_VALUE"""),10.0)</f>
        <v>10</v>
      </c>
      <c r="AS1022" s="14">
        <f>IFERROR(__xludf.DUMMYFUNCTION("""COMPUTED_VALUE"""),1.0)</f>
        <v>1</v>
      </c>
      <c r="AT1022" s="14">
        <f>IFERROR(__xludf.DUMMYFUNCTION("""COMPUTED_VALUE"""),0.07)</f>
        <v>0.07</v>
      </c>
      <c r="AU1022" s="14">
        <f>IFERROR(__xludf.DUMMYFUNCTION("""COMPUTED_VALUE"""),1.523E8)</f>
        <v>152300000</v>
      </c>
      <c r="AV1022" s="14">
        <f>IFERROR(__xludf.DUMMYFUNCTION("""COMPUTED_VALUE"""),0.47)</f>
        <v>0.47</v>
      </c>
      <c r="AW1022" s="14">
        <f>IFERROR(__xludf.DUMMYFUNCTION("""COMPUTED_VALUE"""),2.7)</f>
        <v>2.7</v>
      </c>
      <c r="AX1022" s="14">
        <f>IFERROR(__xludf.DUMMYFUNCTION("""COMPUTED_VALUE"""),1.396E8)</f>
        <v>139600000</v>
      </c>
      <c r="AY1022" s="14">
        <f>IFERROR(__xludf.DUMMYFUNCTION("""COMPUTED_VALUE"""),1.0)</f>
        <v>1</v>
      </c>
      <c r="AZ1022" s="14">
        <f>IFERROR(__xludf.DUMMYFUNCTION("""COMPUTED_VALUE"""),0.099)</f>
        <v>0.099</v>
      </c>
      <c r="BA1022" s="14">
        <f t="shared" si="1"/>
        <v>3.799</v>
      </c>
    </row>
    <row r="1023" ht="14.25" customHeight="1">
      <c r="A1023" s="10" t="str">
        <f>IFERROR(__xludf.DUMMYFUNCTION("""COMPUTED_VALUE"""),"220224FE02")</f>
        <v>220224FE02</v>
      </c>
      <c r="B1023" s="12" t="str">
        <f>IFERROR(__xludf.DUMMYFUNCTION("""COMPUTED_VALUE"""),"CRN-La Castellana")</f>
        <v>CRN-La Castellana</v>
      </c>
      <c r="C1023" s="12"/>
      <c r="D1023" s="12"/>
      <c r="E1023" s="44">
        <f>IFERROR(__xludf.DUMMYFUNCTION("""COMPUTED_VALUE"""),45344.0)</f>
        <v>45344</v>
      </c>
      <c r="F1023" s="12" t="str">
        <f>IFERROR(__xludf.DUMMYFUNCTION("""COMPUTED_VALUE"""),"TIPO I")</f>
        <v>TIPO I</v>
      </c>
      <c r="G1023" s="12" t="str">
        <f>IFERROR(__xludf.DUMMYFUNCTION("""COMPUTED_VALUE"""),"Monitoreo realizado en canal en concreto con lecho artificial, presencia de pastizales.
Durante la toma de muestra se percibe olor y se observa color.")</f>
        <v>Monitoreo realizado en canal en concreto con lecho artificial, presencia de pastizales.
Durante la toma de muestra se percibe olor y se observa color.</v>
      </c>
      <c r="H1023" s="45">
        <f>IFERROR(__xludf.DUMMYFUNCTION("""COMPUTED_VALUE"""),0.4166666666678793)</f>
        <v>0.4166666667</v>
      </c>
      <c r="I1023" s="45">
        <f>IFERROR(__xludf.DUMMYFUNCTION("""COMPUTED_VALUE"""),0.5)</f>
        <v>0.5</v>
      </c>
      <c r="J1023" s="12">
        <f>IFERROR(__xludf.DUMMYFUNCTION("""COMPUTED_VALUE"""),5.7)</f>
        <v>5.7</v>
      </c>
      <c r="K1023" s="12">
        <f>IFERROR(__xludf.DUMMYFUNCTION("""COMPUTED_VALUE"""),0.18)</f>
        <v>0.18</v>
      </c>
      <c r="L1023" s="14">
        <f>IFERROR(__xludf.DUMMYFUNCTION("""COMPUTED_VALUE"""),277.647)</f>
        <v>277.647</v>
      </c>
      <c r="M1023" s="14">
        <f>IFERROR(__xludf.DUMMYFUNCTION("""COMPUTED_VALUE"""),278.149)</f>
        <v>278.149</v>
      </c>
      <c r="N1023" s="14">
        <f>IFERROR(__xludf.DUMMYFUNCTION("""COMPUTED_VALUE"""),278.961)</f>
        <v>278.961</v>
      </c>
      <c r="O1023" s="14">
        <f>IFERROR(__xludf.DUMMYFUNCTION("""COMPUTED_VALUE"""),277.805)</f>
        <v>277.805</v>
      </c>
      <c r="P1023" s="14">
        <f>IFERROR(__xludf.DUMMYFUNCTION("""COMPUTED_VALUE"""),278.013)</f>
        <v>278.013</v>
      </c>
      <c r="Q1023" s="14">
        <f>IFERROR(__xludf.DUMMYFUNCTION("""COMPUTED_VALUE"""),278.115)</f>
        <v>278.115</v>
      </c>
      <c r="R1023" s="48">
        <f>IFERROR(__xludf.DUMMYFUNCTION("""COMPUTED_VALUE"""),7.32)</f>
        <v>7.32</v>
      </c>
      <c r="S1023" s="48">
        <f>IFERROR(__xludf.DUMMYFUNCTION("""COMPUTED_VALUE"""),7.4)</f>
        <v>7.4</v>
      </c>
      <c r="T1023" s="48">
        <f>IFERROR(__xludf.DUMMYFUNCTION("""COMPUTED_VALUE"""),7.37)</f>
        <v>7.37</v>
      </c>
      <c r="U1023" s="48">
        <f>IFERROR(__xludf.DUMMYFUNCTION("""COMPUTED_VALUE"""),7.45)</f>
        <v>7.45</v>
      </c>
      <c r="V1023" s="48">
        <f>IFERROR(__xludf.DUMMYFUNCTION("""COMPUTED_VALUE"""),7.37)</f>
        <v>7.37</v>
      </c>
      <c r="W1023" s="14">
        <f>IFERROR(__xludf.DUMMYFUNCTION("""COMPUTED_VALUE"""),7.382)</f>
        <v>7.382</v>
      </c>
      <c r="X1023" s="14">
        <f>IFERROR(__xludf.DUMMYFUNCTION("""COMPUTED_VALUE"""),21.5)</f>
        <v>21.5</v>
      </c>
      <c r="Y1023" s="14">
        <f>IFERROR(__xludf.DUMMYFUNCTION("""COMPUTED_VALUE"""),22.1)</f>
        <v>22.1</v>
      </c>
      <c r="Z1023" s="14">
        <f>IFERROR(__xludf.DUMMYFUNCTION("""COMPUTED_VALUE"""),22.0)</f>
        <v>22</v>
      </c>
      <c r="AA1023" s="14">
        <f>IFERROR(__xludf.DUMMYFUNCTION("""COMPUTED_VALUE"""),21.8)</f>
        <v>21.8</v>
      </c>
      <c r="AB1023" s="14">
        <f>IFERROR(__xludf.DUMMYFUNCTION("""COMPUTED_VALUE"""),21.9)</f>
        <v>21.9</v>
      </c>
      <c r="AC1023" s="14">
        <f>IFERROR(__xludf.DUMMYFUNCTION("""COMPUTED_VALUE"""),21.859999999999996)</f>
        <v>21.86</v>
      </c>
      <c r="AD1023" s="48">
        <f>IFERROR(__xludf.DUMMYFUNCTION("""COMPUTED_VALUE"""),568.0)</f>
        <v>568</v>
      </c>
      <c r="AE1023" s="48">
        <f>IFERROR(__xludf.DUMMYFUNCTION("""COMPUTED_VALUE"""),614.0)</f>
        <v>614</v>
      </c>
      <c r="AF1023" s="48">
        <f>IFERROR(__xludf.DUMMYFUNCTION("""COMPUTED_VALUE"""),626.0)</f>
        <v>626</v>
      </c>
      <c r="AG1023" s="48">
        <f>IFERROR(__xludf.DUMMYFUNCTION("""COMPUTED_VALUE"""),652.0)</f>
        <v>652</v>
      </c>
      <c r="AH1023" s="48">
        <f>IFERROR(__xludf.DUMMYFUNCTION("""COMPUTED_VALUE"""),656.0)</f>
        <v>656</v>
      </c>
      <c r="AI1023" s="14">
        <f>IFERROR(__xludf.DUMMYFUNCTION("""COMPUTED_VALUE"""),623.2)</f>
        <v>623.2</v>
      </c>
      <c r="AJ1023" s="14">
        <f>IFERROR(__xludf.DUMMYFUNCTION("""COMPUTED_VALUE"""),1.1)</f>
        <v>1.1</v>
      </c>
      <c r="AK1023" s="14">
        <f>IFERROR(__xludf.DUMMYFUNCTION("""COMPUTED_VALUE"""),0.5)</f>
        <v>0.5</v>
      </c>
      <c r="AL1023" s="14">
        <f>IFERROR(__xludf.DUMMYFUNCTION("""COMPUTED_VALUE"""),0.9)</f>
        <v>0.9</v>
      </c>
      <c r="AM1023" s="14">
        <f>IFERROR(__xludf.DUMMYFUNCTION("""COMPUTED_VALUE"""),1.2)</f>
        <v>1.2</v>
      </c>
      <c r="AN1023" s="14">
        <f>IFERROR(__xludf.DUMMYFUNCTION("""COMPUTED_VALUE"""),0.9)</f>
        <v>0.9</v>
      </c>
      <c r="AO1023" s="14">
        <f>IFERROR(__xludf.DUMMYFUNCTION("""COMPUTED_VALUE"""),0.9200000000000002)</f>
        <v>0.92</v>
      </c>
      <c r="AP1023" s="14">
        <f>IFERROR(__xludf.DUMMYFUNCTION("""COMPUTED_VALUE"""),272.0)</f>
        <v>272</v>
      </c>
      <c r="AQ1023" s="14">
        <f>IFERROR(__xludf.DUMMYFUNCTION("""COMPUTED_VALUE"""),385.0)</f>
        <v>385</v>
      </c>
      <c r="AR1023" s="14">
        <f>IFERROR(__xludf.DUMMYFUNCTION("""COMPUTED_VALUE"""),153.0)</f>
        <v>153</v>
      </c>
      <c r="AS1023" s="14">
        <f>IFERROR(__xludf.DUMMYFUNCTION("""COMPUTED_VALUE"""),103.0)</f>
        <v>103</v>
      </c>
      <c r="AT1023" s="14">
        <f>IFERROR(__xludf.DUMMYFUNCTION("""COMPUTED_VALUE"""),5.11)</f>
        <v>5.11</v>
      </c>
      <c r="AU1023" s="14">
        <f>IFERROR(__xludf.DUMMYFUNCTION("""COMPUTED_VALUE"""),6270000.0)</f>
        <v>6270000</v>
      </c>
      <c r="AV1023" s="14">
        <f>IFERROR(__xludf.DUMMYFUNCTION("""COMPUTED_VALUE"""),4.56)</f>
        <v>4.56</v>
      </c>
      <c r="AW1023" s="14">
        <f>IFERROR(__xludf.DUMMYFUNCTION("""COMPUTED_VALUE"""),49.8)</f>
        <v>49.8</v>
      </c>
      <c r="AX1023" s="14">
        <f>IFERROR(__xludf.DUMMYFUNCTION("""COMPUTED_VALUE"""),43200.0)</f>
        <v>43200</v>
      </c>
      <c r="AY1023" s="14">
        <f>IFERROR(__xludf.DUMMYFUNCTION("""COMPUTED_VALUE"""),0.3)</f>
        <v>0.3</v>
      </c>
      <c r="AZ1023" s="14">
        <f>IFERROR(__xludf.DUMMYFUNCTION("""COMPUTED_VALUE"""),0.007)</f>
        <v>0.007</v>
      </c>
      <c r="BA1023" s="14">
        <f t="shared" si="1"/>
        <v>50.107</v>
      </c>
    </row>
    <row r="1024" ht="14.25" customHeight="1">
      <c r="A1024" s="10" t="str">
        <f>IFERROR(__xludf.DUMMYFUNCTION("""COMPUTED_VALUE"""),"190224FM02")</f>
        <v>190224FM02</v>
      </c>
      <c r="B1024" s="12" t="str">
        <f>IFERROR(__xludf.DUMMYFUNCTION("""COMPUTED_VALUE"""),"QTR-Quiba")</f>
        <v>QTR-Quiba</v>
      </c>
      <c r="C1024" s="12"/>
      <c r="D1024" s="12"/>
      <c r="E1024" s="44">
        <f>IFERROR(__xludf.DUMMYFUNCTION("""COMPUTED_VALUE"""),45341.0)</f>
        <v>45341</v>
      </c>
      <c r="F1024" s="12" t="str">
        <f>IFERROR(__xludf.DUMMYFUNCTION("""COMPUTED_VALUE"""),"TIPO I")</f>
        <v>TIPO I</v>
      </c>
      <c r="G1024" s="12" t="str">
        <f>IFERROR(__xludf.DUMMYFUNCTION("""COMPUTED_VALUE"""),"Monitoreo realizado en lecho natural, rocoso y arenoso. Presencia de pastizales en las laderas.
Durante la toma de muestra se percibe olor y se observa color.
A partir de la segunda alícuota se evidencia cambio de color y cambio en el registro del pH. ")</f>
        <v>Monitoreo realizado en lecho natural, rocoso y arenoso. Presencia de pastizales en las laderas.
Durante la toma de muestra se percibe olor y se observa color.
A partir de la segunda alícuota se evidencia cambio de color y cambio en el registro del pH. </v>
      </c>
      <c r="H1024" s="45">
        <f>IFERROR(__xludf.DUMMYFUNCTION("""COMPUTED_VALUE"""),0.5)</f>
        <v>0.5</v>
      </c>
      <c r="I1024" s="45">
        <f>IFERROR(__xludf.DUMMYFUNCTION("""COMPUTED_VALUE"""),0.5833333333321207)</f>
        <v>0.5833333333</v>
      </c>
      <c r="J1024" s="12">
        <f>IFERROR(__xludf.DUMMYFUNCTION("""COMPUTED_VALUE"""),1.0)</f>
        <v>1</v>
      </c>
      <c r="K1024" s="12">
        <f>IFERROR(__xludf.DUMMYFUNCTION("""COMPUTED_VALUE"""),0.25)</f>
        <v>0.25</v>
      </c>
      <c r="L1024" s="14">
        <f>IFERROR(__xludf.DUMMYFUNCTION("""COMPUTED_VALUE"""),37.723)</f>
        <v>37.723</v>
      </c>
      <c r="M1024" s="14">
        <f>IFERROR(__xludf.DUMMYFUNCTION("""COMPUTED_VALUE"""),43.625)</f>
        <v>43.625</v>
      </c>
      <c r="N1024" s="14">
        <f>IFERROR(__xludf.DUMMYFUNCTION("""COMPUTED_VALUE"""),40.607)</f>
        <v>40.607</v>
      </c>
      <c r="O1024" s="14">
        <f>IFERROR(__xludf.DUMMYFUNCTION("""COMPUTED_VALUE"""),38.081)</f>
        <v>38.081</v>
      </c>
      <c r="P1024" s="14">
        <f>IFERROR(__xludf.DUMMYFUNCTION("""COMPUTED_VALUE"""),37.472)</f>
        <v>37.472</v>
      </c>
      <c r="Q1024" s="14">
        <f>IFERROR(__xludf.DUMMYFUNCTION("""COMPUTED_VALUE"""),39.502)</f>
        <v>39.502</v>
      </c>
      <c r="R1024" s="48">
        <f>IFERROR(__xludf.DUMMYFUNCTION("""COMPUTED_VALUE"""),7.74)</f>
        <v>7.74</v>
      </c>
      <c r="S1024" s="48">
        <f>IFERROR(__xludf.DUMMYFUNCTION("""COMPUTED_VALUE"""),9.37)</f>
        <v>9.37</v>
      </c>
      <c r="T1024" s="48">
        <f>IFERROR(__xludf.DUMMYFUNCTION("""COMPUTED_VALUE"""),9.16)</f>
        <v>9.16</v>
      </c>
      <c r="U1024" s="48">
        <f>IFERROR(__xludf.DUMMYFUNCTION("""COMPUTED_VALUE"""),9.22)</f>
        <v>9.22</v>
      </c>
      <c r="V1024" s="48">
        <f>IFERROR(__xludf.DUMMYFUNCTION("""COMPUTED_VALUE"""),9.29)</f>
        <v>9.29</v>
      </c>
      <c r="W1024" s="14">
        <f>IFERROR(__xludf.DUMMYFUNCTION("""COMPUTED_VALUE"""),8.956)</f>
        <v>8.956</v>
      </c>
      <c r="X1024" s="14">
        <f>IFERROR(__xludf.DUMMYFUNCTION("""COMPUTED_VALUE"""),18.9)</f>
        <v>18.9</v>
      </c>
      <c r="Y1024" s="14">
        <f>IFERROR(__xludf.DUMMYFUNCTION("""COMPUTED_VALUE"""),19.9)</f>
        <v>19.9</v>
      </c>
      <c r="Z1024" s="14">
        <f>IFERROR(__xludf.DUMMYFUNCTION("""COMPUTED_VALUE"""),19.9)</f>
        <v>19.9</v>
      </c>
      <c r="AA1024" s="14">
        <f>IFERROR(__xludf.DUMMYFUNCTION("""COMPUTED_VALUE"""),20.0)</f>
        <v>20</v>
      </c>
      <c r="AB1024" s="14">
        <f>IFERROR(__xludf.DUMMYFUNCTION("""COMPUTED_VALUE"""),21.6)</f>
        <v>21.6</v>
      </c>
      <c r="AC1024" s="14">
        <f>IFERROR(__xludf.DUMMYFUNCTION("""COMPUTED_VALUE"""),20.059999999999995)</f>
        <v>20.06</v>
      </c>
      <c r="AD1024" s="48">
        <f>IFERROR(__xludf.DUMMYFUNCTION("""COMPUTED_VALUE"""),587.0)</f>
        <v>587</v>
      </c>
      <c r="AE1024" s="48">
        <f>IFERROR(__xludf.DUMMYFUNCTION("""COMPUTED_VALUE"""),596.0)</f>
        <v>596</v>
      </c>
      <c r="AF1024" s="48">
        <f>IFERROR(__xludf.DUMMYFUNCTION("""COMPUTED_VALUE"""),585.0)</f>
        <v>585</v>
      </c>
      <c r="AG1024" s="48">
        <f>IFERROR(__xludf.DUMMYFUNCTION("""COMPUTED_VALUE"""),577.0)</f>
        <v>577</v>
      </c>
      <c r="AH1024" s="48">
        <f>IFERROR(__xludf.DUMMYFUNCTION("""COMPUTED_VALUE"""),571.0)</f>
        <v>571</v>
      </c>
      <c r="AI1024" s="14">
        <f>IFERROR(__xludf.DUMMYFUNCTION("""COMPUTED_VALUE"""),583.2)</f>
        <v>583.2</v>
      </c>
      <c r="AJ1024" s="14">
        <f>IFERROR(__xludf.DUMMYFUNCTION("""COMPUTED_VALUE"""),3.9)</f>
        <v>3.9</v>
      </c>
      <c r="AK1024" s="14">
        <f>IFERROR(__xludf.DUMMYFUNCTION("""COMPUTED_VALUE"""),4.8)</f>
        <v>4.8</v>
      </c>
      <c r="AL1024" s="14">
        <f>IFERROR(__xludf.DUMMYFUNCTION("""COMPUTED_VALUE"""),4.7)</f>
        <v>4.7</v>
      </c>
      <c r="AM1024" s="14">
        <f>IFERROR(__xludf.DUMMYFUNCTION("""COMPUTED_VALUE"""),4.6)</f>
        <v>4.6</v>
      </c>
      <c r="AN1024" s="14">
        <f>IFERROR(__xludf.DUMMYFUNCTION("""COMPUTED_VALUE"""),4.8)</f>
        <v>4.8</v>
      </c>
      <c r="AO1024" s="14">
        <f>IFERROR(__xludf.DUMMYFUNCTION("""COMPUTED_VALUE"""),4.5600000000000005)</f>
        <v>4.56</v>
      </c>
      <c r="AP1024" s="14">
        <f>IFERROR(__xludf.DUMMYFUNCTION("""COMPUTED_VALUE"""),62.0)</f>
        <v>62</v>
      </c>
      <c r="AQ1024" s="14">
        <f>IFERROR(__xludf.DUMMYFUNCTION("""COMPUTED_VALUE"""),440.0)</f>
        <v>440</v>
      </c>
      <c r="AR1024" s="14">
        <f>IFERROR(__xludf.DUMMYFUNCTION("""COMPUTED_VALUE"""),2345.0)</f>
        <v>2345</v>
      </c>
      <c r="AS1024" s="14">
        <f>IFERROR(__xludf.DUMMYFUNCTION("""COMPUTED_VALUE"""),15.0)</f>
        <v>15</v>
      </c>
      <c r="AT1024" s="14">
        <f>IFERROR(__xludf.DUMMYFUNCTION("""COMPUTED_VALUE"""),2.62)</f>
        <v>2.62</v>
      </c>
      <c r="AU1024" s="14">
        <f>IFERROR(__xludf.DUMMYFUNCTION("""COMPUTED_VALUE"""),1.296E8)</f>
        <v>129600000</v>
      </c>
      <c r="AV1024" s="14">
        <f>IFERROR(__xludf.DUMMYFUNCTION("""COMPUTED_VALUE"""),0.79)</f>
        <v>0.79</v>
      </c>
      <c r="AW1024" s="14">
        <f>IFERROR(__xludf.DUMMYFUNCTION("""COMPUTED_VALUE"""),21.0)</f>
        <v>21</v>
      </c>
      <c r="AX1024" s="14">
        <f>IFERROR(__xludf.DUMMYFUNCTION("""COMPUTED_VALUE"""),8.3E7)</f>
        <v>83000000</v>
      </c>
      <c r="AY1024" s="14">
        <f>IFERROR(__xludf.DUMMYFUNCTION("""COMPUTED_VALUE"""),0.1)</f>
        <v>0.1</v>
      </c>
      <c r="AZ1024" s="14">
        <f>IFERROR(__xludf.DUMMYFUNCTION("""COMPUTED_VALUE"""),0.245)</f>
        <v>0.245</v>
      </c>
      <c r="BA1024" s="14">
        <f t="shared" si="1"/>
        <v>21.345</v>
      </c>
    </row>
    <row r="1025" ht="14.25" customHeight="1">
      <c r="A1025" s="10" t="str">
        <f>IFERROR(__xludf.DUMMYFUNCTION("""COMPUTED_VALUE"""),"200224SA03")</f>
        <v>200224SA03</v>
      </c>
      <c r="B1025" s="12" t="str">
        <f>IFERROR(__xludf.DUMMYFUNCTION("""COMPUTED_VALUE"""),"CON-Callejas")</f>
        <v>CON-Callejas</v>
      </c>
      <c r="C1025" s="12"/>
      <c r="D1025" s="12"/>
      <c r="E1025" s="44">
        <f>IFERROR(__xludf.DUMMYFUNCTION("""COMPUTED_VALUE"""),45342.0)</f>
        <v>45342</v>
      </c>
      <c r="F1025" s="12" t="str">
        <f>IFERROR(__xludf.DUMMYFUNCTION("""COMPUTED_VALUE"""),"TIPO I")</f>
        <v>TIPO I</v>
      </c>
      <c r="G1025" s="12" t="str">
        <f>IFERROR(__xludf.DUMMYFUNCTION("""COMPUTED_VALUE"""),"Monitoreo realizado en canal artificial con estructura en concreto.
Durante la toma de muestra se observa gran cantidad de lama y algas en el lecho, se percibe olor. ")</f>
        <v>Monitoreo realizado en canal artificial con estructura en concreto.
Durante la toma de muestra se observa gran cantidad de lama y algas en el lecho, se percibe olor. </v>
      </c>
      <c r="H1025" s="45">
        <f>IFERROR(__xludf.DUMMYFUNCTION("""COMPUTED_VALUE"""),0.5833333333321207)</f>
        <v>0.5833333333</v>
      </c>
      <c r="I1025" s="45">
        <f>IFERROR(__xludf.DUMMYFUNCTION("""COMPUTED_VALUE"""),0.6666666666678793)</f>
        <v>0.6666666667</v>
      </c>
      <c r="J1025" s="12">
        <f>IFERROR(__xludf.DUMMYFUNCTION("""COMPUTED_VALUE"""),4.0)</f>
        <v>4</v>
      </c>
      <c r="K1025" s="12">
        <f>IFERROR(__xludf.DUMMYFUNCTION("""COMPUTED_VALUE"""),0.07)</f>
        <v>0.07</v>
      </c>
      <c r="L1025" s="14">
        <f>IFERROR(__xludf.DUMMYFUNCTION("""COMPUTED_VALUE"""),9.993)</f>
        <v>9.993</v>
      </c>
      <c r="M1025" s="14">
        <f>IFERROR(__xludf.DUMMYFUNCTION("""COMPUTED_VALUE"""),9.818)</f>
        <v>9.818</v>
      </c>
      <c r="N1025" s="14">
        <f>IFERROR(__xludf.DUMMYFUNCTION("""COMPUTED_VALUE"""),10.398)</f>
        <v>10.398</v>
      </c>
      <c r="O1025" s="14">
        <f>IFERROR(__xludf.DUMMYFUNCTION("""COMPUTED_VALUE"""),10.17)</f>
        <v>10.17</v>
      </c>
      <c r="P1025" s="14">
        <f>IFERROR(__xludf.DUMMYFUNCTION("""COMPUTED_VALUE"""),10.223)</f>
        <v>10.223</v>
      </c>
      <c r="Q1025" s="14">
        <f>IFERROR(__xludf.DUMMYFUNCTION("""COMPUTED_VALUE"""),10.12)</f>
        <v>10.12</v>
      </c>
      <c r="R1025" s="48">
        <f>IFERROR(__xludf.DUMMYFUNCTION("""COMPUTED_VALUE"""),8.94)</f>
        <v>8.94</v>
      </c>
      <c r="S1025" s="48">
        <f>IFERROR(__xludf.DUMMYFUNCTION("""COMPUTED_VALUE"""),8.96)</f>
        <v>8.96</v>
      </c>
      <c r="T1025" s="48">
        <f>IFERROR(__xludf.DUMMYFUNCTION("""COMPUTED_VALUE"""),8.99)</f>
        <v>8.99</v>
      </c>
      <c r="U1025" s="48">
        <f>IFERROR(__xludf.DUMMYFUNCTION("""COMPUTED_VALUE"""),8.99)</f>
        <v>8.99</v>
      </c>
      <c r="V1025" s="48">
        <f>IFERROR(__xludf.DUMMYFUNCTION("""COMPUTED_VALUE"""),8.81)</f>
        <v>8.81</v>
      </c>
      <c r="W1025" s="14">
        <f>IFERROR(__xludf.DUMMYFUNCTION("""COMPUTED_VALUE"""),8.938)</f>
        <v>8.938</v>
      </c>
      <c r="X1025" s="14">
        <f>IFERROR(__xludf.DUMMYFUNCTION("""COMPUTED_VALUE"""),31.1)</f>
        <v>31.1</v>
      </c>
      <c r="Y1025" s="14">
        <f>IFERROR(__xludf.DUMMYFUNCTION("""COMPUTED_VALUE"""),30.0)</f>
        <v>30</v>
      </c>
      <c r="Z1025" s="14">
        <f>IFERROR(__xludf.DUMMYFUNCTION("""COMPUTED_VALUE"""),29.2)</f>
        <v>29.2</v>
      </c>
      <c r="AA1025" s="14">
        <f>IFERROR(__xludf.DUMMYFUNCTION("""COMPUTED_VALUE"""),28.1)</f>
        <v>28.1</v>
      </c>
      <c r="AB1025" s="14">
        <f>IFERROR(__xludf.DUMMYFUNCTION("""COMPUTED_VALUE"""),27.6)</f>
        <v>27.6</v>
      </c>
      <c r="AC1025" s="14">
        <f>IFERROR(__xludf.DUMMYFUNCTION("""COMPUTED_VALUE"""),29.2)</f>
        <v>29.2</v>
      </c>
      <c r="AD1025" s="48">
        <f>IFERROR(__xludf.DUMMYFUNCTION("""COMPUTED_VALUE"""),565.0)</f>
        <v>565</v>
      </c>
      <c r="AE1025" s="48">
        <f>IFERROR(__xludf.DUMMYFUNCTION("""COMPUTED_VALUE"""),551.0)</f>
        <v>551</v>
      </c>
      <c r="AF1025" s="48">
        <f>IFERROR(__xludf.DUMMYFUNCTION("""COMPUTED_VALUE"""),541.0)</f>
        <v>541</v>
      </c>
      <c r="AG1025" s="48">
        <f>IFERROR(__xludf.DUMMYFUNCTION("""COMPUTED_VALUE"""),536.0)</f>
        <v>536</v>
      </c>
      <c r="AH1025" s="48">
        <f>IFERROR(__xludf.DUMMYFUNCTION("""COMPUTED_VALUE"""),526.0)</f>
        <v>526</v>
      </c>
      <c r="AI1025" s="14">
        <f>IFERROR(__xludf.DUMMYFUNCTION("""COMPUTED_VALUE"""),543.8)</f>
        <v>543.8</v>
      </c>
      <c r="AJ1025" s="14">
        <f>IFERROR(__xludf.DUMMYFUNCTION("""COMPUTED_VALUE"""),5.53)</f>
        <v>5.53</v>
      </c>
      <c r="AK1025" s="14">
        <f>IFERROR(__xludf.DUMMYFUNCTION("""COMPUTED_VALUE"""),4.13)</f>
        <v>4.13</v>
      </c>
      <c r="AL1025" s="14">
        <f>IFERROR(__xludf.DUMMYFUNCTION("""COMPUTED_VALUE"""),3.9)</f>
        <v>3.9</v>
      </c>
      <c r="AM1025" s="14">
        <f>IFERROR(__xludf.DUMMYFUNCTION("""COMPUTED_VALUE"""),3.46)</f>
        <v>3.46</v>
      </c>
      <c r="AN1025" s="14">
        <f>IFERROR(__xludf.DUMMYFUNCTION("""COMPUTED_VALUE"""),2.61)</f>
        <v>2.61</v>
      </c>
      <c r="AO1025" s="14">
        <f>IFERROR(__xludf.DUMMYFUNCTION("""COMPUTED_VALUE"""),3.9259999999999997)</f>
        <v>3.926</v>
      </c>
      <c r="AP1025" s="14">
        <f>IFERROR(__xludf.DUMMYFUNCTION("""COMPUTED_VALUE"""),74.0)</f>
        <v>74</v>
      </c>
      <c r="AQ1025" s="14">
        <f>IFERROR(__xludf.DUMMYFUNCTION("""COMPUTED_VALUE"""),160.0)</f>
        <v>160</v>
      </c>
      <c r="AR1025" s="14">
        <f>IFERROR(__xludf.DUMMYFUNCTION("""COMPUTED_VALUE"""),32.0)</f>
        <v>32</v>
      </c>
      <c r="AS1025" s="14">
        <f>IFERROR(__xludf.DUMMYFUNCTION("""COMPUTED_VALUE"""),12.0)</f>
        <v>12</v>
      </c>
      <c r="AT1025" s="14">
        <f>IFERROR(__xludf.DUMMYFUNCTION("""COMPUTED_VALUE"""),2.43)</f>
        <v>2.43</v>
      </c>
      <c r="AU1025" s="14">
        <f>IFERROR(__xludf.DUMMYFUNCTION("""COMPUTED_VALUE"""),6240000.0)</f>
        <v>6240000</v>
      </c>
      <c r="AV1025" s="14">
        <f>IFERROR(__xludf.DUMMYFUNCTION("""COMPUTED_VALUE"""),1.78)</f>
        <v>1.78</v>
      </c>
      <c r="AW1025" s="14">
        <f>IFERROR(__xludf.DUMMYFUNCTION("""COMPUTED_VALUE"""),23.2)</f>
        <v>23.2</v>
      </c>
      <c r="AX1025" s="14">
        <f>IFERROR(__xludf.DUMMYFUNCTION("""COMPUTED_VALUE"""),49500.0)</f>
        <v>49500</v>
      </c>
      <c r="AY1025" s="14">
        <f>IFERROR(__xludf.DUMMYFUNCTION("""COMPUTED_VALUE"""),0.4)</f>
        <v>0.4</v>
      </c>
      <c r="AZ1025" s="14">
        <f>IFERROR(__xludf.DUMMYFUNCTION("""COMPUTED_VALUE"""),0.007)</f>
        <v>0.007</v>
      </c>
      <c r="BA1025" s="14">
        <f t="shared" si="1"/>
        <v>23.607</v>
      </c>
    </row>
    <row r="1026" ht="14.25" customHeight="1">
      <c r="A1026" s="10" t="str">
        <f>IFERROR(__xludf.DUMMYFUNCTION("""COMPUTED_VALUE"""),"190224FM03")</f>
        <v>190224FM03</v>
      </c>
      <c r="B1026" s="12" t="str">
        <f>IFERROR(__xludf.DUMMYFUNCTION("""COMPUTED_VALUE"""),"QTR-Acapulco")</f>
        <v>QTR-Acapulco</v>
      </c>
      <c r="C1026" s="12"/>
      <c r="D1026" s="12"/>
      <c r="E1026" s="44">
        <f>IFERROR(__xludf.DUMMYFUNCTION("""COMPUTED_VALUE"""),45341.0)</f>
        <v>45341</v>
      </c>
      <c r="F1026" s="12" t="str">
        <f>IFERROR(__xludf.DUMMYFUNCTION("""COMPUTED_VALUE"""),"TIPO I")</f>
        <v>TIPO I</v>
      </c>
      <c r="G1026" s="12" t="str">
        <f>IFERROR(__xludf.DUMMYFUNCTION("""COMPUTED_VALUE"""),"Lecho natural rocoso arenoso, presencia de pastizales en las laderas. Se percibe olor, se observa color, durante el monitoreo se evidencia un aumento de pH inusual. Altitud: 2599 msnm.")</f>
        <v>Lecho natural rocoso arenoso, presencia de pastizales en las laderas. Se percibe olor, se observa color, durante el monitoreo se evidencia un aumento de pH inusual. Altitud: 2599 msnm.</v>
      </c>
      <c r="H1026" s="45">
        <f>IFERROR(__xludf.DUMMYFUNCTION("""COMPUTED_VALUE"""),0.6666666666678793)</f>
        <v>0.6666666667</v>
      </c>
      <c r="I1026" s="45">
        <f>IFERROR(__xludf.DUMMYFUNCTION("""COMPUTED_VALUE"""),0.75)</f>
        <v>0.75</v>
      </c>
      <c r="J1026" s="12">
        <f>IFERROR(__xludf.DUMMYFUNCTION("""COMPUTED_VALUE"""),1.1)</f>
        <v>1.1</v>
      </c>
      <c r="K1026" s="12">
        <f>IFERROR(__xludf.DUMMYFUNCTION("""COMPUTED_VALUE"""),0.25)</f>
        <v>0.25</v>
      </c>
      <c r="L1026" s="14">
        <f>IFERROR(__xludf.DUMMYFUNCTION("""COMPUTED_VALUE"""),61.336)</f>
        <v>61.336</v>
      </c>
      <c r="M1026" s="14">
        <f>IFERROR(__xludf.DUMMYFUNCTION("""COMPUTED_VALUE"""),61.046)</f>
        <v>61.046</v>
      </c>
      <c r="N1026" s="14">
        <f>IFERROR(__xludf.DUMMYFUNCTION("""COMPUTED_VALUE"""),61.344)</f>
        <v>61.344</v>
      </c>
      <c r="O1026" s="14">
        <f>IFERROR(__xludf.DUMMYFUNCTION("""COMPUTED_VALUE"""),61.003)</f>
        <v>61.003</v>
      </c>
      <c r="P1026" s="14">
        <f>IFERROR(__xludf.DUMMYFUNCTION("""COMPUTED_VALUE"""),60.587)</f>
        <v>60.587</v>
      </c>
      <c r="Q1026" s="14">
        <f>IFERROR(__xludf.DUMMYFUNCTION("""COMPUTED_VALUE"""),61.063)</f>
        <v>61.063</v>
      </c>
      <c r="R1026" s="48">
        <f>IFERROR(__xludf.DUMMYFUNCTION("""COMPUTED_VALUE"""),9.85)</f>
        <v>9.85</v>
      </c>
      <c r="S1026" s="48">
        <f>IFERROR(__xludf.DUMMYFUNCTION("""COMPUTED_VALUE"""),9.92)</f>
        <v>9.92</v>
      </c>
      <c r="T1026" s="48">
        <f>IFERROR(__xludf.DUMMYFUNCTION("""COMPUTED_VALUE"""),9.77)</f>
        <v>9.77</v>
      </c>
      <c r="U1026" s="48">
        <f>IFERROR(__xludf.DUMMYFUNCTION("""COMPUTED_VALUE"""),9.17)</f>
        <v>9.17</v>
      </c>
      <c r="V1026" s="48">
        <f>IFERROR(__xludf.DUMMYFUNCTION("""COMPUTED_VALUE"""),8.97)</f>
        <v>8.97</v>
      </c>
      <c r="W1026" s="14">
        <f>IFERROR(__xludf.DUMMYFUNCTION("""COMPUTED_VALUE"""),9.536)</f>
        <v>9.536</v>
      </c>
      <c r="X1026" s="14">
        <f>IFERROR(__xludf.DUMMYFUNCTION("""COMPUTED_VALUE"""),20.4)</f>
        <v>20.4</v>
      </c>
      <c r="Y1026" s="14">
        <f>IFERROR(__xludf.DUMMYFUNCTION("""COMPUTED_VALUE"""),20.7)</f>
        <v>20.7</v>
      </c>
      <c r="Z1026" s="14">
        <f>IFERROR(__xludf.DUMMYFUNCTION("""COMPUTED_VALUE"""),20.8)</f>
        <v>20.8</v>
      </c>
      <c r="AA1026" s="14">
        <f>IFERROR(__xludf.DUMMYFUNCTION("""COMPUTED_VALUE"""),22.4)</f>
        <v>22.4</v>
      </c>
      <c r="AB1026" s="14">
        <f>IFERROR(__xludf.DUMMYFUNCTION("""COMPUTED_VALUE"""),19.6)</f>
        <v>19.6</v>
      </c>
      <c r="AC1026" s="14">
        <f>IFERROR(__xludf.DUMMYFUNCTION("""COMPUTED_VALUE"""),20.779999999999994)</f>
        <v>20.78</v>
      </c>
      <c r="AD1026" s="48">
        <f>IFERROR(__xludf.DUMMYFUNCTION("""COMPUTED_VALUE"""),506.0)</f>
        <v>506</v>
      </c>
      <c r="AE1026" s="48">
        <f>IFERROR(__xludf.DUMMYFUNCTION("""COMPUTED_VALUE"""),473.0)</f>
        <v>473</v>
      </c>
      <c r="AF1026" s="48">
        <f>IFERROR(__xludf.DUMMYFUNCTION("""COMPUTED_VALUE"""),508.0)</f>
        <v>508</v>
      </c>
      <c r="AG1026" s="48">
        <f>IFERROR(__xludf.DUMMYFUNCTION("""COMPUTED_VALUE"""),532.0)</f>
        <v>532</v>
      </c>
      <c r="AH1026" s="48">
        <f>IFERROR(__xludf.DUMMYFUNCTION("""COMPUTED_VALUE"""),525.0)</f>
        <v>525</v>
      </c>
      <c r="AI1026" s="14">
        <f>IFERROR(__xludf.DUMMYFUNCTION("""COMPUTED_VALUE"""),508.8)</f>
        <v>508.8</v>
      </c>
      <c r="AJ1026" s="14">
        <f>IFERROR(__xludf.DUMMYFUNCTION("""COMPUTED_VALUE"""),2.6)</f>
        <v>2.6</v>
      </c>
      <c r="AK1026" s="14">
        <f>IFERROR(__xludf.DUMMYFUNCTION("""COMPUTED_VALUE"""),1.7)</f>
        <v>1.7</v>
      </c>
      <c r="AL1026" s="14">
        <f>IFERROR(__xludf.DUMMYFUNCTION("""COMPUTED_VALUE"""),2.7)</f>
        <v>2.7</v>
      </c>
      <c r="AM1026" s="14">
        <f>IFERROR(__xludf.DUMMYFUNCTION("""COMPUTED_VALUE"""),2.3)</f>
        <v>2.3</v>
      </c>
      <c r="AN1026" s="14">
        <f>IFERROR(__xludf.DUMMYFUNCTION("""COMPUTED_VALUE"""),2.7)</f>
        <v>2.7</v>
      </c>
      <c r="AO1026" s="14">
        <f>IFERROR(__xludf.DUMMYFUNCTION("""COMPUTED_VALUE"""),2.4)</f>
        <v>2.4</v>
      </c>
      <c r="AP1026" s="14">
        <f>IFERROR(__xludf.DUMMYFUNCTION("""COMPUTED_VALUE"""),89.0)</f>
        <v>89</v>
      </c>
      <c r="AQ1026" s="14">
        <f>IFERROR(__xludf.DUMMYFUNCTION("""COMPUTED_VALUE"""),412.0)</f>
        <v>412</v>
      </c>
      <c r="AR1026" s="14">
        <f>IFERROR(__xludf.DUMMYFUNCTION("""COMPUTED_VALUE"""),2689.0)</f>
        <v>2689</v>
      </c>
      <c r="AS1026" s="14">
        <f>IFERROR(__xludf.DUMMYFUNCTION("""COMPUTED_VALUE"""),16.0)</f>
        <v>16</v>
      </c>
      <c r="AT1026" s="14">
        <f>IFERROR(__xludf.DUMMYFUNCTION("""COMPUTED_VALUE"""),2.15)</f>
        <v>2.15</v>
      </c>
      <c r="AU1026" s="14">
        <f>IFERROR(__xludf.DUMMYFUNCTION("""COMPUTED_VALUE"""),1.126E8)</f>
        <v>112600000</v>
      </c>
      <c r="AV1026" s="14">
        <f>IFERROR(__xludf.DUMMYFUNCTION("""COMPUTED_VALUE"""),0.74)</f>
        <v>0.74</v>
      </c>
      <c r="AW1026" s="14">
        <f>IFERROR(__xludf.DUMMYFUNCTION("""COMPUTED_VALUE"""),10.4)</f>
        <v>10.4</v>
      </c>
      <c r="AX1026" s="14">
        <f>IFERROR(__xludf.DUMMYFUNCTION("""COMPUTED_VALUE"""),8.89E7)</f>
        <v>88900000</v>
      </c>
      <c r="AY1026" s="14">
        <f>IFERROR(__xludf.DUMMYFUNCTION("""COMPUTED_VALUE"""),0.1)</f>
        <v>0.1</v>
      </c>
      <c r="AZ1026" s="14">
        <f>IFERROR(__xludf.DUMMYFUNCTION("""COMPUTED_VALUE"""),0.007)</f>
        <v>0.007</v>
      </c>
      <c r="BA1026" s="14">
        <f t="shared" si="1"/>
        <v>10.507</v>
      </c>
    </row>
    <row r="1027" ht="14.25" customHeight="1">
      <c r="A1027" s="10" t="str">
        <f>IFERROR(__xludf.DUMMYFUNCTION("""COMPUTED_VALUE"""),"200224AN03")</f>
        <v>200224AN03</v>
      </c>
      <c r="B1027" s="12" t="str">
        <f>IFERROR(__xludf.DUMMYFUNCTION("""COMPUTED_VALUE"""),"COR-Prado Veraniego")</f>
        <v>COR-Prado Veraniego</v>
      </c>
      <c r="C1027" s="12"/>
      <c r="D1027" s="12"/>
      <c r="E1027" s="44">
        <f>IFERROR(__xludf.DUMMYFUNCTION("""COMPUTED_VALUE"""),45342.0)</f>
        <v>45342</v>
      </c>
      <c r="F1027" s="12" t="str">
        <f>IFERROR(__xludf.DUMMYFUNCTION("""COMPUTED_VALUE"""),"TIPO I")</f>
        <v>TIPO I</v>
      </c>
      <c r="G1027" s="12" t="str">
        <f>IFERROR(__xludf.DUMMYFUNCTION("""COMPUTED_VALUE"""),"Monitoreo realizado en canal artificial trapezoidal con estructura en concreto con presencia de algas y en sus márgenes pastizales. Durante la toma de muestra se observó material flotante y color, se percibe olor. Durante el monitoreo se registró variació"&amp;"n en el Oxígeno Disuelto el cual se verifico.  ")</f>
        <v>Monitoreo realizado en canal artificial trapezoidal con estructura en concreto con presencia de algas y en sus márgenes pastizales. Durante la toma de muestra se observó material flotante y color, se percibe olor. Durante el monitoreo se registró variación en el Oxígeno Disuelto el cual se verifico.  </v>
      </c>
      <c r="H1027" s="45">
        <f>IFERROR(__xludf.DUMMYFUNCTION("""COMPUTED_VALUE"""),0.5833333333321207)</f>
        <v>0.5833333333</v>
      </c>
      <c r="I1027" s="45">
        <f>IFERROR(__xludf.DUMMYFUNCTION("""COMPUTED_VALUE"""),0.6666666666678793)</f>
        <v>0.6666666667</v>
      </c>
      <c r="J1027" s="12">
        <f>IFERROR(__xludf.DUMMYFUNCTION("""COMPUTED_VALUE"""),3.8)</f>
        <v>3.8</v>
      </c>
      <c r="K1027" s="12">
        <f>IFERROR(__xludf.DUMMYFUNCTION("""COMPUTED_VALUE"""),0.13)</f>
        <v>0.13</v>
      </c>
      <c r="L1027" s="14">
        <f>IFERROR(__xludf.DUMMYFUNCTION("""COMPUTED_VALUE"""),92.777)</f>
        <v>92.777</v>
      </c>
      <c r="M1027" s="14">
        <f>IFERROR(__xludf.DUMMYFUNCTION("""COMPUTED_VALUE"""),93.929)</f>
        <v>93.929</v>
      </c>
      <c r="N1027" s="14">
        <f>IFERROR(__xludf.DUMMYFUNCTION("""COMPUTED_VALUE"""),92.097)</f>
        <v>92.097</v>
      </c>
      <c r="O1027" s="14">
        <f>IFERROR(__xludf.DUMMYFUNCTION("""COMPUTED_VALUE"""),94.488)</f>
        <v>94.488</v>
      </c>
      <c r="P1027" s="14">
        <f>IFERROR(__xludf.DUMMYFUNCTION("""COMPUTED_VALUE"""),93.048)</f>
        <v>93.048</v>
      </c>
      <c r="Q1027" s="14">
        <f>IFERROR(__xludf.DUMMYFUNCTION("""COMPUTED_VALUE"""),93.268)</f>
        <v>93.268</v>
      </c>
      <c r="R1027" s="48">
        <f>IFERROR(__xludf.DUMMYFUNCTION("""COMPUTED_VALUE"""),8.7)</f>
        <v>8.7</v>
      </c>
      <c r="S1027" s="48">
        <f>IFERROR(__xludf.DUMMYFUNCTION("""COMPUTED_VALUE"""),8.62)</f>
        <v>8.62</v>
      </c>
      <c r="T1027" s="48">
        <f>IFERROR(__xludf.DUMMYFUNCTION("""COMPUTED_VALUE"""),8.62)</f>
        <v>8.62</v>
      </c>
      <c r="U1027" s="48">
        <f>IFERROR(__xludf.DUMMYFUNCTION("""COMPUTED_VALUE"""),8.63)</f>
        <v>8.63</v>
      </c>
      <c r="V1027" s="48">
        <f>IFERROR(__xludf.DUMMYFUNCTION("""COMPUTED_VALUE"""),8.59)</f>
        <v>8.59</v>
      </c>
      <c r="W1027" s="14">
        <f>IFERROR(__xludf.DUMMYFUNCTION("""COMPUTED_VALUE"""),8.632)</f>
        <v>8.632</v>
      </c>
      <c r="X1027" s="14">
        <f>IFERROR(__xludf.DUMMYFUNCTION("""COMPUTED_VALUE"""),29.8)</f>
        <v>29.8</v>
      </c>
      <c r="Y1027" s="14">
        <f>IFERROR(__xludf.DUMMYFUNCTION("""COMPUTED_VALUE"""),28.8)</f>
        <v>28.8</v>
      </c>
      <c r="Z1027" s="14">
        <f>IFERROR(__xludf.DUMMYFUNCTION("""COMPUTED_VALUE"""),27.8)</f>
        <v>27.8</v>
      </c>
      <c r="AA1027" s="14">
        <f>IFERROR(__xludf.DUMMYFUNCTION("""COMPUTED_VALUE"""),27.9)</f>
        <v>27.9</v>
      </c>
      <c r="AB1027" s="14">
        <f>IFERROR(__xludf.DUMMYFUNCTION("""COMPUTED_VALUE"""),26.7)</f>
        <v>26.7</v>
      </c>
      <c r="AC1027" s="14">
        <f>IFERROR(__xludf.DUMMYFUNCTION("""COMPUTED_VALUE"""),28.2)</f>
        <v>28.2</v>
      </c>
      <c r="AD1027" s="48">
        <f>IFERROR(__xludf.DUMMYFUNCTION("""COMPUTED_VALUE"""),380.0)</f>
        <v>380</v>
      </c>
      <c r="AE1027" s="48">
        <f>IFERROR(__xludf.DUMMYFUNCTION("""COMPUTED_VALUE"""),396.0)</f>
        <v>396</v>
      </c>
      <c r="AF1027" s="48">
        <f>IFERROR(__xludf.DUMMYFUNCTION("""COMPUTED_VALUE"""),377.0)</f>
        <v>377</v>
      </c>
      <c r="AG1027" s="48">
        <f>IFERROR(__xludf.DUMMYFUNCTION("""COMPUTED_VALUE"""),357.0)</f>
        <v>357</v>
      </c>
      <c r="AH1027" s="48">
        <f>IFERROR(__xludf.DUMMYFUNCTION("""COMPUTED_VALUE"""),381.0)</f>
        <v>381</v>
      </c>
      <c r="AI1027" s="14">
        <f>IFERROR(__xludf.DUMMYFUNCTION("""COMPUTED_VALUE"""),378.2)</f>
        <v>378.2</v>
      </c>
      <c r="AJ1027" s="14">
        <f>IFERROR(__xludf.DUMMYFUNCTION("""COMPUTED_VALUE"""),10.87)</f>
        <v>10.87</v>
      </c>
      <c r="AK1027" s="14">
        <f>IFERROR(__xludf.DUMMYFUNCTION("""COMPUTED_VALUE"""),9.1)</f>
        <v>9.1</v>
      </c>
      <c r="AL1027" s="14">
        <f>IFERROR(__xludf.DUMMYFUNCTION("""COMPUTED_VALUE"""),7.49)</f>
        <v>7.49</v>
      </c>
      <c r="AM1027" s="14">
        <f>IFERROR(__xludf.DUMMYFUNCTION("""COMPUTED_VALUE"""),7.12)</f>
        <v>7.12</v>
      </c>
      <c r="AN1027" s="14">
        <f>IFERROR(__xludf.DUMMYFUNCTION("""COMPUTED_VALUE"""),5.74)</f>
        <v>5.74</v>
      </c>
      <c r="AO1027" s="14">
        <f>IFERROR(__xludf.DUMMYFUNCTION("""COMPUTED_VALUE"""),8.064)</f>
        <v>8.064</v>
      </c>
      <c r="AP1027" s="14">
        <f>IFERROR(__xludf.DUMMYFUNCTION("""COMPUTED_VALUE"""),23.0)</f>
        <v>23</v>
      </c>
      <c r="AQ1027" s="14">
        <f>IFERROR(__xludf.DUMMYFUNCTION("""COMPUTED_VALUE"""),60.0)</f>
        <v>60</v>
      </c>
      <c r="AR1027" s="14">
        <f>IFERROR(__xludf.DUMMYFUNCTION("""COMPUTED_VALUE"""),28.0)</f>
        <v>28</v>
      </c>
      <c r="AS1027" s="14">
        <f>IFERROR(__xludf.DUMMYFUNCTION("""COMPUTED_VALUE"""),1.0)</f>
        <v>1</v>
      </c>
      <c r="AT1027" s="14">
        <f>IFERROR(__xludf.DUMMYFUNCTION("""COMPUTED_VALUE"""),0.4)</f>
        <v>0.4</v>
      </c>
      <c r="AU1027" s="14">
        <f>IFERROR(__xludf.DUMMYFUNCTION("""COMPUTED_VALUE"""),1.723E8)</f>
        <v>172300000</v>
      </c>
      <c r="AV1027" s="14">
        <f>IFERROR(__xludf.DUMMYFUNCTION("""COMPUTED_VALUE"""),0.97)</f>
        <v>0.97</v>
      </c>
      <c r="AW1027" s="14">
        <f>IFERROR(__xludf.DUMMYFUNCTION("""COMPUTED_VALUE"""),13.4)</f>
        <v>13.4</v>
      </c>
      <c r="AX1027" s="14">
        <f>IFERROR(__xludf.DUMMYFUNCTION("""COMPUTED_VALUE"""),1.421E8)</f>
        <v>142100000</v>
      </c>
      <c r="AY1027" s="14">
        <f>IFERROR(__xludf.DUMMYFUNCTION("""COMPUTED_VALUE"""),0.6)</f>
        <v>0.6</v>
      </c>
      <c r="AZ1027" s="14">
        <f>IFERROR(__xludf.DUMMYFUNCTION("""COMPUTED_VALUE"""),0.022)</f>
        <v>0.022</v>
      </c>
      <c r="BA1027" s="14">
        <f t="shared" si="1"/>
        <v>14.022</v>
      </c>
    </row>
    <row r="1028" ht="14.25" customHeight="1">
      <c r="A1028" s="10" t="str">
        <f>IFERROR(__xludf.DUMMYFUNCTION("""COMPUTED_VALUE"""),"200224AN02")</f>
        <v>200224AN02</v>
      </c>
      <c r="B1028" s="12" t="str">
        <f>IFERROR(__xludf.DUMMYFUNCTION("""COMPUTED_VALUE"""),"COR-Victoria Norte")</f>
        <v>COR-Victoria Norte</v>
      </c>
      <c r="C1028" s="12"/>
      <c r="D1028" s="12"/>
      <c r="E1028" s="44">
        <f>IFERROR(__xludf.DUMMYFUNCTION("""COMPUTED_VALUE"""),45342.0)</f>
        <v>45342</v>
      </c>
      <c r="F1028" s="12" t="str">
        <f>IFERROR(__xludf.DUMMYFUNCTION("""COMPUTED_VALUE"""),"TIPO I")</f>
        <v>TIPO I</v>
      </c>
      <c r="G1028" s="12" t="str">
        <f>IFERROR(__xludf.DUMMYFUNCTION("""COMPUTED_VALUE"""),"Canal trapezoidal en concreto con presencia de algas, en sus costados hay presencia de pastizales. Se percibe olor y se observa color hay presencia de material flotante.
Altitud: 2583 msnm.")</f>
        <v>Canal trapezoidal en concreto con presencia de algas, en sus costados hay presencia de pastizales. Se percibe olor y se observa color hay presencia de material flotante.
Altitud: 2583 msnm.</v>
      </c>
      <c r="H1028" s="45">
        <f>IFERROR(__xludf.DUMMYFUNCTION("""COMPUTED_VALUE"""),0.4166666666678793)</f>
        <v>0.4166666667</v>
      </c>
      <c r="I1028" s="45">
        <f>IFERROR(__xludf.DUMMYFUNCTION("""COMPUTED_VALUE"""),0.5)</f>
        <v>0.5</v>
      </c>
      <c r="J1028" s="12">
        <f>IFERROR(__xludf.DUMMYFUNCTION("""COMPUTED_VALUE"""),3.4)</f>
        <v>3.4</v>
      </c>
      <c r="K1028" s="12">
        <f>IFERROR(__xludf.DUMMYFUNCTION("""COMPUTED_VALUE"""),0.09)</f>
        <v>0.09</v>
      </c>
      <c r="L1028" s="14">
        <f>IFERROR(__xludf.DUMMYFUNCTION("""COMPUTED_VALUE"""),50.515)</f>
        <v>50.515</v>
      </c>
      <c r="M1028" s="14">
        <f>IFERROR(__xludf.DUMMYFUNCTION("""COMPUTED_VALUE"""),50.98)</f>
        <v>50.98</v>
      </c>
      <c r="N1028" s="14">
        <f>IFERROR(__xludf.DUMMYFUNCTION("""COMPUTED_VALUE"""),49.749)</f>
        <v>49.749</v>
      </c>
      <c r="O1028" s="14">
        <f>IFERROR(__xludf.DUMMYFUNCTION("""COMPUTED_VALUE"""),51.34)</f>
        <v>51.34</v>
      </c>
      <c r="P1028" s="14">
        <f>IFERROR(__xludf.DUMMYFUNCTION("""COMPUTED_VALUE"""),50.661)</f>
        <v>50.661</v>
      </c>
      <c r="Q1028" s="14">
        <f>IFERROR(__xludf.DUMMYFUNCTION("""COMPUTED_VALUE"""),50.649)</f>
        <v>50.649</v>
      </c>
      <c r="R1028" s="48">
        <f>IFERROR(__xludf.DUMMYFUNCTION("""COMPUTED_VALUE"""),7.95)</f>
        <v>7.95</v>
      </c>
      <c r="S1028" s="48">
        <f>IFERROR(__xludf.DUMMYFUNCTION("""COMPUTED_VALUE"""),7.98)</f>
        <v>7.98</v>
      </c>
      <c r="T1028" s="48">
        <f>IFERROR(__xludf.DUMMYFUNCTION("""COMPUTED_VALUE"""),7.9)</f>
        <v>7.9</v>
      </c>
      <c r="U1028" s="48">
        <f>IFERROR(__xludf.DUMMYFUNCTION("""COMPUTED_VALUE"""),7.83)</f>
        <v>7.83</v>
      </c>
      <c r="V1028" s="48">
        <f>IFERROR(__xludf.DUMMYFUNCTION("""COMPUTED_VALUE"""),7.84)</f>
        <v>7.84</v>
      </c>
      <c r="W1028" s="14">
        <f>IFERROR(__xludf.DUMMYFUNCTION("""COMPUTED_VALUE"""),7.9)</f>
        <v>7.9</v>
      </c>
      <c r="X1028" s="14">
        <f>IFERROR(__xludf.DUMMYFUNCTION("""COMPUTED_VALUE"""),20.8)</f>
        <v>20.8</v>
      </c>
      <c r="Y1028" s="14">
        <f>IFERROR(__xludf.DUMMYFUNCTION("""COMPUTED_VALUE"""),22.3)</f>
        <v>22.3</v>
      </c>
      <c r="Z1028" s="14">
        <f>IFERROR(__xludf.DUMMYFUNCTION("""COMPUTED_VALUE"""),23.8)</f>
        <v>23.8</v>
      </c>
      <c r="AA1028" s="14">
        <f>IFERROR(__xludf.DUMMYFUNCTION("""COMPUTED_VALUE"""),25.0)</f>
        <v>25</v>
      </c>
      <c r="AB1028" s="14">
        <f>IFERROR(__xludf.DUMMYFUNCTION("""COMPUTED_VALUE"""),25.7)</f>
        <v>25.7</v>
      </c>
      <c r="AC1028" s="14">
        <f>IFERROR(__xludf.DUMMYFUNCTION("""COMPUTED_VALUE"""),23.520000000000003)</f>
        <v>23.52</v>
      </c>
      <c r="AD1028" s="48">
        <f>IFERROR(__xludf.DUMMYFUNCTION("""COMPUTED_VALUE"""),443.0)</f>
        <v>443</v>
      </c>
      <c r="AE1028" s="48">
        <f>IFERROR(__xludf.DUMMYFUNCTION("""COMPUTED_VALUE"""),442.0)</f>
        <v>442</v>
      </c>
      <c r="AF1028" s="48">
        <f>IFERROR(__xludf.DUMMYFUNCTION("""COMPUTED_VALUE"""),447.0)</f>
        <v>447</v>
      </c>
      <c r="AG1028" s="48">
        <f>IFERROR(__xludf.DUMMYFUNCTION("""COMPUTED_VALUE"""),398.0)</f>
        <v>398</v>
      </c>
      <c r="AH1028" s="48">
        <f>IFERROR(__xludf.DUMMYFUNCTION("""COMPUTED_VALUE"""),429.0)</f>
        <v>429</v>
      </c>
      <c r="AI1028" s="14">
        <f>IFERROR(__xludf.DUMMYFUNCTION("""COMPUTED_VALUE"""),431.8)</f>
        <v>431.8</v>
      </c>
      <c r="AJ1028" s="14">
        <f>IFERROR(__xludf.DUMMYFUNCTION("""COMPUTED_VALUE"""),1.89)</f>
        <v>1.89</v>
      </c>
      <c r="AK1028" s="14">
        <f>IFERROR(__xludf.DUMMYFUNCTION("""COMPUTED_VALUE"""),1.97)</f>
        <v>1.97</v>
      </c>
      <c r="AL1028" s="14">
        <f>IFERROR(__xludf.DUMMYFUNCTION("""COMPUTED_VALUE"""),2.07)</f>
        <v>2.07</v>
      </c>
      <c r="AM1028" s="14">
        <f>IFERROR(__xludf.DUMMYFUNCTION("""COMPUTED_VALUE"""),1.97)</f>
        <v>1.97</v>
      </c>
      <c r="AN1028" s="14">
        <f>IFERROR(__xludf.DUMMYFUNCTION("""COMPUTED_VALUE"""),2.01)</f>
        <v>2.01</v>
      </c>
      <c r="AO1028" s="14">
        <f>IFERROR(__xludf.DUMMYFUNCTION("""COMPUTED_VALUE"""),1.982)</f>
        <v>1.982</v>
      </c>
      <c r="AP1028" s="14">
        <f>IFERROR(__xludf.DUMMYFUNCTION("""COMPUTED_VALUE"""),52.0)</f>
        <v>52</v>
      </c>
      <c r="AQ1028" s="14">
        <f>IFERROR(__xludf.DUMMYFUNCTION("""COMPUTED_VALUE"""),120.0)</f>
        <v>120</v>
      </c>
      <c r="AR1028" s="14">
        <f>IFERROR(__xludf.DUMMYFUNCTION("""COMPUTED_VALUE"""),36.0)</f>
        <v>36</v>
      </c>
      <c r="AS1028" s="14">
        <f>IFERROR(__xludf.DUMMYFUNCTION("""COMPUTED_VALUE"""),1.0)</f>
        <v>1</v>
      </c>
      <c r="AT1028" s="14">
        <f>IFERROR(__xludf.DUMMYFUNCTION("""COMPUTED_VALUE"""),1.8)</f>
        <v>1.8</v>
      </c>
      <c r="AU1028" s="14">
        <f>IFERROR(__xludf.DUMMYFUNCTION("""COMPUTED_VALUE"""),1.835E8)</f>
        <v>183500000</v>
      </c>
      <c r="AV1028" s="14">
        <f>IFERROR(__xludf.DUMMYFUNCTION("""COMPUTED_VALUE"""),2.15)</f>
        <v>2.15</v>
      </c>
      <c r="AW1028" s="14">
        <f>IFERROR(__xludf.DUMMYFUNCTION("""COMPUTED_VALUE"""),17.6)</f>
        <v>17.6</v>
      </c>
      <c r="AX1028" s="14">
        <f>IFERROR(__xludf.DUMMYFUNCTION("""COMPUTED_VALUE"""),1.553E8)</f>
        <v>155300000</v>
      </c>
      <c r="AY1028" s="14">
        <f>IFERROR(__xludf.DUMMYFUNCTION("""COMPUTED_VALUE"""),0.3)</f>
        <v>0.3</v>
      </c>
      <c r="AZ1028" s="14">
        <f>IFERROR(__xludf.DUMMYFUNCTION("""COMPUTED_VALUE"""),0.007)</f>
        <v>0.007</v>
      </c>
      <c r="BA1028" s="14">
        <f t="shared" si="1"/>
        <v>17.907</v>
      </c>
    </row>
    <row r="1029" ht="14.25" customHeight="1">
      <c r="A1029" s="10" t="str">
        <f>IFERROR(__xludf.DUMMYFUNCTION("""COMPUTED_VALUE"""),"200224FM03")</f>
        <v>200224FM03</v>
      </c>
      <c r="B1029" s="12" t="str">
        <f>IFERROR(__xludf.DUMMYFUNCTION("""COMPUTED_VALUE"""),"CMO-Pepe Sierra")</f>
        <v>CMO-Pepe Sierra</v>
      </c>
      <c r="C1029" s="12"/>
      <c r="D1029" s="12"/>
      <c r="E1029" s="44">
        <f>IFERROR(__xludf.DUMMYFUNCTION("""COMPUTED_VALUE"""),45342.0)</f>
        <v>45342</v>
      </c>
      <c r="F1029" s="12" t="str">
        <f>IFERROR(__xludf.DUMMYFUNCTION("""COMPUTED_VALUE"""),"TIPO I")</f>
        <v>TIPO I</v>
      </c>
      <c r="G1029" s="12" t="str">
        <f>IFERROR(__xludf.DUMMYFUNCTION("""COMPUTED_VALUE"""),"Lecho artificial canal en concreto, cobertura vegetal arbórea con presencia de pastizales. No se percibe olor, se observa color y presencia de material flotante.
Altitud: 2574 msnm.")</f>
        <v>Lecho artificial canal en concreto, cobertura vegetal arbórea con presencia de pastizales. No se percibe olor, se observa color y presencia de material flotante.
Altitud: 2574 msnm.</v>
      </c>
      <c r="H1029" s="45">
        <f>IFERROR(__xludf.DUMMYFUNCTION("""COMPUTED_VALUE"""),0.6666666666678793)</f>
        <v>0.6666666667</v>
      </c>
      <c r="I1029" s="45">
        <f>IFERROR(__xludf.DUMMYFUNCTION("""COMPUTED_VALUE"""),0.75)</f>
        <v>0.75</v>
      </c>
      <c r="J1029" s="12">
        <f>IFERROR(__xludf.DUMMYFUNCTION("""COMPUTED_VALUE"""),7.8)</f>
        <v>7.8</v>
      </c>
      <c r="K1029" s="12">
        <f>IFERROR(__xludf.DUMMYFUNCTION("""COMPUTED_VALUE"""),0.17)</f>
        <v>0.17</v>
      </c>
      <c r="L1029" s="14">
        <f>IFERROR(__xludf.DUMMYFUNCTION("""COMPUTED_VALUE"""),313.247)</f>
        <v>313.247</v>
      </c>
      <c r="M1029" s="14">
        <f>IFERROR(__xludf.DUMMYFUNCTION("""COMPUTED_VALUE"""),312.684)</f>
        <v>312.684</v>
      </c>
      <c r="N1029" s="14">
        <f>IFERROR(__xludf.DUMMYFUNCTION("""COMPUTED_VALUE"""),312.882)</f>
        <v>312.882</v>
      </c>
      <c r="O1029" s="14">
        <f>IFERROR(__xludf.DUMMYFUNCTION("""COMPUTED_VALUE"""),312.106)</f>
        <v>312.106</v>
      </c>
      <c r="P1029" s="14">
        <f>IFERROR(__xludf.DUMMYFUNCTION("""COMPUTED_VALUE"""),312.547)</f>
        <v>312.547</v>
      </c>
      <c r="Q1029" s="14">
        <f>IFERROR(__xludf.DUMMYFUNCTION("""COMPUTED_VALUE"""),312.693)</f>
        <v>312.693</v>
      </c>
      <c r="R1029" s="48">
        <f>IFERROR(__xludf.DUMMYFUNCTION("""COMPUTED_VALUE"""),7.13)</f>
        <v>7.13</v>
      </c>
      <c r="S1029" s="48">
        <f>IFERROR(__xludf.DUMMYFUNCTION("""COMPUTED_VALUE"""),7.02)</f>
        <v>7.02</v>
      </c>
      <c r="T1029" s="48">
        <f>IFERROR(__xludf.DUMMYFUNCTION("""COMPUTED_VALUE"""),7.02)</f>
        <v>7.02</v>
      </c>
      <c r="U1029" s="48">
        <f>IFERROR(__xludf.DUMMYFUNCTION("""COMPUTED_VALUE"""),7.04)</f>
        <v>7.04</v>
      </c>
      <c r="V1029" s="48">
        <f>IFERROR(__xludf.DUMMYFUNCTION("""COMPUTED_VALUE"""),7.03)</f>
        <v>7.03</v>
      </c>
      <c r="W1029" s="14">
        <f>IFERROR(__xludf.DUMMYFUNCTION("""COMPUTED_VALUE"""),7.047999999999999)</f>
        <v>7.048</v>
      </c>
      <c r="X1029" s="14">
        <f>IFERROR(__xludf.DUMMYFUNCTION("""COMPUTED_VALUE"""),21.7)</f>
        <v>21.7</v>
      </c>
      <c r="Y1029" s="14">
        <f>IFERROR(__xludf.DUMMYFUNCTION("""COMPUTED_VALUE"""),21.2)</f>
        <v>21.2</v>
      </c>
      <c r="Z1029" s="14">
        <f>IFERROR(__xludf.DUMMYFUNCTION("""COMPUTED_VALUE"""),20.6)</f>
        <v>20.6</v>
      </c>
      <c r="AA1029" s="14">
        <f>IFERROR(__xludf.DUMMYFUNCTION("""COMPUTED_VALUE"""),20.0)</f>
        <v>20</v>
      </c>
      <c r="AB1029" s="14">
        <f>IFERROR(__xludf.DUMMYFUNCTION("""COMPUTED_VALUE"""),19.6)</f>
        <v>19.6</v>
      </c>
      <c r="AC1029" s="14">
        <f>IFERROR(__xludf.DUMMYFUNCTION("""COMPUTED_VALUE"""),20.619999999999997)</f>
        <v>20.62</v>
      </c>
      <c r="AD1029" s="48">
        <f>IFERROR(__xludf.DUMMYFUNCTION("""COMPUTED_VALUE"""),602.0)</f>
        <v>602</v>
      </c>
      <c r="AE1029" s="48">
        <f>IFERROR(__xludf.DUMMYFUNCTION("""COMPUTED_VALUE"""),495.0)</f>
        <v>495</v>
      </c>
      <c r="AF1029" s="48">
        <f>IFERROR(__xludf.DUMMYFUNCTION("""COMPUTED_VALUE"""),428.0)</f>
        <v>428</v>
      </c>
      <c r="AG1029" s="48">
        <f>IFERROR(__xludf.DUMMYFUNCTION("""COMPUTED_VALUE"""),393.0)</f>
        <v>393</v>
      </c>
      <c r="AH1029" s="48">
        <f>IFERROR(__xludf.DUMMYFUNCTION("""COMPUTED_VALUE"""),413.0)</f>
        <v>413</v>
      </c>
      <c r="AI1029" s="14">
        <f>IFERROR(__xludf.DUMMYFUNCTION("""COMPUTED_VALUE"""),466.2)</f>
        <v>466.2</v>
      </c>
      <c r="AJ1029" s="14">
        <f>IFERROR(__xludf.DUMMYFUNCTION("""COMPUTED_VALUE"""),0.8)</f>
        <v>0.8</v>
      </c>
      <c r="AK1029" s="14">
        <f>IFERROR(__xludf.DUMMYFUNCTION("""COMPUTED_VALUE"""),0.6)</f>
        <v>0.6</v>
      </c>
      <c r="AL1029" s="14">
        <f>IFERROR(__xludf.DUMMYFUNCTION("""COMPUTED_VALUE"""),1.1)</f>
        <v>1.1</v>
      </c>
      <c r="AM1029" s="14">
        <f>IFERROR(__xludf.DUMMYFUNCTION("""COMPUTED_VALUE"""),1.5)</f>
        <v>1.5</v>
      </c>
      <c r="AN1029" s="14">
        <f>IFERROR(__xludf.DUMMYFUNCTION("""COMPUTED_VALUE"""),1.4)</f>
        <v>1.4</v>
      </c>
      <c r="AO1029" s="14">
        <f>IFERROR(__xludf.DUMMYFUNCTION("""COMPUTED_VALUE"""),1.08)</f>
        <v>1.08</v>
      </c>
      <c r="AP1029" s="14">
        <f>IFERROR(__xludf.DUMMYFUNCTION("""COMPUTED_VALUE"""),74.0)</f>
        <v>74</v>
      </c>
      <c r="AQ1029" s="14">
        <f>IFERROR(__xludf.DUMMYFUNCTION("""COMPUTED_VALUE"""),144.0)</f>
        <v>144</v>
      </c>
      <c r="AR1029" s="14">
        <f>IFERROR(__xludf.DUMMYFUNCTION("""COMPUTED_VALUE"""),79.0)</f>
        <v>79</v>
      </c>
      <c r="AS1029" s="14">
        <f>IFERROR(__xludf.DUMMYFUNCTION("""COMPUTED_VALUE"""),11.2)</f>
        <v>11.2</v>
      </c>
      <c r="AT1029" s="14">
        <f>IFERROR(__xludf.DUMMYFUNCTION("""COMPUTED_VALUE"""),4.43)</f>
        <v>4.43</v>
      </c>
      <c r="AU1029" s="14">
        <f>IFERROR(__xludf.DUMMYFUNCTION("""COMPUTED_VALUE"""),1.022E7)</f>
        <v>10220000</v>
      </c>
      <c r="AV1029" s="14">
        <f>IFERROR(__xludf.DUMMYFUNCTION("""COMPUTED_VALUE"""),3.26)</f>
        <v>3.26</v>
      </c>
      <c r="AW1029" s="14">
        <f>IFERROR(__xludf.DUMMYFUNCTION("""COMPUTED_VALUE"""),1.0)</f>
        <v>1</v>
      </c>
      <c r="AX1029" s="14">
        <f>IFERROR(__xludf.DUMMYFUNCTION("""COMPUTED_VALUE"""),6630000.0)</f>
        <v>6630000</v>
      </c>
      <c r="AY1029" s="14">
        <f>IFERROR(__xludf.DUMMYFUNCTION("""COMPUTED_VALUE"""),0.2)</f>
        <v>0.2</v>
      </c>
      <c r="AZ1029" s="14">
        <f>IFERROR(__xludf.DUMMYFUNCTION("""COMPUTED_VALUE"""),0.007)</f>
        <v>0.007</v>
      </c>
      <c r="BA1029" s="14">
        <f t="shared" si="1"/>
        <v>1.207</v>
      </c>
    </row>
    <row r="1030" ht="14.25" customHeight="1">
      <c r="A1030" s="10" t="str">
        <f>IFERROR(__xludf.DUMMYFUNCTION("""COMPUTED_VALUE"""),"220224DU03")</f>
        <v>220224DU03</v>
      </c>
      <c r="B1030" s="12" t="str">
        <f>IFERROR(__xludf.DUMMYFUNCTION("""COMPUTED_VALUE"""),"HCO-Los Lagartos")</f>
        <v>HCO-Los Lagartos</v>
      </c>
      <c r="C1030" s="12"/>
      <c r="D1030" s="12"/>
      <c r="E1030" s="44">
        <f>IFERROR(__xludf.DUMMYFUNCTION("""COMPUTED_VALUE"""),45344.0)</f>
        <v>45344</v>
      </c>
      <c r="F1030" s="12" t="str">
        <f>IFERROR(__xludf.DUMMYFUNCTION("""COMPUTED_VALUE"""),"TIPO I")</f>
        <v>TIPO I</v>
      </c>
      <c r="G1030" s="12" t="str">
        <f>IFERROR(__xludf.DUMMYFUNCTION("""COMPUTED_VALUE"""),"Box coulvert en concreto, se percibe olor y se observa color, se presenta material flotante.
Altitud: 2565 msnm.")</f>
        <v>Box coulvert en concreto, se percibe olor y se observa color, se presenta material flotante.
Altitud: 2565 msnm.</v>
      </c>
      <c r="H1030" s="45">
        <f>IFERROR(__xludf.DUMMYFUNCTION("""COMPUTED_VALUE"""),0.5833333333321207)</f>
        <v>0.5833333333</v>
      </c>
      <c r="I1030" s="45">
        <f>IFERROR(__xludf.DUMMYFUNCTION("""COMPUTED_VALUE"""),0.6666666666678793)</f>
        <v>0.6666666667</v>
      </c>
      <c r="J1030" s="12">
        <f>IFERROR(__xludf.DUMMYFUNCTION("""COMPUTED_VALUE"""),6.3)</f>
        <v>6.3</v>
      </c>
      <c r="K1030" s="12">
        <f>IFERROR(__xludf.DUMMYFUNCTION("""COMPUTED_VALUE"""),0.69)</f>
        <v>0.69</v>
      </c>
      <c r="L1030" s="14">
        <f>IFERROR(__xludf.DUMMYFUNCTION("""COMPUTED_VALUE"""),338.994)</f>
        <v>338.994</v>
      </c>
      <c r="M1030" s="14">
        <f>IFERROR(__xludf.DUMMYFUNCTION("""COMPUTED_VALUE"""),334.845)</f>
        <v>334.845</v>
      </c>
      <c r="N1030" s="14">
        <f>IFERROR(__xludf.DUMMYFUNCTION("""COMPUTED_VALUE"""),342.945)</f>
        <v>342.945</v>
      </c>
      <c r="O1030" s="14">
        <f>IFERROR(__xludf.DUMMYFUNCTION("""COMPUTED_VALUE"""),344.612)</f>
        <v>344.612</v>
      </c>
      <c r="P1030" s="14">
        <f>IFERROR(__xludf.DUMMYFUNCTION("""COMPUTED_VALUE"""),347.305)</f>
        <v>347.305</v>
      </c>
      <c r="Q1030" s="14">
        <f>IFERROR(__xludf.DUMMYFUNCTION("""COMPUTED_VALUE"""),341.74)</f>
        <v>341.74</v>
      </c>
      <c r="R1030" s="48">
        <f>IFERROR(__xludf.DUMMYFUNCTION("""COMPUTED_VALUE"""),7.3)</f>
        <v>7.3</v>
      </c>
      <c r="S1030" s="48">
        <f>IFERROR(__xludf.DUMMYFUNCTION("""COMPUTED_VALUE"""),7.31)</f>
        <v>7.31</v>
      </c>
      <c r="T1030" s="48">
        <f>IFERROR(__xludf.DUMMYFUNCTION("""COMPUTED_VALUE"""),7.32)</f>
        <v>7.32</v>
      </c>
      <c r="U1030" s="48">
        <f>IFERROR(__xludf.DUMMYFUNCTION("""COMPUTED_VALUE"""),7.35)</f>
        <v>7.35</v>
      </c>
      <c r="V1030" s="48">
        <f>IFERROR(__xludf.DUMMYFUNCTION("""COMPUTED_VALUE"""),7.26)</f>
        <v>7.26</v>
      </c>
      <c r="W1030" s="14">
        <f>IFERROR(__xludf.DUMMYFUNCTION("""COMPUTED_VALUE"""),7.308)</f>
        <v>7.308</v>
      </c>
      <c r="X1030" s="14">
        <f>IFERROR(__xludf.DUMMYFUNCTION("""COMPUTED_VALUE"""),18.4)</f>
        <v>18.4</v>
      </c>
      <c r="Y1030" s="14">
        <f>IFERROR(__xludf.DUMMYFUNCTION("""COMPUTED_VALUE"""),21.6)</f>
        <v>21.6</v>
      </c>
      <c r="Z1030" s="14">
        <f>IFERROR(__xludf.DUMMYFUNCTION("""COMPUTED_VALUE"""),18.1)</f>
        <v>18.1</v>
      </c>
      <c r="AA1030" s="14">
        <f>IFERROR(__xludf.DUMMYFUNCTION("""COMPUTED_VALUE"""),18.8)</f>
        <v>18.8</v>
      </c>
      <c r="AB1030" s="14">
        <f>IFERROR(__xludf.DUMMYFUNCTION("""COMPUTED_VALUE"""),17.7)</f>
        <v>17.7</v>
      </c>
      <c r="AC1030" s="14">
        <f>IFERROR(__xludf.DUMMYFUNCTION("""COMPUTED_VALUE"""),18.92)</f>
        <v>18.92</v>
      </c>
      <c r="AD1030" s="48">
        <f>IFERROR(__xludf.DUMMYFUNCTION("""COMPUTED_VALUE"""),467.0)</f>
        <v>467</v>
      </c>
      <c r="AE1030" s="48">
        <f>IFERROR(__xludf.DUMMYFUNCTION("""COMPUTED_VALUE"""),467.0)</f>
        <v>467</v>
      </c>
      <c r="AF1030" s="48">
        <f>IFERROR(__xludf.DUMMYFUNCTION("""COMPUTED_VALUE"""),446.0)</f>
        <v>446</v>
      </c>
      <c r="AG1030" s="48">
        <f>IFERROR(__xludf.DUMMYFUNCTION("""COMPUTED_VALUE"""),460.0)</f>
        <v>460</v>
      </c>
      <c r="AH1030" s="48">
        <f>IFERROR(__xludf.DUMMYFUNCTION("""COMPUTED_VALUE"""),418.0)</f>
        <v>418</v>
      </c>
      <c r="AI1030" s="14">
        <f>IFERROR(__xludf.DUMMYFUNCTION("""COMPUTED_VALUE"""),451.6)</f>
        <v>451.6</v>
      </c>
      <c r="AJ1030" s="14">
        <f>IFERROR(__xludf.DUMMYFUNCTION("""COMPUTED_VALUE"""),0.73)</f>
        <v>0.73</v>
      </c>
      <c r="AK1030" s="14">
        <f>IFERROR(__xludf.DUMMYFUNCTION("""COMPUTED_VALUE"""),0.54)</f>
        <v>0.54</v>
      </c>
      <c r="AL1030" s="14">
        <f>IFERROR(__xludf.DUMMYFUNCTION("""COMPUTED_VALUE"""),0.56)</f>
        <v>0.56</v>
      </c>
      <c r="AM1030" s="14">
        <f>IFERROR(__xludf.DUMMYFUNCTION("""COMPUTED_VALUE"""),0.83)</f>
        <v>0.83</v>
      </c>
      <c r="AN1030" s="14">
        <f>IFERROR(__xludf.DUMMYFUNCTION("""COMPUTED_VALUE"""),0.91)</f>
        <v>0.91</v>
      </c>
      <c r="AO1030" s="14">
        <f>IFERROR(__xludf.DUMMYFUNCTION("""COMPUTED_VALUE"""),0.7140000000000001)</f>
        <v>0.714</v>
      </c>
      <c r="AP1030" s="14">
        <f>IFERROR(__xludf.DUMMYFUNCTION("""COMPUTED_VALUE"""),54.0)</f>
        <v>54</v>
      </c>
      <c r="AQ1030" s="14">
        <f>IFERROR(__xludf.DUMMYFUNCTION("""COMPUTED_VALUE"""),77.0)</f>
        <v>77</v>
      </c>
      <c r="AR1030" s="14">
        <f>IFERROR(__xludf.DUMMYFUNCTION("""COMPUTED_VALUE"""),23.0)</f>
        <v>23</v>
      </c>
      <c r="AS1030" s="14">
        <f>IFERROR(__xludf.DUMMYFUNCTION("""COMPUTED_VALUE"""),16.0)</f>
        <v>16</v>
      </c>
      <c r="AT1030" s="14">
        <f>IFERROR(__xludf.DUMMYFUNCTION("""COMPUTED_VALUE"""),1.92)</f>
        <v>1.92</v>
      </c>
      <c r="AU1030" s="14">
        <f>IFERROR(__xludf.DUMMYFUNCTION("""COMPUTED_VALUE"""),1.483E7)</f>
        <v>14830000</v>
      </c>
      <c r="AV1030" s="14">
        <f>IFERROR(__xludf.DUMMYFUNCTION("""COMPUTED_VALUE"""),4.35)</f>
        <v>4.35</v>
      </c>
      <c r="AW1030" s="14">
        <f>IFERROR(__xludf.DUMMYFUNCTION("""COMPUTED_VALUE"""),24.4)</f>
        <v>24.4</v>
      </c>
      <c r="AX1030" s="14">
        <f>IFERROR(__xludf.DUMMYFUNCTION("""COMPUTED_VALUE"""),1039000.0)</f>
        <v>1039000</v>
      </c>
      <c r="AY1030" s="14">
        <f>IFERROR(__xludf.DUMMYFUNCTION("""COMPUTED_VALUE"""),0.3)</f>
        <v>0.3</v>
      </c>
      <c r="AZ1030" s="14">
        <f>IFERROR(__xludf.DUMMYFUNCTION("""COMPUTED_VALUE"""),0.007)</f>
        <v>0.007</v>
      </c>
      <c r="BA1030" s="14">
        <f t="shared" si="1"/>
        <v>24.707</v>
      </c>
    </row>
    <row r="1031" ht="14.25" customHeight="1">
      <c r="A1031" s="10" t="str">
        <f>IFERROR(__xludf.DUMMYFUNCTION("""COMPUTED_VALUE"""),"220224DU01")</f>
        <v>220224DU01</v>
      </c>
      <c r="B1031" s="12" t="str">
        <f>IFERROR(__xludf.DUMMYFUNCTION("""COMPUTED_VALUE"""),"CRN-El Virrey")</f>
        <v>CRN-El Virrey</v>
      </c>
      <c r="C1031" s="12"/>
      <c r="D1031" s="12"/>
      <c r="E1031" s="44">
        <f>IFERROR(__xludf.DUMMYFUNCTION("""COMPUTED_VALUE"""),45344.0)</f>
        <v>45344</v>
      </c>
      <c r="F1031" s="12" t="str">
        <f>IFERROR(__xludf.DUMMYFUNCTION("""COMPUTED_VALUE"""),"TIPO I")</f>
        <v>TIPO I</v>
      </c>
      <c r="G1031" s="12" t="str">
        <f>IFERROR(__xludf.DUMMYFUNCTION("""COMPUTED_VALUE"""),"Monitoreo realizado en canal artificial con estructura trapezoidal en mampostería, con presencia de pastizales y arboles a sus costados.
Durante la toma de muestra se observa color y material flotante, se percibe olor.  ")</f>
        <v>Monitoreo realizado en canal artificial con estructura trapezoidal en mampostería, con presencia de pastizales y arboles a sus costados.
Durante la toma de muestra se observa color y material flotante, se percibe olor.  </v>
      </c>
      <c r="H1031" s="45">
        <f>IFERROR(__xludf.DUMMYFUNCTION("""COMPUTED_VALUE"""),0.25)</f>
        <v>0.25</v>
      </c>
      <c r="I1031" s="45">
        <f>IFERROR(__xludf.DUMMYFUNCTION("""COMPUTED_VALUE"""),0.3333333333321207)</f>
        <v>0.3333333333</v>
      </c>
      <c r="J1031" s="12">
        <f>IFERROR(__xludf.DUMMYFUNCTION("""COMPUTED_VALUE"""),1.6)</f>
        <v>1.6</v>
      </c>
      <c r="K1031" s="12">
        <f>IFERROR(__xludf.DUMMYFUNCTION("""COMPUTED_VALUE"""),0.12)</f>
        <v>0.12</v>
      </c>
      <c r="L1031" s="14">
        <f>IFERROR(__xludf.DUMMYFUNCTION("""COMPUTED_VALUE"""),42.45)</f>
        <v>42.45</v>
      </c>
      <c r="M1031" s="14">
        <f>IFERROR(__xludf.DUMMYFUNCTION("""COMPUTED_VALUE"""),44.028)</f>
        <v>44.028</v>
      </c>
      <c r="N1031" s="14">
        <f>IFERROR(__xludf.DUMMYFUNCTION("""COMPUTED_VALUE"""),57.41)</f>
        <v>57.41</v>
      </c>
      <c r="O1031" s="14">
        <f>IFERROR(__xludf.DUMMYFUNCTION("""COMPUTED_VALUE"""),58.454)</f>
        <v>58.454</v>
      </c>
      <c r="P1031" s="14">
        <f>IFERROR(__xludf.DUMMYFUNCTION("""COMPUTED_VALUE"""),59.098)</f>
        <v>59.098</v>
      </c>
      <c r="Q1031" s="14">
        <f>IFERROR(__xludf.DUMMYFUNCTION("""COMPUTED_VALUE"""),52.288)</f>
        <v>52.288</v>
      </c>
      <c r="R1031" s="48">
        <f>IFERROR(__xludf.DUMMYFUNCTION("""COMPUTED_VALUE"""),7.43)</f>
        <v>7.43</v>
      </c>
      <c r="S1031" s="48">
        <f>IFERROR(__xludf.DUMMYFUNCTION("""COMPUTED_VALUE"""),7.65)</f>
        <v>7.65</v>
      </c>
      <c r="T1031" s="48">
        <f>IFERROR(__xludf.DUMMYFUNCTION("""COMPUTED_VALUE"""),7.86)</f>
        <v>7.86</v>
      </c>
      <c r="U1031" s="48">
        <f>IFERROR(__xludf.DUMMYFUNCTION("""COMPUTED_VALUE"""),8.18)</f>
        <v>8.18</v>
      </c>
      <c r="V1031" s="48">
        <f>IFERROR(__xludf.DUMMYFUNCTION("""COMPUTED_VALUE"""),8.1)</f>
        <v>8.1</v>
      </c>
      <c r="W1031" s="14">
        <f>IFERROR(__xludf.DUMMYFUNCTION("""COMPUTED_VALUE"""),7.843999999999999)</f>
        <v>7.844</v>
      </c>
      <c r="X1031" s="14">
        <f>IFERROR(__xludf.DUMMYFUNCTION("""COMPUTED_VALUE"""),16.9)</f>
        <v>16.9</v>
      </c>
      <c r="Y1031" s="14">
        <f>IFERROR(__xludf.DUMMYFUNCTION("""COMPUTED_VALUE"""),17.5)</f>
        <v>17.5</v>
      </c>
      <c r="Z1031" s="14">
        <f>IFERROR(__xludf.DUMMYFUNCTION("""COMPUTED_VALUE"""),17.9)</f>
        <v>17.9</v>
      </c>
      <c r="AA1031" s="14">
        <f>IFERROR(__xludf.DUMMYFUNCTION("""COMPUTED_VALUE"""),18.6)</f>
        <v>18.6</v>
      </c>
      <c r="AB1031" s="14">
        <f>IFERROR(__xludf.DUMMYFUNCTION("""COMPUTED_VALUE"""),19.2)</f>
        <v>19.2</v>
      </c>
      <c r="AC1031" s="14">
        <f>IFERROR(__xludf.DUMMYFUNCTION("""COMPUTED_VALUE"""),18.020000000000003)</f>
        <v>18.02</v>
      </c>
      <c r="AD1031" s="48">
        <f>IFERROR(__xludf.DUMMYFUNCTION("""COMPUTED_VALUE"""),279.0)</f>
        <v>279</v>
      </c>
      <c r="AE1031" s="48">
        <f>IFERROR(__xludf.DUMMYFUNCTION("""COMPUTED_VALUE"""),424.0)</f>
        <v>424</v>
      </c>
      <c r="AF1031" s="48">
        <f>IFERROR(__xludf.DUMMYFUNCTION("""COMPUTED_VALUE"""),452.0)</f>
        <v>452</v>
      </c>
      <c r="AG1031" s="48">
        <f>IFERROR(__xludf.DUMMYFUNCTION("""COMPUTED_VALUE"""),526.0)</f>
        <v>526</v>
      </c>
      <c r="AH1031" s="48">
        <f>IFERROR(__xludf.DUMMYFUNCTION("""COMPUTED_VALUE"""),529.0)</f>
        <v>529</v>
      </c>
      <c r="AI1031" s="14">
        <f>IFERROR(__xludf.DUMMYFUNCTION("""COMPUTED_VALUE"""),442.0)</f>
        <v>442</v>
      </c>
      <c r="AJ1031" s="14">
        <f>IFERROR(__xludf.DUMMYFUNCTION("""COMPUTED_VALUE"""),1.16)</f>
        <v>1.16</v>
      </c>
      <c r="AK1031" s="14">
        <f>IFERROR(__xludf.DUMMYFUNCTION("""COMPUTED_VALUE"""),0.91)</f>
        <v>0.91</v>
      </c>
      <c r="AL1031" s="14">
        <f>IFERROR(__xludf.DUMMYFUNCTION("""COMPUTED_VALUE"""),0.89)</f>
        <v>0.89</v>
      </c>
      <c r="AM1031" s="14">
        <f>IFERROR(__xludf.DUMMYFUNCTION("""COMPUTED_VALUE"""),0.91)</f>
        <v>0.91</v>
      </c>
      <c r="AN1031" s="14">
        <f>IFERROR(__xludf.DUMMYFUNCTION("""COMPUTED_VALUE"""),0.75)</f>
        <v>0.75</v>
      </c>
      <c r="AO1031" s="14">
        <f>IFERROR(__xludf.DUMMYFUNCTION("""COMPUTED_VALUE"""),0.924)</f>
        <v>0.924</v>
      </c>
      <c r="AP1031" s="14">
        <f>IFERROR(__xludf.DUMMYFUNCTION("""COMPUTED_VALUE"""),162.0)</f>
        <v>162</v>
      </c>
      <c r="AQ1031" s="14">
        <f>IFERROR(__xludf.DUMMYFUNCTION("""COMPUTED_VALUE"""),219.0)</f>
        <v>219</v>
      </c>
      <c r="AR1031" s="14">
        <f>IFERROR(__xludf.DUMMYFUNCTION("""COMPUTED_VALUE"""),129.0)</f>
        <v>129</v>
      </c>
      <c r="AS1031" s="14">
        <f>IFERROR(__xludf.DUMMYFUNCTION("""COMPUTED_VALUE"""),39.0)</f>
        <v>39</v>
      </c>
      <c r="AT1031" s="14">
        <f>IFERROR(__xludf.DUMMYFUNCTION("""COMPUTED_VALUE"""),2.22)</f>
        <v>2.22</v>
      </c>
      <c r="AU1031" s="14">
        <f>IFERROR(__xludf.DUMMYFUNCTION("""COMPUTED_VALUE"""),1.236E7)</f>
        <v>12360000</v>
      </c>
      <c r="AV1031" s="14">
        <f>IFERROR(__xludf.DUMMYFUNCTION("""COMPUTED_VALUE"""),4.58)</f>
        <v>4.58</v>
      </c>
      <c r="AW1031" s="14">
        <f>IFERROR(__xludf.DUMMYFUNCTION("""COMPUTED_VALUE"""),38.1)</f>
        <v>38.1</v>
      </c>
      <c r="AX1031" s="14">
        <f>IFERROR(__xludf.DUMMYFUNCTION("""COMPUTED_VALUE"""),816000.0)</f>
        <v>816000</v>
      </c>
      <c r="AY1031" s="14">
        <f>IFERROR(__xludf.DUMMYFUNCTION("""COMPUTED_VALUE"""),0.5)</f>
        <v>0.5</v>
      </c>
      <c r="AZ1031" s="14">
        <f>IFERROR(__xludf.DUMMYFUNCTION("""COMPUTED_VALUE"""),0.007)</f>
        <v>0.007</v>
      </c>
      <c r="BA1031" s="14">
        <f t="shared" si="1"/>
        <v>38.607</v>
      </c>
    </row>
    <row r="1032" ht="14.25" customHeight="1">
      <c r="A1032" s="10" t="str">
        <f>IFERROR(__xludf.DUMMYFUNCTION("""COMPUTED_VALUE"""),"230224DU03")</f>
        <v>230224DU03</v>
      </c>
      <c r="B1032" s="12" t="str">
        <f>IFERROR(__xludf.DUMMYFUNCTION("""COMPUTED_VALUE"""),"QZA-Meissen")</f>
        <v>QZA-Meissen</v>
      </c>
      <c r="C1032" s="12"/>
      <c r="D1032" s="12"/>
      <c r="E1032" s="44">
        <f>IFERROR(__xludf.DUMMYFUNCTION("""COMPUTED_VALUE"""),45345.0)</f>
        <v>45345</v>
      </c>
      <c r="F1032" s="12" t="str">
        <f>IFERROR(__xludf.DUMMYFUNCTION("""COMPUTED_VALUE"""),"TIPO I")</f>
        <v>TIPO I</v>
      </c>
      <c r="G1032" s="12" t="str">
        <f>IFERROR(__xludf.DUMMYFUNCTION("""COMPUTED_VALUE"""),"Canal en concreto, se observa color y se percibe olor, presencia de material flotante.
Altitud: 2574 msnm.")</f>
        <v>Canal en concreto, se observa color y se percibe olor, presencia de material flotante.
Altitud: 2574 msnm.</v>
      </c>
      <c r="H1032" s="45">
        <f>IFERROR(__xludf.DUMMYFUNCTION("""COMPUTED_VALUE"""),0.5833333333321207)</f>
        <v>0.5833333333</v>
      </c>
      <c r="I1032" s="45">
        <f>IFERROR(__xludf.DUMMYFUNCTION("""COMPUTED_VALUE"""),0.6666666666678793)</f>
        <v>0.6666666667</v>
      </c>
      <c r="J1032" s="12">
        <f>IFERROR(__xludf.DUMMYFUNCTION("""COMPUTED_VALUE"""),7.2)</f>
        <v>7.2</v>
      </c>
      <c r="K1032" s="12">
        <f>IFERROR(__xludf.DUMMYFUNCTION("""COMPUTED_VALUE"""),0.13)</f>
        <v>0.13</v>
      </c>
      <c r="L1032" s="14">
        <f>IFERROR(__xludf.DUMMYFUNCTION("""COMPUTED_VALUE"""),340.881)</f>
        <v>340.881</v>
      </c>
      <c r="M1032" s="14">
        <f>IFERROR(__xludf.DUMMYFUNCTION("""COMPUTED_VALUE"""),344.139)</f>
        <v>344.139</v>
      </c>
      <c r="N1032" s="14">
        <f>IFERROR(__xludf.DUMMYFUNCTION("""COMPUTED_VALUE"""),341.909)</f>
        <v>341.909</v>
      </c>
      <c r="O1032" s="14">
        <f>IFERROR(__xludf.DUMMYFUNCTION("""COMPUTED_VALUE"""),342.003)</f>
        <v>342.003</v>
      </c>
      <c r="P1032" s="14">
        <f>IFERROR(__xludf.DUMMYFUNCTION("""COMPUTED_VALUE"""),343.171)</f>
        <v>343.171</v>
      </c>
      <c r="Q1032" s="14">
        <f>IFERROR(__xludf.DUMMYFUNCTION("""COMPUTED_VALUE"""),342.42)</f>
        <v>342.42</v>
      </c>
      <c r="R1032" s="48">
        <f>IFERROR(__xludf.DUMMYFUNCTION("""COMPUTED_VALUE"""),8.03)</f>
        <v>8.03</v>
      </c>
      <c r="S1032" s="48">
        <f>IFERROR(__xludf.DUMMYFUNCTION("""COMPUTED_VALUE"""),8.01)</f>
        <v>8.01</v>
      </c>
      <c r="T1032" s="48">
        <f>IFERROR(__xludf.DUMMYFUNCTION("""COMPUTED_VALUE"""),8.02)</f>
        <v>8.02</v>
      </c>
      <c r="U1032" s="48">
        <f>IFERROR(__xludf.DUMMYFUNCTION("""COMPUTED_VALUE"""),8.02)</f>
        <v>8.02</v>
      </c>
      <c r="V1032" s="48">
        <f>IFERROR(__xludf.DUMMYFUNCTION("""COMPUTED_VALUE"""),7.98)</f>
        <v>7.98</v>
      </c>
      <c r="W1032" s="14">
        <f>IFERROR(__xludf.DUMMYFUNCTION("""COMPUTED_VALUE"""),8.012)</f>
        <v>8.012</v>
      </c>
      <c r="X1032" s="14">
        <f>IFERROR(__xludf.DUMMYFUNCTION("""COMPUTED_VALUE"""),25.9)</f>
        <v>25.9</v>
      </c>
      <c r="Y1032" s="14">
        <f>IFERROR(__xludf.DUMMYFUNCTION("""COMPUTED_VALUE"""),25.6)</f>
        <v>25.6</v>
      </c>
      <c r="Z1032" s="14">
        <f>IFERROR(__xludf.DUMMYFUNCTION("""COMPUTED_VALUE"""),25.1)</f>
        <v>25.1</v>
      </c>
      <c r="AA1032" s="14">
        <f>IFERROR(__xludf.DUMMYFUNCTION("""COMPUTED_VALUE"""),25.1)</f>
        <v>25.1</v>
      </c>
      <c r="AB1032" s="14">
        <f>IFERROR(__xludf.DUMMYFUNCTION("""COMPUTED_VALUE"""),24.9)</f>
        <v>24.9</v>
      </c>
      <c r="AC1032" s="14">
        <f>IFERROR(__xludf.DUMMYFUNCTION("""COMPUTED_VALUE"""),25.32)</f>
        <v>25.32</v>
      </c>
      <c r="AD1032" s="48">
        <f>IFERROR(__xludf.DUMMYFUNCTION("""COMPUTED_VALUE"""),674.0)</f>
        <v>674</v>
      </c>
      <c r="AE1032" s="48">
        <f>IFERROR(__xludf.DUMMYFUNCTION("""COMPUTED_VALUE"""),728.0)</f>
        <v>728</v>
      </c>
      <c r="AF1032" s="48">
        <f>IFERROR(__xludf.DUMMYFUNCTION("""COMPUTED_VALUE"""),728.0)</f>
        <v>728</v>
      </c>
      <c r="AG1032" s="48">
        <f>IFERROR(__xludf.DUMMYFUNCTION("""COMPUTED_VALUE"""),732.0)</f>
        <v>732</v>
      </c>
      <c r="AH1032" s="48">
        <f>IFERROR(__xludf.DUMMYFUNCTION("""COMPUTED_VALUE"""),721.0)</f>
        <v>721</v>
      </c>
      <c r="AI1032" s="14">
        <f>IFERROR(__xludf.DUMMYFUNCTION("""COMPUTED_VALUE"""),716.6)</f>
        <v>716.6</v>
      </c>
      <c r="AJ1032" s="14">
        <f>IFERROR(__xludf.DUMMYFUNCTION("""COMPUTED_VALUE"""),1.06)</f>
        <v>1.06</v>
      </c>
      <c r="AK1032" s="14">
        <f>IFERROR(__xludf.DUMMYFUNCTION("""COMPUTED_VALUE"""),0.76)</f>
        <v>0.76</v>
      </c>
      <c r="AL1032" s="14">
        <f>IFERROR(__xludf.DUMMYFUNCTION("""COMPUTED_VALUE"""),1.03)</f>
        <v>1.03</v>
      </c>
      <c r="AM1032" s="14">
        <f>IFERROR(__xludf.DUMMYFUNCTION("""COMPUTED_VALUE"""),0.83)</f>
        <v>0.83</v>
      </c>
      <c r="AN1032" s="14">
        <f>IFERROR(__xludf.DUMMYFUNCTION("""COMPUTED_VALUE"""),0.78)</f>
        <v>0.78</v>
      </c>
      <c r="AO1032" s="14">
        <f>IFERROR(__xludf.DUMMYFUNCTION("""COMPUTED_VALUE"""),0.892)</f>
        <v>0.892</v>
      </c>
      <c r="AP1032" s="14">
        <f>IFERROR(__xludf.DUMMYFUNCTION("""COMPUTED_VALUE"""),163.0)</f>
        <v>163</v>
      </c>
      <c r="AQ1032" s="14">
        <f>IFERROR(__xludf.DUMMYFUNCTION("""COMPUTED_VALUE"""),308.0)</f>
        <v>308</v>
      </c>
      <c r="AR1032" s="14">
        <f>IFERROR(__xludf.DUMMYFUNCTION("""COMPUTED_VALUE"""),276.0)</f>
        <v>276</v>
      </c>
      <c r="AS1032" s="14">
        <f>IFERROR(__xludf.DUMMYFUNCTION("""COMPUTED_VALUE"""),36.0)</f>
        <v>36</v>
      </c>
      <c r="AT1032" s="14">
        <f>IFERROR(__xludf.DUMMYFUNCTION("""COMPUTED_VALUE"""),3.58)</f>
        <v>3.58</v>
      </c>
      <c r="AU1032" s="14">
        <f>IFERROR(__xludf.DUMMYFUNCTION("""COMPUTED_VALUE"""),2.143E7)</f>
        <v>21430000</v>
      </c>
      <c r="AV1032" s="14">
        <f>IFERROR(__xludf.DUMMYFUNCTION("""COMPUTED_VALUE"""),6.32)</f>
        <v>6.32</v>
      </c>
      <c r="AW1032" s="14">
        <f>IFERROR(__xludf.DUMMYFUNCTION("""COMPUTED_VALUE"""),40.6)</f>
        <v>40.6</v>
      </c>
      <c r="AX1032" s="14">
        <f>IFERROR(__xludf.DUMMYFUNCTION("""COMPUTED_VALUE"""),1.968E7)</f>
        <v>19680000</v>
      </c>
      <c r="AY1032" s="14">
        <f>IFERROR(__xludf.DUMMYFUNCTION("""COMPUTED_VALUE"""),0.4)</f>
        <v>0.4</v>
      </c>
      <c r="AZ1032" s="14">
        <f>IFERROR(__xludf.DUMMYFUNCTION("""COMPUTED_VALUE"""),0.007)</f>
        <v>0.007</v>
      </c>
      <c r="BA1032" s="14">
        <f t="shared" si="1"/>
        <v>41.007</v>
      </c>
    </row>
    <row r="1033" ht="14.25" customHeight="1">
      <c r="A1033" s="10" t="str">
        <f>IFERROR(__xludf.DUMMYFUNCTION("""COMPUTED_VALUE"""),"220224DU02")</f>
        <v>220224DU02</v>
      </c>
      <c r="B1033" s="12" t="str">
        <f>IFERROR(__xludf.DUMMYFUNCTION("""COMPUTED_VALUE"""),"CRN-Entre Ríos")</f>
        <v>CRN-Entre Ríos</v>
      </c>
      <c r="C1033" s="12"/>
      <c r="D1033" s="12"/>
      <c r="E1033" s="44">
        <f>IFERROR(__xludf.DUMMYFUNCTION("""COMPUTED_VALUE"""),45344.0)</f>
        <v>45344</v>
      </c>
      <c r="F1033" s="12" t="str">
        <f>IFERROR(__xludf.DUMMYFUNCTION("""COMPUTED_VALUE"""),"TIPO I")</f>
        <v>TIPO I</v>
      </c>
      <c r="G1033" s="12" t="str">
        <f>IFERROR(__xludf.DUMMYFUNCTION("""COMPUTED_VALUE"""),"Monitoreo realizado en canal artificial trapezoidal con estructura en concreto con pastos en sus costados. 
Durante la toma de muestra se observa material flotante y color, se percibe olor. 
Altitud: 2562 msnm. ")</f>
        <v>Monitoreo realizado en canal artificial trapezoidal con estructura en concreto con pastos en sus costados. 
Durante la toma de muestra se observa material flotante y color, se percibe olor. 
Altitud: 2562 msnm. </v>
      </c>
      <c r="H1033" s="45">
        <f>IFERROR(__xludf.DUMMYFUNCTION("""COMPUTED_VALUE"""),0.4166666666678793)</f>
        <v>0.4166666667</v>
      </c>
      <c r="I1033" s="45">
        <f>IFERROR(__xludf.DUMMYFUNCTION("""COMPUTED_VALUE"""),0.5)</f>
        <v>0.5</v>
      </c>
      <c r="J1033" s="12">
        <f>IFERROR(__xludf.DUMMYFUNCTION("""COMPUTED_VALUE"""),8.0)</f>
        <v>8</v>
      </c>
      <c r="K1033" s="12">
        <f>IFERROR(__xludf.DUMMYFUNCTION("""COMPUTED_VALUE"""),0.22)</f>
        <v>0.22</v>
      </c>
      <c r="L1033" s="14">
        <f>IFERROR(__xludf.DUMMYFUNCTION("""COMPUTED_VALUE"""),363.26)</f>
        <v>363.26</v>
      </c>
      <c r="M1033" s="14">
        <f>IFERROR(__xludf.DUMMYFUNCTION("""COMPUTED_VALUE"""),373.37)</f>
        <v>373.37</v>
      </c>
      <c r="N1033" s="14">
        <f>IFERROR(__xludf.DUMMYFUNCTION("""COMPUTED_VALUE"""),382.135)</f>
        <v>382.135</v>
      </c>
      <c r="O1033" s="14">
        <f>IFERROR(__xludf.DUMMYFUNCTION("""COMPUTED_VALUE"""),387.975)</f>
        <v>387.975</v>
      </c>
      <c r="P1033" s="14">
        <f>IFERROR(__xludf.DUMMYFUNCTION("""COMPUTED_VALUE"""),396.49)</f>
        <v>396.49</v>
      </c>
      <c r="Q1033" s="14">
        <f>IFERROR(__xludf.DUMMYFUNCTION("""COMPUTED_VALUE"""),380.646)</f>
        <v>380.646</v>
      </c>
      <c r="R1033" s="48">
        <f>IFERROR(__xludf.DUMMYFUNCTION("""COMPUTED_VALUE"""),8.01)</f>
        <v>8.01</v>
      </c>
      <c r="S1033" s="48">
        <f>IFERROR(__xludf.DUMMYFUNCTION("""COMPUTED_VALUE"""),7.87)</f>
        <v>7.87</v>
      </c>
      <c r="T1033" s="48">
        <f>IFERROR(__xludf.DUMMYFUNCTION("""COMPUTED_VALUE"""),7.88)</f>
        <v>7.88</v>
      </c>
      <c r="U1033" s="48">
        <f>IFERROR(__xludf.DUMMYFUNCTION("""COMPUTED_VALUE"""),7.9)</f>
        <v>7.9</v>
      </c>
      <c r="V1033" s="48">
        <f>IFERROR(__xludf.DUMMYFUNCTION("""COMPUTED_VALUE"""),7.9)</f>
        <v>7.9</v>
      </c>
      <c r="W1033" s="14">
        <f>IFERROR(__xludf.DUMMYFUNCTION("""COMPUTED_VALUE"""),7.911999999999999)</f>
        <v>7.912</v>
      </c>
      <c r="X1033" s="14">
        <f>IFERROR(__xludf.DUMMYFUNCTION("""COMPUTED_VALUE"""),21.3)</f>
        <v>21.3</v>
      </c>
      <c r="Y1033" s="14">
        <f>IFERROR(__xludf.DUMMYFUNCTION("""COMPUTED_VALUE"""),21.7)</f>
        <v>21.7</v>
      </c>
      <c r="Z1033" s="14">
        <f>IFERROR(__xludf.DUMMYFUNCTION("""COMPUTED_VALUE"""),22.5)</f>
        <v>22.5</v>
      </c>
      <c r="AA1033" s="14">
        <f>IFERROR(__xludf.DUMMYFUNCTION("""COMPUTED_VALUE"""),22.6)</f>
        <v>22.6</v>
      </c>
      <c r="AB1033" s="14">
        <f>IFERROR(__xludf.DUMMYFUNCTION("""COMPUTED_VALUE"""),22.3)</f>
        <v>22.3</v>
      </c>
      <c r="AC1033" s="14">
        <f>IFERROR(__xludf.DUMMYFUNCTION("""COMPUTED_VALUE"""),22.08)</f>
        <v>22.08</v>
      </c>
      <c r="AD1033" s="48">
        <f>IFERROR(__xludf.DUMMYFUNCTION("""COMPUTED_VALUE"""),456.0)</f>
        <v>456</v>
      </c>
      <c r="AE1033" s="48">
        <f>IFERROR(__xludf.DUMMYFUNCTION("""COMPUTED_VALUE"""),535.0)</f>
        <v>535</v>
      </c>
      <c r="AF1033" s="48">
        <f>IFERROR(__xludf.DUMMYFUNCTION("""COMPUTED_VALUE"""),529.0)</f>
        <v>529</v>
      </c>
      <c r="AG1033" s="48">
        <f>IFERROR(__xludf.DUMMYFUNCTION("""COMPUTED_VALUE"""),534.0)</f>
        <v>534</v>
      </c>
      <c r="AH1033" s="48">
        <f>IFERROR(__xludf.DUMMYFUNCTION("""COMPUTED_VALUE"""),552.0)</f>
        <v>552</v>
      </c>
      <c r="AI1033" s="14">
        <f>IFERROR(__xludf.DUMMYFUNCTION("""COMPUTED_VALUE"""),521.2)</f>
        <v>521.2</v>
      </c>
      <c r="AJ1033" s="14">
        <f>IFERROR(__xludf.DUMMYFUNCTION("""COMPUTED_VALUE"""),0.76)</f>
        <v>0.76</v>
      </c>
      <c r="AK1033" s="14">
        <f>IFERROR(__xludf.DUMMYFUNCTION("""COMPUTED_VALUE"""),0.79)</f>
        <v>0.79</v>
      </c>
      <c r="AL1033" s="14">
        <f>IFERROR(__xludf.DUMMYFUNCTION("""COMPUTED_VALUE"""),0.34)</f>
        <v>0.34</v>
      </c>
      <c r="AM1033" s="14">
        <f>IFERROR(__xludf.DUMMYFUNCTION("""COMPUTED_VALUE"""),0.36)</f>
        <v>0.36</v>
      </c>
      <c r="AN1033" s="14">
        <f>IFERROR(__xludf.DUMMYFUNCTION("""COMPUTED_VALUE"""),0.3)</f>
        <v>0.3</v>
      </c>
      <c r="AO1033" s="14">
        <f>IFERROR(__xludf.DUMMYFUNCTION("""COMPUTED_VALUE"""),0.51)</f>
        <v>0.51</v>
      </c>
      <c r="AP1033" s="14">
        <f>IFERROR(__xludf.DUMMYFUNCTION("""COMPUTED_VALUE"""),240.0)</f>
        <v>240</v>
      </c>
      <c r="AQ1033" s="14">
        <f>IFERROR(__xludf.DUMMYFUNCTION("""COMPUTED_VALUE"""),332.0)</f>
        <v>332</v>
      </c>
      <c r="AR1033" s="14">
        <f>IFERROR(__xludf.DUMMYFUNCTION("""COMPUTED_VALUE"""),135.0)</f>
        <v>135</v>
      </c>
      <c r="AS1033" s="14">
        <f>IFERROR(__xludf.DUMMYFUNCTION("""COMPUTED_VALUE"""),64.0)</f>
        <v>64</v>
      </c>
      <c r="AT1033" s="14">
        <f>IFERROR(__xludf.DUMMYFUNCTION("""COMPUTED_VALUE"""),5.83)</f>
        <v>5.83</v>
      </c>
      <c r="AU1033" s="14">
        <f>IFERROR(__xludf.DUMMYFUNCTION("""COMPUTED_VALUE"""),1.287E7)</f>
        <v>12870000</v>
      </c>
      <c r="AV1033" s="14">
        <f>IFERROR(__xludf.DUMMYFUNCTION("""COMPUTED_VALUE"""),4.64)</f>
        <v>4.64</v>
      </c>
      <c r="AW1033" s="14">
        <f>IFERROR(__xludf.DUMMYFUNCTION("""COMPUTED_VALUE"""),29.4)</f>
        <v>29.4</v>
      </c>
      <c r="AX1033" s="14">
        <f>IFERROR(__xludf.DUMMYFUNCTION("""COMPUTED_VALUE"""),7060000.0)</f>
        <v>7060000</v>
      </c>
      <c r="AY1033" s="14">
        <f>IFERROR(__xludf.DUMMYFUNCTION("""COMPUTED_VALUE"""),0.4)</f>
        <v>0.4</v>
      </c>
      <c r="AZ1033" s="14">
        <f>IFERROR(__xludf.DUMMYFUNCTION("""COMPUTED_VALUE"""),0.007)</f>
        <v>0.007</v>
      </c>
      <c r="BA1033" s="14">
        <f t="shared" si="1"/>
        <v>29.807</v>
      </c>
    </row>
    <row r="1034" ht="14.25" customHeight="1">
      <c r="A1034" s="10" t="str">
        <f>IFERROR(__xludf.DUMMYFUNCTION("""COMPUTED_VALUE"""),"230224DU01")</f>
        <v>230224DU01</v>
      </c>
      <c r="B1034" s="12" t="str">
        <f>IFERROR(__xludf.DUMMYFUNCTION("""COMPUTED_VALUE"""),"QZA-Entre Nubes")</f>
        <v>QZA-Entre Nubes</v>
      </c>
      <c r="C1034" s="12"/>
      <c r="D1034" s="12"/>
      <c r="E1034" s="44">
        <f>IFERROR(__xludf.DUMMYFUNCTION("""COMPUTED_VALUE"""),45345.0)</f>
        <v>45345</v>
      </c>
      <c r="F1034" s="12" t="str">
        <f>IFERROR(__xludf.DUMMYFUNCTION("""COMPUTED_VALUE"""),"TIPO I")</f>
        <v>TIPO I</v>
      </c>
      <c r="G1034" s="12" t="str">
        <f>IFERROR(__xludf.DUMMYFUNCTION("""COMPUTED_VALUE"""),"Lecho rocoso arenoso con pastizales en sus márgenes, se observa color, se percibe olor, hay presencia de material flotante.
Altitud: 2667 msnm.")</f>
        <v>Lecho rocoso arenoso con pastizales en sus márgenes, se observa color, se percibe olor, hay presencia de material flotante.
Altitud: 2667 msnm.</v>
      </c>
      <c r="H1034" s="45">
        <f>IFERROR(__xludf.DUMMYFUNCTION("""COMPUTED_VALUE"""),0.25)</f>
        <v>0.25</v>
      </c>
      <c r="I1034" s="45">
        <f>IFERROR(__xludf.DUMMYFUNCTION("""COMPUTED_VALUE"""),0.3333333333321207)</f>
        <v>0.3333333333</v>
      </c>
      <c r="J1034" s="12">
        <f>IFERROR(__xludf.DUMMYFUNCTION("""COMPUTED_VALUE"""),3.1)</f>
        <v>3.1</v>
      </c>
      <c r="K1034" s="12">
        <f>IFERROR(__xludf.DUMMYFUNCTION("""COMPUTED_VALUE"""),0.28)</f>
        <v>0.28</v>
      </c>
      <c r="L1034" s="14">
        <f>IFERROR(__xludf.DUMMYFUNCTION("""COMPUTED_VALUE"""),117.36)</f>
        <v>117.36</v>
      </c>
      <c r="M1034" s="14">
        <f>IFERROR(__xludf.DUMMYFUNCTION("""COMPUTED_VALUE"""),118.726)</f>
        <v>118.726</v>
      </c>
      <c r="N1034" s="14">
        <f>IFERROR(__xludf.DUMMYFUNCTION("""COMPUTED_VALUE"""),118.672)</f>
        <v>118.672</v>
      </c>
      <c r="O1034" s="14">
        <f>IFERROR(__xludf.DUMMYFUNCTION("""COMPUTED_VALUE"""),117.146)</f>
        <v>117.146</v>
      </c>
      <c r="P1034" s="14">
        <f>IFERROR(__xludf.DUMMYFUNCTION("""COMPUTED_VALUE"""),119.222)</f>
        <v>119.222</v>
      </c>
      <c r="Q1034" s="14">
        <f>IFERROR(__xludf.DUMMYFUNCTION("""COMPUTED_VALUE"""),118.226)</f>
        <v>118.226</v>
      </c>
      <c r="R1034" s="48">
        <f>IFERROR(__xludf.DUMMYFUNCTION("""COMPUTED_VALUE"""),8.19)</f>
        <v>8.19</v>
      </c>
      <c r="S1034" s="48">
        <f>IFERROR(__xludf.DUMMYFUNCTION("""COMPUTED_VALUE"""),8.29)</f>
        <v>8.29</v>
      </c>
      <c r="T1034" s="48">
        <f>IFERROR(__xludf.DUMMYFUNCTION("""COMPUTED_VALUE"""),8.36)</f>
        <v>8.36</v>
      </c>
      <c r="U1034" s="48">
        <f>IFERROR(__xludf.DUMMYFUNCTION("""COMPUTED_VALUE"""),8.39)</f>
        <v>8.39</v>
      </c>
      <c r="V1034" s="48">
        <f>IFERROR(__xludf.DUMMYFUNCTION("""COMPUTED_VALUE"""),8.34)</f>
        <v>8.34</v>
      </c>
      <c r="W1034" s="14">
        <f>IFERROR(__xludf.DUMMYFUNCTION("""COMPUTED_VALUE"""),8.313999999999998)</f>
        <v>8.314</v>
      </c>
      <c r="X1034" s="14">
        <f>IFERROR(__xludf.DUMMYFUNCTION("""COMPUTED_VALUE"""),16.2)</f>
        <v>16.2</v>
      </c>
      <c r="Y1034" s="14">
        <f>IFERROR(__xludf.DUMMYFUNCTION("""COMPUTED_VALUE"""),16.3)</f>
        <v>16.3</v>
      </c>
      <c r="Z1034" s="14">
        <f>IFERROR(__xludf.DUMMYFUNCTION("""COMPUTED_VALUE"""),16.5)</f>
        <v>16.5</v>
      </c>
      <c r="AA1034" s="14">
        <f>IFERROR(__xludf.DUMMYFUNCTION("""COMPUTED_VALUE"""),16.6)</f>
        <v>16.6</v>
      </c>
      <c r="AB1034" s="14">
        <f>IFERROR(__xludf.DUMMYFUNCTION("""COMPUTED_VALUE"""),16.5)</f>
        <v>16.5</v>
      </c>
      <c r="AC1034" s="14">
        <f>IFERROR(__xludf.DUMMYFUNCTION("""COMPUTED_VALUE"""),16.419999999999998)</f>
        <v>16.42</v>
      </c>
      <c r="AD1034" s="48">
        <f>IFERROR(__xludf.DUMMYFUNCTION("""COMPUTED_VALUE"""),636.0)</f>
        <v>636</v>
      </c>
      <c r="AE1034" s="48">
        <f>IFERROR(__xludf.DUMMYFUNCTION("""COMPUTED_VALUE"""),705.0)</f>
        <v>705</v>
      </c>
      <c r="AF1034" s="48">
        <f>IFERROR(__xludf.DUMMYFUNCTION("""COMPUTED_VALUE"""),719.0)</f>
        <v>719</v>
      </c>
      <c r="AG1034" s="48">
        <f>IFERROR(__xludf.DUMMYFUNCTION("""COMPUTED_VALUE"""),791.0)</f>
        <v>791</v>
      </c>
      <c r="AH1034" s="48">
        <f>IFERROR(__xludf.DUMMYFUNCTION("""COMPUTED_VALUE"""),796.0)</f>
        <v>796</v>
      </c>
      <c r="AI1034" s="14">
        <f>IFERROR(__xludf.DUMMYFUNCTION("""COMPUTED_VALUE"""),729.4)</f>
        <v>729.4</v>
      </c>
      <c r="AJ1034" s="14">
        <f>IFERROR(__xludf.DUMMYFUNCTION("""COMPUTED_VALUE"""),4.39)</f>
        <v>4.39</v>
      </c>
      <c r="AK1034" s="14">
        <f>IFERROR(__xludf.DUMMYFUNCTION("""COMPUTED_VALUE"""),3.76)</f>
        <v>3.76</v>
      </c>
      <c r="AL1034" s="14">
        <f>IFERROR(__xludf.DUMMYFUNCTION("""COMPUTED_VALUE"""),3.73)</f>
        <v>3.73</v>
      </c>
      <c r="AM1034" s="14">
        <f>IFERROR(__xludf.DUMMYFUNCTION("""COMPUTED_VALUE"""),3.4)</f>
        <v>3.4</v>
      </c>
      <c r="AN1034" s="14">
        <f>IFERROR(__xludf.DUMMYFUNCTION("""COMPUTED_VALUE"""),3.41)</f>
        <v>3.41</v>
      </c>
      <c r="AO1034" s="14">
        <f>IFERROR(__xludf.DUMMYFUNCTION("""COMPUTED_VALUE"""),3.7379999999999995)</f>
        <v>3.738</v>
      </c>
      <c r="AP1034" s="14">
        <f>IFERROR(__xludf.DUMMYFUNCTION("""COMPUTED_VALUE"""),255.0)</f>
        <v>255</v>
      </c>
      <c r="AQ1034" s="14">
        <f>IFERROR(__xludf.DUMMYFUNCTION("""COMPUTED_VALUE"""),364.0)</f>
        <v>364</v>
      </c>
      <c r="AR1034" s="14">
        <f>IFERROR(__xludf.DUMMYFUNCTION("""COMPUTED_VALUE"""),262.0)</f>
        <v>262</v>
      </c>
      <c r="AS1034" s="14">
        <f>IFERROR(__xludf.DUMMYFUNCTION("""COMPUTED_VALUE"""),40.0)</f>
        <v>40</v>
      </c>
      <c r="AT1034" s="14">
        <f>IFERROR(__xludf.DUMMYFUNCTION("""COMPUTED_VALUE"""),1.71)</f>
        <v>1.71</v>
      </c>
      <c r="AU1034" s="14">
        <f>IFERROR(__xludf.DUMMYFUNCTION("""COMPUTED_VALUE"""),1.732E7)</f>
        <v>17320000</v>
      </c>
      <c r="AV1034" s="14">
        <f>IFERROR(__xludf.DUMMYFUNCTION("""COMPUTED_VALUE"""),6.46)</f>
        <v>6.46</v>
      </c>
      <c r="AW1034" s="14">
        <f>IFERROR(__xludf.DUMMYFUNCTION("""COMPUTED_VALUE"""),62.7)</f>
        <v>62.7</v>
      </c>
      <c r="AX1034" s="14">
        <f>IFERROR(__xludf.DUMMYFUNCTION("""COMPUTED_VALUE"""),1.698E7)</f>
        <v>16980000</v>
      </c>
      <c r="AY1034" s="14">
        <f>IFERROR(__xludf.DUMMYFUNCTION("""COMPUTED_VALUE"""),0.4)</f>
        <v>0.4</v>
      </c>
      <c r="AZ1034" s="14">
        <f>IFERROR(__xludf.DUMMYFUNCTION("""COMPUTED_VALUE"""),0.007)</f>
        <v>0.007</v>
      </c>
      <c r="BA1034" s="14">
        <f t="shared" si="1"/>
        <v>63.107</v>
      </c>
    </row>
    <row r="1035" ht="14.25" customHeight="1">
      <c r="A1035" s="10" t="str">
        <f>IFERROR(__xludf.DUMMYFUNCTION("""COMPUTED_VALUE"""),"230224DU02")</f>
        <v>230224DU02</v>
      </c>
      <c r="B1035" s="12" t="str">
        <f>IFERROR(__xludf.DUMMYFUNCTION("""COMPUTED_VALUE"""),"QZA-Molinos")</f>
        <v>QZA-Molinos</v>
      </c>
      <c r="C1035" s="12"/>
      <c r="D1035" s="12"/>
      <c r="E1035" s="44">
        <f>IFERROR(__xludf.DUMMYFUNCTION("""COMPUTED_VALUE"""),45345.0)</f>
        <v>45345</v>
      </c>
      <c r="F1035" s="12" t="str">
        <f>IFERROR(__xludf.DUMMYFUNCTION("""COMPUTED_VALUE"""),"TIPO I")</f>
        <v>TIPO I</v>
      </c>
      <c r="G1035" s="12" t="str">
        <f>IFERROR(__xludf.DUMMYFUNCTION("""COMPUTED_VALUE"""),"Monitoreo realizado en lecho rocoso arenoso con pastizales en sus márgenes.
Durante la toma de muestra se observa color y material flotante, se percibe olor.  ")</f>
        <v>Monitoreo realizado en lecho rocoso arenoso con pastizales en sus márgenes.
Durante la toma de muestra se observa color y material flotante, se percibe olor.  </v>
      </c>
      <c r="H1035" s="45">
        <f>IFERROR(__xludf.DUMMYFUNCTION("""COMPUTED_VALUE"""),0.4166666666678793)</f>
        <v>0.4166666667</v>
      </c>
      <c r="I1035" s="45">
        <f>IFERROR(__xludf.DUMMYFUNCTION("""COMPUTED_VALUE"""),0.5)</f>
        <v>0.5</v>
      </c>
      <c r="J1035" s="12">
        <f>IFERROR(__xludf.DUMMYFUNCTION("""COMPUTED_VALUE"""),3.4)</f>
        <v>3.4</v>
      </c>
      <c r="K1035" s="12">
        <f>IFERROR(__xludf.DUMMYFUNCTION("""COMPUTED_VALUE"""),0.26)</f>
        <v>0.26</v>
      </c>
      <c r="L1035" s="14">
        <f>IFERROR(__xludf.DUMMYFUNCTION("""COMPUTED_VALUE"""),313.982)</f>
        <v>313.982</v>
      </c>
      <c r="M1035" s="14">
        <f>IFERROR(__xludf.DUMMYFUNCTION("""COMPUTED_VALUE"""),317.269)</f>
        <v>317.269</v>
      </c>
      <c r="N1035" s="14">
        <f>IFERROR(__xludf.DUMMYFUNCTION("""COMPUTED_VALUE"""),309.904)</f>
        <v>309.904</v>
      </c>
      <c r="O1035" s="14">
        <f>IFERROR(__xludf.DUMMYFUNCTION("""COMPUTED_VALUE"""),311.486)</f>
        <v>311.486</v>
      </c>
      <c r="P1035" s="14">
        <f>IFERROR(__xludf.DUMMYFUNCTION("""COMPUTED_VALUE"""),316.784)</f>
        <v>316.784</v>
      </c>
      <c r="Q1035" s="14">
        <f>IFERROR(__xludf.DUMMYFUNCTION("""COMPUTED_VALUE"""),313.885)</f>
        <v>313.885</v>
      </c>
      <c r="R1035" s="48">
        <f>IFERROR(__xludf.DUMMYFUNCTION("""COMPUTED_VALUE"""),8.09)</f>
        <v>8.09</v>
      </c>
      <c r="S1035" s="48">
        <f>IFERROR(__xludf.DUMMYFUNCTION("""COMPUTED_VALUE"""),8.02)</f>
        <v>8.02</v>
      </c>
      <c r="T1035" s="48">
        <f>IFERROR(__xludf.DUMMYFUNCTION("""COMPUTED_VALUE"""),7.96)</f>
        <v>7.96</v>
      </c>
      <c r="U1035" s="48">
        <f>IFERROR(__xludf.DUMMYFUNCTION("""COMPUTED_VALUE"""),7.96)</f>
        <v>7.96</v>
      </c>
      <c r="V1035" s="48">
        <f>IFERROR(__xludf.DUMMYFUNCTION("""COMPUTED_VALUE"""),7.93)</f>
        <v>7.93</v>
      </c>
      <c r="W1035" s="14">
        <f>IFERROR(__xludf.DUMMYFUNCTION("""COMPUTED_VALUE"""),7.992)</f>
        <v>7.992</v>
      </c>
      <c r="X1035" s="14">
        <f>IFERROR(__xludf.DUMMYFUNCTION("""COMPUTED_VALUE"""),18.9)</f>
        <v>18.9</v>
      </c>
      <c r="Y1035" s="14">
        <f>IFERROR(__xludf.DUMMYFUNCTION("""COMPUTED_VALUE"""),19.4)</f>
        <v>19.4</v>
      </c>
      <c r="Z1035" s="14">
        <f>IFERROR(__xludf.DUMMYFUNCTION("""COMPUTED_VALUE"""),19.2)</f>
        <v>19.2</v>
      </c>
      <c r="AA1035" s="14">
        <f>IFERROR(__xludf.DUMMYFUNCTION("""COMPUTED_VALUE"""),18.9)</f>
        <v>18.9</v>
      </c>
      <c r="AB1035" s="14">
        <f>IFERROR(__xludf.DUMMYFUNCTION("""COMPUTED_VALUE"""),19.2)</f>
        <v>19.2</v>
      </c>
      <c r="AC1035" s="14">
        <f>IFERROR(__xludf.DUMMYFUNCTION("""COMPUTED_VALUE"""),19.12)</f>
        <v>19.12</v>
      </c>
      <c r="AD1035" s="48">
        <f>IFERROR(__xludf.DUMMYFUNCTION("""COMPUTED_VALUE"""),733.0)</f>
        <v>733</v>
      </c>
      <c r="AE1035" s="48">
        <f>IFERROR(__xludf.DUMMYFUNCTION("""COMPUTED_VALUE"""),789.0)</f>
        <v>789</v>
      </c>
      <c r="AF1035" s="48">
        <f>IFERROR(__xludf.DUMMYFUNCTION("""COMPUTED_VALUE"""),721.0)</f>
        <v>721</v>
      </c>
      <c r="AG1035" s="48">
        <f>IFERROR(__xludf.DUMMYFUNCTION("""COMPUTED_VALUE"""),778.0)</f>
        <v>778</v>
      </c>
      <c r="AH1035" s="48">
        <f>IFERROR(__xludf.DUMMYFUNCTION("""COMPUTED_VALUE"""),772.0)</f>
        <v>772</v>
      </c>
      <c r="AI1035" s="14">
        <f>IFERROR(__xludf.DUMMYFUNCTION("""COMPUTED_VALUE"""),758.6)</f>
        <v>758.6</v>
      </c>
      <c r="AJ1035" s="14">
        <f>IFERROR(__xludf.DUMMYFUNCTION("""COMPUTED_VALUE"""),0.37)</f>
        <v>0.37</v>
      </c>
      <c r="AK1035" s="14">
        <f>IFERROR(__xludf.DUMMYFUNCTION("""COMPUTED_VALUE"""),0.55)</f>
        <v>0.55</v>
      </c>
      <c r="AL1035" s="14">
        <f>IFERROR(__xludf.DUMMYFUNCTION("""COMPUTED_VALUE"""),0.6)</f>
        <v>0.6</v>
      </c>
      <c r="AM1035" s="14">
        <f>IFERROR(__xludf.DUMMYFUNCTION("""COMPUTED_VALUE"""),0.4)</f>
        <v>0.4</v>
      </c>
      <c r="AN1035" s="14">
        <f>IFERROR(__xludf.DUMMYFUNCTION("""COMPUTED_VALUE"""),0.62)</f>
        <v>0.62</v>
      </c>
      <c r="AO1035" s="14">
        <f>IFERROR(__xludf.DUMMYFUNCTION("""COMPUTED_VALUE"""),0.508)</f>
        <v>0.508</v>
      </c>
      <c r="AP1035" s="14">
        <f>IFERROR(__xludf.DUMMYFUNCTION("""COMPUTED_VALUE"""),195.0)</f>
        <v>195</v>
      </c>
      <c r="AQ1035" s="14">
        <f>IFERROR(__xludf.DUMMYFUNCTION("""COMPUTED_VALUE"""),356.0)</f>
        <v>356</v>
      </c>
      <c r="AR1035" s="14">
        <f>IFERROR(__xludf.DUMMYFUNCTION("""COMPUTED_VALUE"""),198.0)</f>
        <v>198</v>
      </c>
      <c r="AS1035" s="14">
        <f>IFERROR(__xludf.DUMMYFUNCTION("""COMPUTED_VALUE"""),38.0)</f>
        <v>38</v>
      </c>
      <c r="AT1035" s="14">
        <f>IFERROR(__xludf.DUMMYFUNCTION("""COMPUTED_VALUE"""),2.7)</f>
        <v>2.7</v>
      </c>
      <c r="AU1035" s="14">
        <f>IFERROR(__xludf.DUMMYFUNCTION("""COMPUTED_VALUE"""),1.887E7)</f>
        <v>18870000</v>
      </c>
      <c r="AV1035" s="14">
        <f>IFERROR(__xludf.DUMMYFUNCTION("""COMPUTED_VALUE"""),8.29)</f>
        <v>8.29</v>
      </c>
      <c r="AW1035" s="14">
        <f>IFERROR(__xludf.DUMMYFUNCTION("""COMPUTED_VALUE"""),65.5)</f>
        <v>65.5</v>
      </c>
      <c r="AX1035" s="14">
        <f>IFERROR(__xludf.DUMMYFUNCTION("""COMPUTED_VALUE"""),1.767E7)</f>
        <v>17670000</v>
      </c>
      <c r="AY1035" s="14">
        <f>IFERROR(__xludf.DUMMYFUNCTION("""COMPUTED_VALUE"""),0.6)</f>
        <v>0.6</v>
      </c>
      <c r="AZ1035" s="14">
        <f>IFERROR(__xludf.DUMMYFUNCTION("""COMPUTED_VALUE"""),0.007)</f>
        <v>0.007</v>
      </c>
      <c r="BA1035" s="14">
        <f t="shared" si="1"/>
        <v>66.107</v>
      </c>
    </row>
    <row r="1036" ht="14.25" customHeight="1">
      <c r="A1036" s="10" t="str">
        <f>IFERROR(__xludf.DUMMYFUNCTION("""COMPUTED_VALUE"""),"200224FM01")</f>
        <v>200224FM01</v>
      </c>
      <c r="B1036" s="12" t="str">
        <f>IFERROR(__xludf.DUMMYFUNCTION("""COMPUTED_VALUE"""),"CMO-Cantón Norte")</f>
        <v>CMO-Cantón Norte</v>
      </c>
      <c r="C1036" s="12"/>
      <c r="D1036" s="12"/>
      <c r="E1036" s="44">
        <f>IFERROR(__xludf.DUMMYFUNCTION("""COMPUTED_VALUE"""),45342.0)</f>
        <v>45342</v>
      </c>
      <c r="F1036" s="12" t="str">
        <f>IFERROR(__xludf.DUMMYFUNCTION("""COMPUTED_VALUE"""),"TIPO I")</f>
        <v>TIPO I</v>
      </c>
      <c r="G1036" s="12" t="str">
        <f>IFERROR(__xludf.DUMMYFUNCTION("""COMPUTED_VALUE"""),"Toma de muestra en canal artificial en concreto, durante el monitoreo no se percibe olor, no se observa color.
Altitud: 2602 msnm. ")</f>
        <v>Toma de muestra en canal artificial en concreto, durante el monitoreo no se percibe olor, no se observa color.
Altitud: 2602 msnm. </v>
      </c>
      <c r="H1036" s="45">
        <f>IFERROR(__xludf.DUMMYFUNCTION("""COMPUTED_VALUE"""),0.3333333333321207)</f>
        <v>0.3333333333</v>
      </c>
      <c r="I1036" s="45">
        <f>IFERROR(__xludf.DUMMYFUNCTION("""COMPUTED_VALUE"""),0.4166666666678793)</f>
        <v>0.4166666667</v>
      </c>
      <c r="J1036" s="12">
        <f>IFERROR(__xludf.DUMMYFUNCTION("""COMPUTED_VALUE"""),1.3)</f>
        <v>1.3</v>
      </c>
      <c r="K1036" s="12">
        <f>IFERROR(__xludf.DUMMYFUNCTION("""COMPUTED_VALUE"""),0.12)</f>
        <v>0.12</v>
      </c>
      <c r="L1036" s="14">
        <f>IFERROR(__xludf.DUMMYFUNCTION("""COMPUTED_VALUE"""),60.171)</f>
        <v>60.171</v>
      </c>
      <c r="M1036" s="14">
        <f>IFERROR(__xludf.DUMMYFUNCTION("""COMPUTED_VALUE"""),60.84)</f>
        <v>60.84</v>
      </c>
      <c r="N1036" s="14">
        <f>IFERROR(__xludf.DUMMYFUNCTION("""COMPUTED_VALUE"""),61.141)</f>
        <v>61.141</v>
      </c>
      <c r="O1036" s="14">
        <f>IFERROR(__xludf.DUMMYFUNCTION("""COMPUTED_VALUE"""),61.153)</f>
        <v>61.153</v>
      </c>
      <c r="P1036" s="14">
        <f>IFERROR(__xludf.DUMMYFUNCTION("""COMPUTED_VALUE"""),61.051)</f>
        <v>61.051</v>
      </c>
      <c r="Q1036" s="14">
        <f>IFERROR(__xludf.DUMMYFUNCTION("""COMPUTED_VALUE"""),60.871)</f>
        <v>60.871</v>
      </c>
      <c r="R1036" s="48">
        <f>IFERROR(__xludf.DUMMYFUNCTION("""COMPUTED_VALUE"""),7.61)</f>
        <v>7.61</v>
      </c>
      <c r="S1036" s="48">
        <f>IFERROR(__xludf.DUMMYFUNCTION("""COMPUTED_VALUE"""),7.34)</f>
        <v>7.34</v>
      </c>
      <c r="T1036" s="48">
        <f>IFERROR(__xludf.DUMMYFUNCTION("""COMPUTED_VALUE"""),7.26)</f>
        <v>7.26</v>
      </c>
      <c r="U1036" s="48">
        <f>IFERROR(__xludf.DUMMYFUNCTION("""COMPUTED_VALUE"""),7.22)</f>
        <v>7.22</v>
      </c>
      <c r="V1036" s="48">
        <f>IFERROR(__xludf.DUMMYFUNCTION("""COMPUTED_VALUE"""),7.23)</f>
        <v>7.23</v>
      </c>
      <c r="W1036" s="14">
        <f>IFERROR(__xludf.DUMMYFUNCTION("""COMPUTED_VALUE"""),7.331999999999999)</f>
        <v>7.332</v>
      </c>
      <c r="X1036" s="14">
        <f>IFERROR(__xludf.DUMMYFUNCTION("""COMPUTED_VALUE"""),14.5)</f>
        <v>14.5</v>
      </c>
      <c r="Y1036" s="14">
        <f>IFERROR(__xludf.DUMMYFUNCTION("""COMPUTED_VALUE"""),14.5)</f>
        <v>14.5</v>
      </c>
      <c r="Z1036" s="14">
        <f>IFERROR(__xludf.DUMMYFUNCTION("""COMPUTED_VALUE"""),14.6)</f>
        <v>14.6</v>
      </c>
      <c r="AA1036" s="14">
        <f>IFERROR(__xludf.DUMMYFUNCTION("""COMPUTED_VALUE"""),15.0)</f>
        <v>15</v>
      </c>
      <c r="AB1036" s="14">
        <f>IFERROR(__xludf.DUMMYFUNCTION("""COMPUTED_VALUE"""),15.3)</f>
        <v>15.3</v>
      </c>
      <c r="AC1036" s="14">
        <f>IFERROR(__xludf.DUMMYFUNCTION("""COMPUTED_VALUE"""),14.780000000000001)</f>
        <v>14.78</v>
      </c>
      <c r="AD1036" s="48">
        <f>IFERROR(__xludf.DUMMYFUNCTION("""COMPUTED_VALUE"""),361.0)</f>
        <v>361</v>
      </c>
      <c r="AE1036" s="48">
        <f>IFERROR(__xludf.DUMMYFUNCTION("""COMPUTED_VALUE"""),360.0)</f>
        <v>360</v>
      </c>
      <c r="AF1036" s="48">
        <f>IFERROR(__xludf.DUMMYFUNCTION("""COMPUTED_VALUE"""),343.0)</f>
        <v>343</v>
      </c>
      <c r="AG1036" s="48">
        <f>IFERROR(__xludf.DUMMYFUNCTION("""COMPUTED_VALUE"""),352.0)</f>
        <v>352</v>
      </c>
      <c r="AH1036" s="48">
        <f>IFERROR(__xludf.DUMMYFUNCTION("""COMPUTED_VALUE"""),353.0)</f>
        <v>353</v>
      </c>
      <c r="AI1036" s="14">
        <f>IFERROR(__xludf.DUMMYFUNCTION("""COMPUTED_VALUE"""),353.8)</f>
        <v>353.8</v>
      </c>
      <c r="AJ1036" s="14">
        <f>IFERROR(__xludf.DUMMYFUNCTION("""COMPUTED_VALUE"""),5.5)</f>
        <v>5.5</v>
      </c>
      <c r="AK1036" s="14">
        <f>IFERROR(__xludf.DUMMYFUNCTION("""COMPUTED_VALUE"""),5.8)</f>
        <v>5.8</v>
      </c>
      <c r="AL1036" s="14">
        <f>IFERROR(__xludf.DUMMYFUNCTION("""COMPUTED_VALUE"""),5.6)</f>
        <v>5.6</v>
      </c>
      <c r="AM1036" s="14">
        <f>IFERROR(__xludf.DUMMYFUNCTION("""COMPUTED_VALUE"""),5.3)</f>
        <v>5.3</v>
      </c>
      <c r="AN1036" s="14">
        <f>IFERROR(__xludf.DUMMYFUNCTION("""COMPUTED_VALUE"""),5.5)</f>
        <v>5.5</v>
      </c>
      <c r="AO1036" s="14">
        <f>IFERROR(__xludf.DUMMYFUNCTION("""COMPUTED_VALUE"""),5.54)</f>
        <v>5.54</v>
      </c>
      <c r="AP1036" s="14">
        <f>IFERROR(__xludf.DUMMYFUNCTION("""COMPUTED_VALUE"""),14.0)</f>
        <v>14</v>
      </c>
      <c r="AQ1036" s="14">
        <f>IFERROR(__xludf.DUMMYFUNCTION("""COMPUTED_VALUE"""),44.0)</f>
        <v>44</v>
      </c>
      <c r="AR1036" s="14">
        <f>IFERROR(__xludf.DUMMYFUNCTION("""COMPUTED_VALUE"""),12.0)</f>
        <v>12</v>
      </c>
      <c r="AS1036" s="14">
        <f>IFERROR(__xludf.DUMMYFUNCTION("""COMPUTED_VALUE"""),1.0)</f>
        <v>1</v>
      </c>
      <c r="AT1036" s="14">
        <f>IFERROR(__xludf.DUMMYFUNCTION("""COMPUTED_VALUE"""),0.19)</f>
        <v>0.19</v>
      </c>
      <c r="AU1036" s="14">
        <f>IFERROR(__xludf.DUMMYFUNCTION("""COMPUTED_VALUE"""),142100.0)</f>
        <v>142100</v>
      </c>
      <c r="AV1036" s="14">
        <f>IFERROR(__xludf.DUMMYFUNCTION("""COMPUTED_VALUE"""),2.11)</f>
        <v>2.11</v>
      </c>
      <c r="AW1036" s="14">
        <f>IFERROR(__xludf.DUMMYFUNCTION("""COMPUTED_VALUE"""),9.8)</f>
        <v>9.8</v>
      </c>
      <c r="AX1036" s="14">
        <f>IFERROR(__xludf.DUMMYFUNCTION("""COMPUTED_VALUE"""),125900.0)</f>
        <v>125900</v>
      </c>
      <c r="AY1036" s="14">
        <f>IFERROR(__xludf.DUMMYFUNCTION("""COMPUTED_VALUE"""),0.9)</f>
        <v>0.9</v>
      </c>
      <c r="AZ1036" s="14">
        <f>IFERROR(__xludf.DUMMYFUNCTION("""COMPUTED_VALUE"""),0.161)</f>
        <v>0.161</v>
      </c>
      <c r="BA1036" s="14">
        <f t="shared" si="1"/>
        <v>10.861</v>
      </c>
    </row>
    <row r="1037" ht="14.25" customHeight="1">
      <c r="A1037" s="10" t="str">
        <f>IFERROR(__xludf.DUMMYFUNCTION("""COMPUTED_VALUE"""),"210224DA03")</f>
        <v>210224DA03</v>
      </c>
      <c r="B1037" s="12" t="str">
        <f>IFERROR(__xludf.DUMMYFUNCTION("""COMPUTED_VALUE"""),"COR-Humedal Córdoba")</f>
        <v>COR-Humedal Córdoba</v>
      </c>
      <c r="C1037" s="12"/>
      <c r="D1037" s="12"/>
      <c r="E1037" s="44">
        <f>IFERROR(__xludf.DUMMYFUNCTION("""COMPUTED_VALUE"""),45343.0)</f>
        <v>45343</v>
      </c>
      <c r="F1037" s="12" t="str">
        <f>IFERROR(__xludf.DUMMYFUNCTION("""COMPUTED_VALUE"""),"TIPO I")</f>
        <v>TIPO I</v>
      </c>
      <c r="G1037" s="12" t="str">
        <f>IFERROR(__xludf.DUMMYFUNCTION("""COMPUTED_VALUE"""),"Durante el monitoreo se percibe olor, se observa color y material flotante.
Altitud: 2576 msnm. ")</f>
        <v>Durante el monitoreo se percibe olor, se observa color y material flotante.
Altitud: 2576 msnm. </v>
      </c>
      <c r="H1037" s="45">
        <f>IFERROR(__xludf.DUMMYFUNCTION("""COMPUTED_VALUE"""),0.6666666666678793)</f>
        <v>0.6666666667</v>
      </c>
      <c r="I1037" s="45">
        <f>IFERROR(__xludf.DUMMYFUNCTION("""COMPUTED_VALUE"""),0.75)</f>
        <v>0.75</v>
      </c>
      <c r="J1037" s="12">
        <f>IFERROR(__xludf.DUMMYFUNCTION("""COMPUTED_VALUE"""),7.1)</f>
        <v>7.1</v>
      </c>
      <c r="K1037" s="12">
        <f>IFERROR(__xludf.DUMMYFUNCTION("""COMPUTED_VALUE"""),0.46)</f>
        <v>0.46</v>
      </c>
      <c r="L1037" s="14">
        <f>IFERROR(__xludf.DUMMYFUNCTION("""COMPUTED_VALUE"""),631.625)</f>
        <v>631.625</v>
      </c>
      <c r="M1037" s="14">
        <f>IFERROR(__xludf.DUMMYFUNCTION("""COMPUTED_VALUE"""),631.343)</f>
        <v>631.343</v>
      </c>
      <c r="N1037" s="14">
        <f>IFERROR(__xludf.DUMMYFUNCTION("""COMPUTED_VALUE"""),632.616)</f>
        <v>632.616</v>
      </c>
      <c r="O1037" s="14">
        <f>IFERROR(__xludf.DUMMYFUNCTION("""COMPUTED_VALUE"""),639.233)</f>
        <v>639.233</v>
      </c>
      <c r="P1037" s="14">
        <f>IFERROR(__xludf.DUMMYFUNCTION("""COMPUTED_VALUE"""),635.988)</f>
        <v>635.988</v>
      </c>
      <c r="Q1037" s="14">
        <f>IFERROR(__xludf.DUMMYFUNCTION("""COMPUTED_VALUE"""),634.161)</f>
        <v>634.161</v>
      </c>
      <c r="R1037" s="48">
        <f>IFERROR(__xludf.DUMMYFUNCTION("""COMPUTED_VALUE"""),6.93)</f>
        <v>6.93</v>
      </c>
      <c r="S1037" s="48">
        <f>IFERROR(__xludf.DUMMYFUNCTION("""COMPUTED_VALUE"""),6.73)</f>
        <v>6.73</v>
      </c>
      <c r="T1037" s="48">
        <f>IFERROR(__xludf.DUMMYFUNCTION("""COMPUTED_VALUE"""),6.8)</f>
        <v>6.8</v>
      </c>
      <c r="U1037" s="48">
        <f>IFERROR(__xludf.DUMMYFUNCTION("""COMPUTED_VALUE"""),6.69)</f>
        <v>6.69</v>
      </c>
      <c r="V1037" s="48">
        <f>IFERROR(__xludf.DUMMYFUNCTION("""COMPUTED_VALUE"""),6.6)</f>
        <v>6.6</v>
      </c>
      <c r="W1037" s="14">
        <f>IFERROR(__xludf.DUMMYFUNCTION("""COMPUTED_VALUE"""),6.75)</f>
        <v>6.75</v>
      </c>
      <c r="X1037" s="14">
        <f>IFERROR(__xludf.DUMMYFUNCTION("""COMPUTED_VALUE"""),22.9)</f>
        <v>22.9</v>
      </c>
      <c r="Y1037" s="14">
        <f>IFERROR(__xludf.DUMMYFUNCTION("""COMPUTED_VALUE"""),22.4)</f>
        <v>22.4</v>
      </c>
      <c r="Z1037" s="14">
        <f>IFERROR(__xludf.DUMMYFUNCTION("""COMPUTED_VALUE"""),21.9)</f>
        <v>21.9</v>
      </c>
      <c r="AA1037" s="14">
        <f>IFERROR(__xludf.DUMMYFUNCTION("""COMPUTED_VALUE"""),21.4)</f>
        <v>21.4</v>
      </c>
      <c r="AB1037" s="14">
        <f>IFERROR(__xludf.DUMMYFUNCTION("""COMPUTED_VALUE"""),21.2)</f>
        <v>21.2</v>
      </c>
      <c r="AC1037" s="14">
        <f>IFERROR(__xludf.DUMMYFUNCTION("""COMPUTED_VALUE"""),21.96)</f>
        <v>21.96</v>
      </c>
      <c r="AD1037" s="48">
        <f>IFERROR(__xludf.DUMMYFUNCTION("""COMPUTED_VALUE"""),468.0)</f>
        <v>468</v>
      </c>
      <c r="AE1037" s="48">
        <f>IFERROR(__xludf.DUMMYFUNCTION("""COMPUTED_VALUE"""),476.0)</f>
        <v>476</v>
      </c>
      <c r="AF1037" s="48">
        <f>IFERROR(__xludf.DUMMYFUNCTION("""COMPUTED_VALUE"""),461.0)</f>
        <v>461</v>
      </c>
      <c r="AG1037" s="48">
        <f>IFERROR(__xludf.DUMMYFUNCTION("""COMPUTED_VALUE"""),484.0)</f>
        <v>484</v>
      </c>
      <c r="AH1037" s="48">
        <f>IFERROR(__xludf.DUMMYFUNCTION("""COMPUTED_VALUE"""),452.0)</f>
        <v>452</v>
      </c>
      <c r="AI1037" s="14">
        <f>IFERROR(__xludf.DUMMYFUNCTION("""COMPUTED_VALUE"""),468.2)</f>
        <v>468.2</v>
      </c>
      <c r="AJ1037" s="14">
        <f>IFERROR(__xludf.DUMMYFUNCTION("""COMPUTED_VALUE"""),1.4)</f>
        <v>1.4</v>
      </c>
      <c r="AK1037" s="14">
        <f>IFERROR(__xludf.DUMMYFUNCTION("""COMPUTED_VALUE"""),1.5)</f>
        <v>1.5</v>
      </c>
      <c r="AL1037" s="14">
        <f>IFERROR(__xludf.DUMMYFUNCTION("""COMPUTED_VALUE"""),1.9)</f>
        <v>1.9</v>
      </c>
      <c r="AM1037" s="14">
        <f>IFERROR(__xludf.DUMMYFUNCTION("""COMPUTED_VALUE"""),2.0)</f>
        <v>2</v>
      </c>
      <c r="AN1037" s="14">
        <f>IFERROR(__xludf.DUMMYFUNCTION("""COMPUTED_VALUE"""),1.6)</f>
        <v>1.6</v>
      </c>
      <c r="AO1037" s="14">
        <f>IFERROR(__xludf.DUMMYFUNCTION("""COMPUTED_VALUE"""),1.6800000000000002)</f>
        <v>1.68</v>
      </c>
      <c r="AP1037" s="14">
        <f>IFERROR(__xludf.DUMMYFUNCTION("""COMPUTED_VALUE"""),76.0)</f>
        <v>76</v>
      </c>
      <c r="AQ1037" s="14">
        <f>IFERROR(__xludf.DUMMYFUNCTION("""COMPUTED_VALUE"""),116.0)</f>
        <v>116</v>
      </c>
      <c r="AR1037" s="14">
        <f>IFERROR(__xludf.DUMMYFUNCTION("""COMPUTED_VALUE"""),76.0)</f>
        <v>76</v>
      </c>
      <c r="AS1037" s="14">
        <f>IFERROR(__xludf.DUMMYFUNCTION("""COMPUTED_VALUE"""),19.0)</f>
        <v>19</v>
      </c>
      <c r="AT1037" s="14">
        <f>IFERROR(__xludf.DUMMYFUNCTION("""COMPUTED_VALUE"""),2.08)</f>
        <v>2.08</v>
      </c>
      <c r="AU1037" s="14">
        <f>IFERROR(__xludf.DUMMYFUNCTION("""COMPUTED_VALUE"""),878000.0)</f>
        <v>878000</v>
      </c>
      <c r="AV1037" s="14">
        <f>IFERROR(__xludf.DUMMYFUNCTION("""COMPUTED_VALUE"""),2.62)</f>
        <v>2.62</v>
      </c>
      <c r="AW1037" s="14">
        <f>IFERROR(__xludf.DUMMYFUNCTION("""COMPUTED_VALUE"""),33.0)</f>
        <v>33</v>
      </c>
      <c r="AX1037" s="14">
        <f>IFERROR(__xludf.DUMMYFUNCTION("""COMPUTED_VALUE"""),4260.0)</f>
        <v>4260</v>
      </c>
      <c r="AY1037" s="14">
        <f>IFERROR(__xludf.DUMMYFUNCTION("""COMPUTED_VALUE"""),0.2)</f>
        <v>0.2</v>
      </c>
      <c r="AZ1037" s="14">
        <f>IFERROR(__xludf.DUMMYFUNCTION("""COMPUTED_VALUE"""),0.007)</f>
        <v>0.007</v>
      </c>
      <c r="BA1037" s="14">
        <f t="shared" si="1"/>
        <v>33.207</v>
      </c>
    </row>
    <row r="1038" ht="14.25" customHeight="1">
      <c r="A1038" s="10" t="str">
        <f>IFERROR(__xludf.DUMMYFUNCTION("""COMPUTED_VALUE"""),"230224SA01")</f>
        <v>230224SA01</v>
      </c>
      <c r="B1038" s="12" t="str">
        <f>IFERROR(__xludf.DUMMYFUNCTION("""COMPUTED_VALUE"""),"QZA-Quindío")</f>
        <v>QZA-Quindío</v>
      </c>
      <c r="C1038" s="12"/>
      <c r="D1038" s="12"/>
      <c r="E1038" s="44">
        <f>IFERROR(__xludf.DUMMYFUNCTION("""COMPUTED_VALUE"""),45345.0)</f>
        <v>45345</v>
      </c>
      <c r="F1038" s="12" t="str">
        <f>IFERROR(__xludf.DUMMYFUNCTION("""COMPUTED_VALUE"""),"TIPO I")</f>
        <v>TIPO I</v>
      </c>
      <c r="G1038" s="12" t="str">
        <f>IFERROR(__xludf.DUMMYFUNCTION("""COMPUTED_VALUE"""),"Lecho rocoso, durante el monitoreo no se observa color no se percibe olor, se observan residuos sólidos en la quebrada. 
Altitud: 2887 msnm.  ")</f>
        <v>Lecho rocoso, durante el monitoreo no se observa color no se percibe olor, se observan residuos sólidos en la quebrada. 
Altitud: 2887 msnm.  </v>
      </c>
      <c r="H1038" s="45">
        <f>IFERROR(__xludf.DUMMYFUNCTION("""COMPUTED_VALUE"""),0.25)</f>
        <v>0.25</v>
      </c>
      <c r="I1038" s="45">
        <f>IFERROR(__xludf.DUMMYFUNCTION("""COMPUTED_VALUE"""),0.3333333333321207)</f>
        <v>0.3333333333</v>
      </c>
      <c r="J1038" s="12">
        <f>IFERROR(__xludf.DUMMYFUNCTION("""COMPUTED_VALUE"""),0.55)</f>
        <v>0.55</v>
      </c>
      <c r="K1038" s="12">
        <f>IFERROR(__xludf.DUMMYFUNCTION("""COMPUTED_VALUE"""),0.14)</f>
        <v>0.14</v>
      </c>
      <c r="L1038" s="14">
        <f>IFERROR(__xludf.DUMMYFUNCTION("""COMPUTED_VALUE"""),2.889)</f>
        <v>2.889</v>
      </c>
      <c r="M1038" s="14">
        <f>IFERROR(__xludf.DUMMYFUNCTION("""COMPUTED_VALUE"""),3.0)</f>
        <v>3</v>
      </c>
      <c r="N1038" s="14">
        <f>IFERROR(__xludf.DUMMYFUNCTION("""COMPUTED_VALUE"""),3.06)</f>
        <v>3.06</v>
      </c>
      <c r="O1038" s="14">
        <f>IFERROR(__xludf.DUMMYFUNCTION("""COMPUTED_VALUE"""),3.136)</f>
        <v>3.136</v>
      </c>
      <c r="P1038" s="14">
        <f>IFERROR(__xludf.DUMMYFUNCTION("""COMPUTED_VALUE"""),3.004)</f>
        <v>3.004</v>
      </c>
      <c r="Q1038" s="14">
        <f>IFERROR(__xludf.DUMMYFUNCTION("""COMPUTED_VALUE"""),3.018)</f>
        <v>3.018</v>
      </c>
      <c r="R1038" s="48">
        <f>IFERROR(__xludf.DUMMYFUNCTION("""COMPUTED_VALUE"""),7.08)</f>
        <v>7.08</v>
      </c>
      <c r="S1038" s="48">
        <f>IFERROR(__xludf.DUMMYFUNCTION("""COMPUTED_VALUE"""),6.8)</f>
        <v>6.8</v>
      </c>
      <c r="T1038" s="48">
        <f>IFERROR(__xludf.DUMMYFUNCTION("""COMPUTED_VALUE"""),6.89)</f>
        <v>6.89</v>
      </c>
      <c r="U1038" s="48">
        <f>IFERROR(__xludf.DUMMYFUNCTION("""COMPUTED_VALUE"""),6.86)</f>
        <v>6.86</v>
      </c>
      <c r="V1038" s="48">
        <f>IFERROR(__xludf.DUMMYFUNCTION("""COMPUTED_VALUE"""),6.92)</f>
        <v>6.92</v>
      </c>
      <c r="W1038" s="14">
        <f>IFERROR(__xludf.DUMMYFUNCTION("""COMPUTED_VALUE"""),6.909999999999999)</f>
        <v>6.91</v>
      </c>
      <c r="X1038" s="14">
        <f>IFERROR(__xludf.DUMMYFUNCTION("""COMPUTED_VALUE"""),12.8)</f>
        <v>12.8</v>
      </c>
      <c r="Y1038" s="14">
        <f>IFERROR(__xludf.DUMMYFUNCTION("""COMPUTED_VALUE"""),12.8)</f>
        <v>12.8</v>
      </c>
      <c r="Z1038" s="14">
        <f>IFERROR(__xludf.DUMMYFUNCTION("""COMPUTED_VALUE"""),12.4)</f>
        <v>12.4</v>
      </c>
      <c r="AA1038" s="14">
        <f>IFERROR(__xludf.DUMMYFUNCTION("""COMPUTED_VALUE"""),12.1)</f>
        <v>12.1</v>
      </c>
      <c r="AB1038" s="14">
        <f>IFERROR(__xludf.DUMMYFUNCTION("""COMPUTED_VALUE"""),12.4)</f>
        <v>12.4</v>
      </c>
      <c r="AC1038" s="14">
        <f>IFERROR(__xludf.DUMMYFUNCTION("""COMPUTED_VALUE"""),12.5)</f>
        <v>12.5</v>
      </c>
      <c r="AD1038" s="48">
        <f>IFERROR(__xludf.DUMMYFUNCTION("""COMPUTED_VALUE"""),87.2)</f>
        <v>87.2</v>
      </c>
      <c r="AE1038" s="48">
        <f>IFERROR(__xludf.DUMMYFUNCTION("""COMPUTED_VALUE"""),92.2)</f>
        <v>92.2</v>
      </c>
      <c r="AF1038" s="48">
        <f>IFERROR(__xludf.DUMMYFUNCTION("""COMPUTED_VALUE"""),101.0)</f>
        <v>101</v>
      </c>
      <c r="AG1038" s="48">
        <f>IFERROR(__xludf.DUMMYFUNCTION("""COMPUTED_VALUE"""),82.2)</f>
        <v>82.2</v>
      </c>
      <c r="AH1038" s="48">
        <f>IFERROR(__xludf.DUMMYFUNCTION("""COMPUTED_VALUE"""),82.1)</f>
        <v>82.1</v>
      </c>
      <c r="AI1038" s="14">
        <f>IFERROR(__xludf.DUMMYFUNCTION("""COMPUTED_VALUE"""),88.93999999999998)</f>
        <v>88.94</v>
      </c>
      <c r="AJ1038" s="14">
        <f>IFERROR(__xludf.DUMMYFUNCTION("""COMPUTED_VALUE"""),5.61)</f>
        <v>5.61</v>
      </c>
      <c r="AK1038" s="14">
        <f>IFERROR(__xludf.DUMMYFUNCTION("""COMPUTED_VALUE"""),5.62)</f>
        <v>5.62</v>
      </c>
      <c r="AL1038" s="14">
        <f>IFERROR(__xludf.DUMMYFUNCTION("""COMPUTED_VALUE"""),5.54)</f>
        <v>5.54</v>
      </c>
      <c r="AM1038" s="14">
        <f>IFERROR(__xludf.DUMMYFUNCTION("""COMPUTED_VALUE"""),5.31)</f>
        <v>5.31</v>
      </c>
      <c r="AN1038" s="14">
        <f>IFERROR(__xludf.DUMMYFUNCTION("""COMPUTED_VALUE"""),5.54)</f>
        <v>5.54</v>
      </c>
      <c r="AO1038" s="14">
        <f>IFERROR(__xludf.DUMMYFUNCTION("""COMPUTED_VALUE"""),5.523999999999999)</f>
        <v>5.524</v>
      </c>
      <c r="AP1038" s="14">
        <f>IFERROR(__xludf.DUMMYFUNCTION("""COMPUTED_VALUE"""),3.0)</f>
        <v>3</v>
      </c>
      <c r="AQ1038" s="14">
        <f>IFERROR(__xludf.DUMMYFUNCTION("""COMPUTED_VALUE"""),8.0)</f>
        <v>8</v>
      </c>
      <c r="AR1038" s="14">
        <f>IFERROR(__xludf.DUMMYFUNCTION("""COMPUTED_VALUE"""),28.0)</f>
        <v>28</v>
      </c>
      <c r="AS1038" s="14">
        <f>IFERROR(__xludf.DUMMYFUNCTION("""COMPUTED_VALUE"""),1.0)</f>
        <v>1</v>
      </c>
      <c r="AT1038" s="14">
        <f>IFERROR(__xludf.DUMMYFUNCTION("""COMPUTED_VALUE"""),0.07)</f>
        <v>0.07</v>
      </c>
      <c r="AU1038" s="14">
        <f>IFERROR(__xludf.DUMMYFUNCTION("""COMPUTED_VALUE"""),18940.0)</f>
        <v>18940</v>
      </c>
      <c r="AV1038" s="14">
        <f>IFERROR(__xludf.DUMMYFUNCTION("""COMPUTED_VALUE"""),0.1)</f>
        <v>0.1</v>
      </c>
      <c r="AW1038" s="14">
        <f>IFERROR(__xludf.DUMMYFUNCTION("""COMPUTED_VALUE"""),1.0)</f>
        <v>1</v>
      </c>
      <c r="AX1038" s="14">
        <f>IFERROR(__xludf.DUMMYFUNCTION("""COMPUTED_VALUE"""),17310.0)</f>
        <v>17310</v>
      </c>
      <c r="AY1038" s="14">
        <f>IFERROR(__xludf.DUMMYFUNCTION("""COMPUTED_VALUE"""),1.4)</f>
        <v>1.4</v>
      </c>
      <c r="AZ1038" s="14">
        <f>IFERROR(__xludf.DUMMYFUNCTION("""COMPUTED_VALUE"""),0.01)</f>
        <v>0.01</v>
      </c>
      <c r="BA1038" s="14">
        <f t="shared" si="1"/>
        <v>2.41</v>
      </c>
    </row>
    <row r="1039" ht="14.25" customHeight="1">
      <c r="A1039" s="10" t="str">
        <f>IFERROR(__xludf.DUMMYFUNCTION("""COMPUTED_VALUE"""),"290224FM01")</f>
        <v>290224FM01</v>
      </c>
      <c r="B1039" s="12" t="str">
        <f>IFERROR(__xludf.DUMMYFUNCTION("""COMPUTED_VALUE"""),"QSL-Alfonso López")</f>
        <v>QSL-Alfonso López</v>
      </c>
      <c r="C1039" s="12"/>
      <c r="D1039" s="12"/>
      <c r="E1039" s="44">
        <f>IFERROR(__xludf.DUMMYFUNCTION("""COMPUTED_VALUE"""),45351.0)</f>
        <v>45351</v>
      </c>
      <c r="F1039" s="12" t="str">
        <f>IFERROR(__xludf.DUMMYFUNCTION("""COMPUTED_VALUE"""),"TIPO I")</f>
        <v>TIPO I</v>
      </c>
      <c r="G1039" s="12" t="str">
        <f>IFERROR(__xludf.DUMMYFUNCTION("""COMPUTED_VALUE"""),"Durante el monitoreo se percibe olor, se observa color y materia flotante en las márgenes del canal. 
Altitud: 2774 msnm. ")</f>
        <v>Durante el monitoreo se percibe olor, se observa color y materia flotante en las márgenes del canal. 
Altitud: 2774 msnm. </v>
      </c>
      <c r="H1039" s="45">
        <f>IFERROR(__xludf.DUMMYFUNCTION("""COMPUTED_VALUE"""),0.25)</f>
        <v>0.25</v>
      </c>
      <c r="I1039" s="45">
        <f>IFERROR(__xludf.DUMMYFUNCTION("""COMPUTED_VALUE"""),0.3333333333321207)</f>
        <v>0.3333333333</v>
      </c>
      <c r="J1039" s="12">
        <f>IFERROR(__xludf.DUMMYFUNCTION("""COMPUTED_VALUE"""),1.1)</f>
        <v>1.1</v>
      </c>
      <c r="K1039" s="12">
        <f>IFERROR(__xludf.DUMMYFUNCTION("""COMPUTED_VALUE"""),0.08)</f>
        <v>0.08</v>
      </c>
      <c r="L1039" s="14">
        <f>IFERROR(__xludf.DUMMYFUNCTION("""COMPUTED_VALUE"""),7.074)</f>
        <v>7.074</v>
      </c>
      <c r="M1039" s="14">
        <f>IFERROR(__xludf.DUMMYFUNCTION("""COMPUTED_VALUE"""),7.27)</f>
        <v>7.27</v>
      </c>
      <c r="N1039" s="14">
        <f>IFERROR(__xludf.DUMMYFUNCTION("""COMPUTED_VALUE"""),7.269)</f>
        <v>7.269</v>
      </c>
      <c r="O1039" s="14">
        <f>IFERROR(__xludf.DUMMYFUNCTION("""COMPUTED_VALUE"""),7.338)</f>
        <v>7.338</v>
      </c>
      <c r="P1039" s="14">
        <f>IFERROR(__xludf.DUMMYFUNCTION("""COMPUTED_VALUE"""),7.294)</f>
        <v>7.294</v>
      </c>
      <c r="Q1039" s="14">
        <f>IFERROR(__xludf.DUMMYFUNCTION("""COMPUTED_VALUE"""),7.249)</f>
        <v>7.249</v>
      </c>
      <c r="R1039" s="48">
        <f>IFERROR(__xludf.DUMMYFUNCTION("""COMPUTED_VALUE"""),8.17)</f>
        <v>8.17</v>
      </c>
      <c r="S1039" s="48">
        <f>IFERROR(__xludf.DUMMYFUNCTION("""COMPUTED_VALUE"""),8.18)</f>
        <v>8.18</v>
      </c>
      <c r="T1039" s="48">
        <f>IFERROR(__xludf.DUMMYFUNCTION("""COMPUTED_VALUE"""),8.14)</f>
        <v>8.14</v>
      </c>
      <c r="U1039" s="48">
        <f>IFERROR(__xludf.DUMMYFUNCTION("""COMPUTED_VALUE"""),8.26)</f>
        <v>8.26</v>
      </c>
      <c r="V1039" s="48">
        <f>IFERROR(__xludf.DUMMYFUNCTION("""COMPUTED_VALUE"""),8.19)</f>
        <v>8.19</v>
      </c>
      <c r="W1039" s="14">
        <f>IFERROR(__xludf.DUMMYFUNCTION("""COMPUTED_VALUE"""),8.187999999999999)</f>
        <v>8.188</v>
      </c>
      <c r="X1039" s="14">
        <f>IFERROR(__xludf.DUMMYFUNCTION("""COMPUTED_VALUE"""),13.7)</f>
        <v>13.7</v>
      </c>
      <c r="Y1039" s="14">
        <f>IFERROR(__xludf.DUMMYFUNCTION("""COMPUTED_VALUE"""),13.6)</f>
        <v>13.6</v>
      </c>
      <c r="Z1039" s="14">
        <f>IFERROR(__xludf.DUMMYFUNCTION("""COMPUTED_VALUE"""),13.6)</f>
        <v>13.6</v>
      </c>
      <c r="AA1039" s="14">
        <f>IFERROR(__xludf.DUMMYFUNCTION("""COMPUTED_VALUE"""),13.7)</f>
        <v>13.7</v>
      </c>
      <c r="AB1039" s="14">
        <f>IFERROR(__xludf.DUMMYFUNCTION("""COMPUTED_VALUE"""),13.7)</f>
        <v>13.7</v>
      </c>
      <c r="AC1039" s="14">
        <f>IFERROR(__xludf.DUMMYFUNCTION("""COMPUTED_VALUE"""),13.66)</f>
        <v>13.66</v>
      </c>
      <c r="AD1039" s="48">
        <f>IFERROR(__xludf.DUMMYFUNCTION("""COMPUTED_VALUE"""),315.0)</f>
        <v>315</v>
      </c>
      <c r="AE1039" s="48">
        <f>IFERROR(__xludf.DUMMYFUNCTION("""COMPUTED_VALUE"""),309.0)</f>
        <v>309</v>
      </c>
      <c r="AF1039" s="48">
        <f>IFERROR(__xludf.DUMMYFUNCTION("""COMPUTED_VALUE"""),313.0)</f>
        <v>313</v>
      </c>
      <c r="AG1039" s="48">
        <f>IFERROR(__xludf.DUMMYFUNCTION("""COMPUTED_VALUE"""),302.0)</f>
        <v>302</v>
      </c>
      <c r="AH1039" s="48">
        <f>IFERROR(__xludf.DUMMYFUNCTION("""COMPUTED_VALUE"""),283.0)</f>
        <v>283</v>
      </c>
      <c r="AI1039" s="14">
        <f>IFERROR(__xludf.DUMMYFUNCTION("""COMPUTED_VALUE"""),304.4)</f>
        <v>304.4</v>
      </c>
      <c r="AJ1039" s="14">
        <f>IFERROR(__xludf.DUMMYFUNCTION("""COMPUTED_VALUE"""),5.82)</f>
        <v>5.82</v>
      </c>
      <c r="AK1039" s="14">
        <f>IFERROR(__xludf.DUMMYFUNCTION("""COMPUTED_VALUE"""),5.94)</f>
        <v>5.94</v>
      </c>
      <c r="AL1039" s="14">
        <f>IFERROR(__xludf.DUMMYFUNCTION("""COMPUTED_VALUE"""),5.99)</f>
        <v>5.99</v>
      </c>
      <c r="AM1039" s="14">
        <f>IFERROR(__xludf.DUMMYFUNCTION("""COMPUTED_VALUE"""),5.85)</f>
        <v>5.85</v>
      </c>
      <c r="AN1039" s="14">
        <f>IFERROR(__xludf.DUMMYFUNCTION("""COMPUTED_VALUE"""),5.93)</f>
        <v>5.93</v>
      </c>
      <c r="AO1039" s="14">
        <f>IFERROR(__xludf.DUMMYFUNCTION("""COMPUTED_VALUE"""),5.906000000000001)</f>
        <v>5.906</v>
      </c>
      <c r="AP1039" s="14">
        <f>IFERROR(__xludf.DUMMYFUNCTION("""COMPUTED_VALUE"""),2.0)</f>
        <v>2</v>
      </c>
      <c r="AQ1039" s="14">
        <f>IFERROR(__xludf.DUMMYFUNCTION("""COMPUTED_VALUE"""),5.0)</f>
        <v>5</v>
      </c>
      <c r="AR1039" s="14">
        <f>IFERROR(__xludf.DUMMYFUNCTION("""COMPUTED_VALUE"""),29.0)</f>
        <v>29</v>
      </c>
      <c r="AS1039" s="14">
        <f>IFERROR(__xludf.DUMMYFUNCTION("""COMPUTED_VALUE"""),1.0)</f>
        <v>1</v>
      </c>
      <c r="AT1039" s="14">
        <f>IFERROR(__xludf.DUMMYFUNCTION("""COMPUTED_VALUE"""),0.07)</f>
        <v>0.07</v>
      </c>
      <c r="AU1039" s="14">
        <f>IFERROR(__xludf.DUMMYFUNCTION("""COMPUTED_VALUE"""),81300.0)</f>
        <v>81300</v>
      </c>
      <c r="AV1039" s="14">
        <f>IFERROR(__xludf.DUMMYFUNCTION("""COMPUTED_VALUE"""),0.11)</f>
        <v>0.11</v>
      </c>
      <c r="AW1039" s="14">
        <f>IFERROR(__xludf.DUMMYFUNCTION("""COMPUTED_VALUE"""),1.0)</f>
        <v>1</v>
      </c>
      <c r="AX1039" s="14">
        <f>IFERROR(__xludf.DUMMYFUNCTION("""COMPUTED_VALUE"""),69300.0)</f>
        <v>69300</v>
      </c>
      <c r="AY1039" s="14">
        <f>IFERROR(__xludf.DUMMYFUNCTION("""COMPUTED_VALUE"""),1.1)</f>
        <v>1.1</v>
      </c>
      <c r="AZ1039" s="14">
        <f>IFERROR(__xludf.DUMMYFUNCTION("""COMPUTED_VALUE"""),0.058)</f>
        <v>0.058</v>
      </c>
      <c r="BA1039" s="14">
        <f t="shared" si="1"/>
        <v>2.158</v>
      </c>
    </row>
    <row r="1040" ht="14.25" customHeight="1">
      <c r="A1040" s="10" t="str">
        <f>IFERROR(__xludf.DUMMYFUNCTION("""COMPUTED_VALUE"""),"010324DU01")</f>
        <v>010324DU01</v>
      </c>
      <c r="B1040" s="12" t="str">
        <f>IFERROR(__xludf.DUMMYFUNCTION("""COMPUTED_VALUE"""),"QLI-San Francisco")</f>
        <v>QLI-San Francisco</v>
      </c>
      <c r="C1040" s="12"/>
      <c r="D1040" s="12"/>
      <c r="E1040" s="44">
        <f>IFERROR(__xludf.DUMMYFUNCTION("""COMPUTED_VALUE"""),45352.0)</f>
        <v>45352</v>
      </c>
      <c r="F1040" s="12" t="str">
        <f>IFERROR(__xludf.DUMMYFUNCTION("""COMPUTED_VALUE"""),"TIPO I")</f>
        <v>TIPO I</v>
      </c>
      <c r="G1040" s="12" t="str">
        <f>IFERROR(__xludf.DUMMYFUNCTION("""COMPUTED_VALUE"""),"Durante el monitoreo se observa color y se percibe olor. Altitud: 2587 msnm. ")</f>
        <v>Durante el monitoreo se observa color y se percibe olor. Altitud: 2587 msnm. </v>
      </c>
      <c r="H1040" s="45">
        <f>IFERROR(__xludf.DUMMYFUNCTION("""COMPUTED_VALUE"""),0.25)</f>
        <v>0.25</v>
      </c>
      <c r="I1040" s="45">
        <f>IFERROR(__xludf.DUMMYFUNCTION("""COMPUTED_VALUE"""),0.3333333333321207)</f>
        <v>0.3333333333</v>
      </c>
      <c r="J1040" s="12">
        <f>IFERROR(__xludf.DUMMYFUNCTION("""COMPUTED_VALUE"""),1.35)</f>
        <v>1.35</v>
      </c>
      <c r="K1040" s="12">
        <f>IFERROR(__xludf.DUMMYFUNCTION("""COMPUTED_VALUE"""),0.22)</f>
        <v>0.22</v>
      </c>
      <c r="L1040" s="14">
        <f>IFERROR(__xludf.DUMMYFUNCTION("""COMPUTED_VALUE"""),47.976)</f>
        <v>47.976</v>
      </c>
      <c r="M1040" s="14">
        <f>IFERROR(__xludf.DUMMYFUNCTION("""COMPUTED_VALUE"""),48.517)</f>
        <v>48.517</v>
      </c>
      <c r="N1040" s="14">
        <f>IFERROR(__xludf.DUMMYFUNCTION("""COMPUTED_VALUE"""),48.026)</f>
        <v>48.026</v>
      </c>
      <c r="O1040" s="14">
        <f>IFERROR(__xludf.DUMMYFUNCTION("""COMPUTED_VALUE"""),49.06)</f>
        <v>49.06</v>
      </c>
      <c r="P1040" s="14">
        <f>IFERROR(__xludf.DUMMYFUNCTION("""COMPUTED_VALUE"""),49.52)</f>
        <v>49.52</v>
      </c>
      <c r="Q1040" s="14">
        <f>IFERROR(__xludf.DUMMYFUNCTION("""COMPUTED_VALUE"""),48.62)</f>
        <v>48.62</v>
      </c>
      <c r="R1040" s="48">
        <f>IFERROR(__xludf.DUMMYFUNCTION("""COMPUTED_VALUE"""),7.53)</f>
        <v>7.53</v>
      </c>
      <c r="S1040" s="48">
        <f>IFERROR(__xludf.DUMMYFUNCTION("""COMPUTED_VALUE"""),7.78)</f>
        <v>7.78</v>
      </c>
      <c r="T1040" s="48">
        <f>IFERROR(__xludf.DUMMYFUNCTION("""COMPUTED_VALUE"""),7.9)</f>
        <v>7.9</v>
      </c>
      <c r="U1040" s="48">
        <f>IFERROR(__xludf.DUMMYFUNCTION("""COMPUTED_VALUE"""),7.95)</f>
        <v>7.95</v>
      </c>
      <c r="V1040" s="48">
        <f>IFERROR(__xludf.DUMMYFUNCTION("""COMPUTED_VALUE"""),7.92)</f>
        <v>7.92</v>
      </c>
      <c r="W1040" s="14">
        <f>IFERROR(__xludf.DUMMYFUNCTION("""COMPUTED_VALUE"""),7.816)</f>
        <v>7.816</v>
      </c>
      <c r="X1040" s="14">
        <f>IFERROR(__xludf.DUMMYFUNCTION("""COMPUTED_VALUE"""),14.5)</f>
        <v>14.5</v>
      </c>
      <c r="Y1040" s="14">
        <f>IFERROR(__xludf.DUMMYFUNCTION("""COMPUTED_VALUE"""),14.0)</f>
        <v>14</v>
      </c>
      <c r="Z1040" s="14">
        <f>IFERROR(__xludf.DUMMYFUNCTION("""COMPUTED_VALUE"""),14.1)</f>
        <v>14.1</v>
      </c>
      <c r="AA1040" s="14">
        <f>IFERROR(__xludf.DUMMYFUNCTION("""COMPUTED_VALUE"""),14.4)</f>
        <v>14.4</v>
      </c>
      <c r="AB1040" s="14">
        <f>IFERROR(__xludf.DUMMYFUNCTION("""COMPUTED_VALUE"""),14.4)</f>
        <v>14.4</v>
      </c>
      <c r="AC1040" s="14">
        <f>IFERROR(__xludf.DUMMYFUNCTION("""COMPUTED_VALUE"""),14.280000000000001)</f>
        <v>14.28</v>
      </c>
      <c r="AD1040" s="48">
        <f>IFERROR(__xludf.DUMMYFUNCTION("""COMPUTED_VALUE"""),487.0)</f>
        <v>487</v>
      </c>
      <c r="AE1040" s="48">
        <f>IFERROR(__xludf.DUMMYFUNCTION("""COMPUTED_VALUE"""),439.0)</f>
        <v>439</v>
      </c>
      <c r="AF1040" s="48">
        <f>IFERROR(__xludf.DUMMYFUNCTION("""COMPUTED_VALUE"""),521.0)</f>
        <v>521</v>
      </c>
      <c r="AG1040" s="48">
        <f>IFERROR(__xludf.DUMMYFUNCTION("""COMPUTED_VALUE"""),520.0)</f>
        <v>520</v>
      </c>
      <c r="AH1040" s="48">
        <f>IFERROR(__xludf.DUMMYFUNCTION("""COMPUTED_VALUE"""),542.0)</f>
        <v>542</v>
      </c>
      <c r="AI1040" s="14">
        <f>IFERROR(__xludf.DUMMYFUNCTION("""COMPUTED_VALUE"""),501.8)</f>
        <v>501.8</v>
      </c>
      <c r="AJ1040" s="14">
        <f>IFERROR(__xludf.DUMMYFUNCTION("""COMPUTED_VALUE"""),3.92)</f>
        <v>3.92</v>
      </c>
      <c r="AK1040" s="14">
        <f>IFERROR(__xludf.DUMMYFUNCTION("""COMPUTED_VALUE"""),4.09)</f>
        <v>4.09</v>
      </c>
      <c r="AL1040" s="14">
        <f>IFERROR(__xludf.DUMMYFUNCTION("""COMPUTED_VALUE"""),3.9)</f>
        <v>3.9</v>
      </c>
      <c r="AM1040" s="14">
        <f>IFERROR(__xludf.DUMMYFUNCTION("""COMPUTED_VALUE"""),3.66)</f>
        <v>3.66</v>
      </c>
      <c r="AN1040" s="14">
        <f>IFERROR(__xludf.DUMMYFUNCTION("""COMPUTED_VALUE"""),3.85)</f>
        <v>3.85</v>
      </c>
      <c r="AO1040" s="14">
        <f>IFERROR(__xludf.DUMMYFUNCTION("""COMPUTED_VALUE"""),3.8840000000000003)</f>
        <v>3.884</v>
      </c>
      <c r="AP1040" s="14">
        <f>IFERROR(__xludf.DUMMYFUNCTION("""COMPUTED_VALUE"""),12.0)</f>
        <v>12</v>
      </c>
      <c r="AQ1040" s="14">
        <f>IFERROR(__xludf.DUMMYFUNCTION("""COMPUTED_VALUE"""),36.0)</f>
        <v>36</v>
      </c>
      <c r="AR1040" s="14">
        <f>IFERROR(__xludf.DUMMYFUNCTION("""COMPUTED_VALUE"""),24.0)</f>
        <v>24</v>
      </c>
      <c r="AS1040" s="14">
        <f>IFERROR(__xludf.DUMMYFUNCTION("""COMPUTED_VALUE"""),8.9)</f>
        <v>8.9</v>
      </c>
      <c r="AT1040" s="14">
        <f>IFERROR(__xludf.DUMMYFUNCTION("""COMPUTED_VALUE"""),0.32)</f>
        <v>0.32</v>
      </c>
      <c r="AU1040" s="14">
        <f>IFERROR(__xludf.DUMMYFUNCTION("""COMPUTED_VALUE"""),8550000.0)</f>
        <v>8550000</v>
      </c>
      <c r="AV1040" s="14">
        <f>IFERROR(__xludf.DUMMYFUNCTION("""COMPUTED_VALUE"""),0.05)</f>
        <v>0.05</v>
      </c>
      <c r="AW1040" s="14">
        <f>IFERROR(__xludf.DUMMYFUNCTION("""COMPUTED_VALUE"""),22.4)</f>
        <v>22.4</v>
      </c>
      <c r="AX1040" s="14">
        <f>IFERROR(__xludf.DUMMYFUNCTION("""COMPUTED_VALUE"""),3930000.0)</f>
        <v>3930000</v>
      </c>
      <c r="AY1040" s="14">
        <f>IFERROR(__xludf.DUMMYFUNCTION("""COMPUTED_VALUE"""),5.3)</f>
        <v>5.3</v>
      </c>
      <c r="AZ1040" s="14">
        <f>IFERROR(__xludf.DUMMYFUNCTION("""COMPUTED_VALUE"""),0.169)</f>
        <v>0.169</v>
      </c>
      <c r="BA1040" s="14">
        <f t="shared" si="1"/>
        <v>27.869</v>
      </c>
    </row>
    <row r="1041" ht="14.25" customHeight="1">
      <c r="A1041" s="10" t="str">
        <f>IFERROR(__xludf.DUMMYFUNCTION("""COMPUTED_VALUE"""),"290224FM02")</f>
        <v>290224FM02</v>
      </c>
      <c r="B1041" s="12" t="str">
        <f>IFERROR(__xludf.DUMMYFUNCTION("""COMPUTED_VALUE"""),"QSL-Barranquillita")</f>
        <v>QSL-Barranquillita</v>
      </c>
      <c r="C1041" s="12"/>
      <c r="D1041" s="12"/>
      <c r="E1041" s="44">
        <f>IFERROR(__xludf.DUMMYFUNCTION("""COMPUTED_VALUE"""),45351.0)</f>
        <v>45351</v>
      </c>
      <c r="F1041" s="12" t="str">
        <f>IFERROR(__xludf.DUMMYFUNCTION("""COMPUTED_VALUE"""),"TIPO I")</f>
        <v>TIPO I</v>
      </c>
      <c r="G1041" s="12" t="str">
        <f>IFERROR(__xludf.DUMMYFUNCTION("""COMPUTED_VALUE"""),"Durante la toma de muestra se observa residuos sólidos, color, presencia de espuma aguas arriba del punto de monitoreo y se percibe olor. ")</f>
        <v>Durante la toma de muestra se observa residuos sólidos, color, presencia de espuma aguas arriba del punto de monitoreo y se percibe olor. </v>
      </c>
      <c r="H1041" s="45">
        <f>IFERROR(__xludf.DUMMYFUNCTION("""COMPUTED_VALUE"""),0.4166666666678793)</f>
        <v>0.4166666667</v>
      </c>
      <c r="I1041" s="45">
        <f>IFERROR(__xludf.DUMMYFUNCTION("""COMPUTED_VALUE"""),0.5)</f>
        <v>0.5</v>
      </c>
      <c r="J1041" s="12">
        <f>IFERROR(__xludf.DUMMYFUNCTION("""COMPUTED_VALUE"""),1.6)</f>
        <v>1.6</v>
      </c>
      <c r="K1041" s="12">
        <f>IFERROR(__xludf.DUMMYFUNCTION("""COMPUTED_VALUE"""),0.08)</f>
        <v>0.08</v>
      </c>
      <c r="L1041" s="14">
        <f>IFERROR(__xludf.DUMMYFUNCTION("""COMPUTED_VALUE"""),25.786)</f>
        <v>25.786</v>
      </c>
      <c r="M1041" s="14">
        <f>IFERROR(__xludf.DUMMYFUNCTION("""COMPUTED_VALUE"""),26.241)</f>
        <v>26.241</v>
      </c>
      <c r="N1041" s="14">
        <f>IFERROR(__xludf.DUMMYFUNCTION("""COMPUTED_VALUE"""),25.825)</f>
        <v>25.825</v>
      </c>
      <c r="O1041" s="14">
        <f>IFERROR(__xludf.DUMMYFUNCTION("""COMPUTED_VALUE"""),26.78)</f>
        <v>26.78</v>
      </c>
      <c r="P1041" s="14">
        <f>IFERROR(__xludf.DUMMYFUNCTION("""COMPUTED_VALUE"""),28.226)</f>
        <v>28.226</v>
      </c>
      <c r="Q1041" s="14">
        <f>IFERROR(__xludf.DUMMYFUNCTION("""COMPUTED_VALUE"""),26.572)</f>
        <v>26.572</v>
      </c>
      <c r="R1041" s="48">
        <f>IFERROR(__xludf.DUMMYFUNCTION("""COMPUTED_VALUE"""),8.36)</f>
        <v>8.36</v>
      </c>
      <c r="S1041" s="48">
        <f>IFERROR(__xludf.DUMMYFUNCTION("""COMPUTED_VALUE"""),8.22)</f>
        <v>8.22</v>
      </c>
      <c r="T1041" s="48">
        <f>IFERROR(__xludf.DUMMYFUNCTION("""COMPUTED_VALUE"""),8.21)</f>
        <v>8.21</v>
      </c>
      <c r="U1041" s="48">
        <f>IFERROR(__xludf.DUMMYFUNCTION("""COMPUTED_VALUE"""),8.25)</f>
        <v>8.25</v>
      </c>
      <c r="V1041" s="48">
        <f>IFERROR(__xludf.DUMMYFUNCTION("""COMPUTED_VALUE"""),8.19)</f>
        <v>8.19</v>
      </c>
      <c r="W1041" s="14">
        <f>IFERROR(__xludf.DUMMYFUNCTION("""COMPUTED_VALUE"""),8.245999999999999)</f>
        <v>8.246</v>
      </c>
      <c r="X1041" s="14">
        <f>IFERROR(__xludf.DUMMYFUNCTION("""COMPUTED_VALUE"""),17.8)</f>
        <v>17.8</v>
      </c>
      <c r="Y1041" s="14">
        <f>IFERROR(__xludf.DUMMYFUNCTION("""COMPUTED_VALUE"""),17.9)</f>
        <v>17.9</v>
      </c>
      <c r="Z1041" s="14">
        <f>IFERROR(__xludf.DUMMYFUNCTION("""COMPUTED_VALUE"""),17.9)</f>
        <v>17.9</v>
      </c>
      <c r="AA1041" s="14">
        <f>IFERROR(__xludf.DUMMYFUNCTION("""COMPUTED_VALUE"""),18.6)</f>
        <v>18.6</v>
      </c>
      <c r="AB1041" s="14">
        <f>IFERROR(__xludf.DUMMYFUNCTION("""COMPUTED_VALUE"""),19.0)</f>
        <v>19</v>
      </c>
      <c r="AC1041" s="14">
        <f>IFERROR(__xludf.DUMMYFUNCTION("""COMPUTED_VALUE"""),18.240000000000002)</f>
        <v>18.24</v>
      </c>
      <c r="AD1041" s="48">
        <f>IFERROR(__xludf.DUMMYFUNCTION("""COMPUTED_VALUE"""),447.0)</f>
        <v>447</v>
      </c>
      <c r="AE1041" s="48">
        <f>IFERROR(__xludf.DUMMYFUNCTION("""COMPUTED_VALUE"""),488.0)</f>
        <v>488</v>
      </c>
      <c r="AF1041" s="48">
        <f>IFERROR(__xludf.DUMMYFUNCTION("""COMPUTED_VALUE"""),519.0)</f>
        <v>519</v>
      </c>
      <c r="AG1041" s="48">
        <f>IFERROR(__xludf.DUMMYFUNCTION("""COMPUTED_VALUE"""),524.0)</f>
        <v>524</v>
      </c>
      <c r="AH1041" s="48">
        <f>IFERROR(__xludf.DUMMYFUNCTION("""COMPUTED_VALUE"""),550.0)</f>
        <v>550</v>
      </c>
      <c r="AI1041" s="14">
        <f>IFERROR(__xludf.DUMMYFUNCTION("""COMPUTED_VALUE"""),505.6)</f>
        <v>505.6</v>
      </c>
      <c r="AJ1041" s="14">
        <f>IFERROR(__xludf.DUMMYFUNCTION("""COMPUTED_VALUE"""),5.7)</f>
        <v>5.7</v>
      </c>
      <c r="AK1041" s="14">
        <f>IFERROR(__xludf.DUMMYFUNCTION("""COMPUTED_VALUE"""),5.83)</f>
        <v>5.83</v>
      </c>
      <c r="AL1041" s="14">
        <f>IFERROR(__xludf.DUMMYFUNCTION("""COMPUTED_VALUE"""),5.26)</f>
        <v>5.26</v>
      </c>
      <c r="AM1041" s="14">
        <f>IFERROR(__xludf.DUMMYFUNCTION("""COMPUTED_VALUE"""),6.28)</f>
        <v>6.28</v>
      </c>
      <c r="AN1041" s="14">
        <f>IFERROR(__xludf.DUMMYFUNCTION("""COMPUTED_VALUE"""),5.93)</f>
        <v>5.93</v>
      </c>
      <c r="AO1041" s="14">
        <f>IFERROR(__xludf.DUMMYFUNCTION("""COMPUTED_VALUE"""),5.8)</f>
        <v>5.8</v>
      </c>
      <c r="AP1041" s="14">
        <f>IFERROR(__xludf.DUMMYFUNCTION("""COMPUTED_VALUE"""),60.0)</f>
        <v>60</v>
      </c>
      <c r="AQ1041" s="14">
        <f>IFERROR(__xludf.DUMMYFUNCTION("""COMPUTED_VALUE"""),124.0)</f>
        <v>124</v>
      </c>
      <c r="AR1041" s="14">
        <f>IFERROR(__xludf.DUMMYFUNCTION("""COMPUTED_VALUE"""),70.0)</f>
        <v>70</v>
      </c>
      <c r="AS1041" s="14">
        <f>IFERROR(__xludf.DUMMYFUNCTION("""COMPUTED_VALUE"""),15.0)</f>
        <v>15</v>
      </c>
      <c r="AT1041" s="14">
        <f>IFERROR(__xludf.DUMMYFUNCTION("""COMPUTED_VALUE"""),2.23)</f>
        <v>2.23</v>
      </c>
      <c r="AU1041" s="14">
        <f>IFERROR(__xludf.DUMMYFUNCTION("""COMPUTED_VALUE"""),9570000.0)</f>
        <v>9570000</v>
      </c>
      <c r="AV1041" s="14">
        <f>IFERROR(__xludf.DUMMYFUNCTION("""COMPUTED_VALUE"""),2.09)</f>
        <v>2.09</v>
      </c>
      <c r="AW1041" s="14">
        <f>IFERROR(__xludf.DUMMYFUNCTION("""COMPUTED_VALUE"""),27.2)</f>
        <v>27.2</v>
      </c>
      <c r="AX1041" s="14">
        <f>IFERROR(__xludf.DUMMYFUNCTION("""COMPUTED_VALUE"""),6310000.0)</f>
        <v>6310000</v>
      </c>
      <c r="AY1041" s="14">
        <f>IFERROR(__xludf.DUMMYFUNCTION("""COMPUTED_VALUE"""),0.2)</f>
        <v>0.2</v>
      </c>
      <c r="AZ1041" s="14">
        <f>IFERROR(__xludf.DUMMYFUNCTION("""COMPUTED_VALUE"""),0.007)</f>
        <v>0.007</v>
      </c>
      <c r="BA1041" s="14">
        <f t="shared" si="1"/>
        <v>27.407</v>
      </c>
    </row>
    <row r="1042" ht="14.25" customHeight="1">
      <c r="A1042" s="10" t="str">
        <f>IFERROR(__xludf.DUMMYFUNCTION("""COMPUTED_VALUE"""),"010324DU02")</f>
        <v>010324DU02</v>
      </c>
      <c r="B1042" s="12" t="str">
        <f>IFERROR(__xludf.DUMMYFUNCTION("""COMPUTED_VALUE"""),"QLI-El Satélite")</f>
        <v>QLI-El Satélite</v>
      </c>
      <c r="C1042" s="12"/>
      <c r="D1042" s="12"/>
      <c r="E1042" s="44">
        <f>IFERROR(__xludf.DUMMYFUNCTION("""COMPUTED_VALUE"""),45352.0)</f>
        <v>45352</v>
      </c>
      <c r="F1042" s="12" t="str">
        <f>IFERROR(__xludf.DUMMYFUNCTION("""COMPUTED_VALUE"""),"TIPO I")</f>
        <v>TIPO I</v>
      </c>
      <c r="G1042" s="12" t="str">
        <f>IFERROR(__xludf.DUMMYFUNCTION("""COMPUTED_VALUE"""),"Lecho natural arenoso rocoso, durante el monitoreo se percibe olor, se observa color y residuos sólidos.
Altitud: 2571 msnm. ")</f>
        <v>Lecho natural arenoso rocoso, durante el monitoreo se percibe olor, se observa color y residuos sólidos.
Altitud: 2571 msnm. </v>
      </c>
      <c r="H1042" s="45">
        <f>IFERROR(__xludf.DUMMYFUNCTION("""COMPUTED_VALUE"""),0.4166666666678793)</f>
        <v>0.4166666667</v>
      </c>
      <c r="I1042" s="45">
        <f>IFERROR(__xludf.DUMMYFUNCTION("""COMPUTED_VALUE"""),0.5)</f>
        <v>0.5</v>
      </c>
      <c r="J1042" s="12">
        <f>IFERROR(__xludf.DUMMYFUNCTION("""COMPUTED_VALUE"""),2.8)</f>
        <v>2.8</v>
      </c>
      <c r="K1042" s="12">
        <f>IFERROR(__xludf.DUMMYFUNCTION("""COMPUTED_VALUE"""),0.16)</f>
        <v>0.16</v>
      </c>
      <c r="L1042" s="14">
        <f>IFERROR(__xludf.DUMMYFUNCTION("""COMPUTED_VALUE"""),133.795)</f>
        <v>133.795</v>
      </c>
      <c r="M1042" s="14">
        <f>IFERROR(__xludf.DUMMYFUNCTION("""COMPUTED_VALUE"""),136.768)</f>
        <v>136.768</v>
      </c>
      <c r="N1042" s="14">
        <f>IFERROR(__xludf.DUMMYFUNCTION("""COMPUTED_VALUE"""),138.22)</f>
        <v>138.22</v>
      </c>
      <c r="O1042" s="14">
        <f>IFERROR(__xludf.DUMMYFUNCTION("""COMPUTED_VALUE"""),139.109)</f>
        <v>139.109</v>
      </c>
      <c r="P1042" s="14">
        <f>IFERROR(__xludf.DUMMYFUNCTION("""COMPUTED_VALUE"""),139.762)</f>
        <v>139.762</v>
      </c>
      <c r="Q1042" s="14">
        <f>IFERROR(__xludf.DUMMYFUNCTION("""COMPUTED_VALUE"""),137.531)</f>
        <v>137.531</v>
      </c>
      <c r="R1042" s="48">
        <f>IFERROR(__xludf.DUMMYFUNCTION("""COMPUTED_VALUE"""),7.89)</f>
        <v>7.89</v>
      </c>
      <c r="S1042" s="48">
        <f>IFERROR(__xludf.DUMMYFUNCTION("""COMPUTED_VALUE"""),7.96)</f>
        <v>7.96</v>
      </c>
      <c r="T1042" s="48">
        <f>IFERROR(__xludf.DUMMYFUNCTION("""COMPUTED_VALUE"""),7.92)</f>
        <v>7.92</v>
      </c>
      <c r="U1042" s="48">
        <f>IFERROR(__xludf.DUMMYFUNCTION("""COMPUTED_VALUE"""),7.9)</f>
        <v>7.9</v>
      </c>
      <c r="V1042" s="48">
        <f>IFERROR(__xludf.DUMMYFUNCTION("""COMPUTED_VALUE"""),7.89)</f>
        <v>7.89</v>
      </c>
      <c r="W1042" s="14">
        <f>IFERROR(__xludf.DUMMYFUNCTION("""COMPUTED_VALUE"""),7.912000000000001)</f>
        <v>7.912</v>
      </c>
      <c r="X1042" s="14">
        <f>IFERROR(__xludf.DUMMYFUNCTION("""COMPUTED_VALUE"""),17.6)</f>
        <v>17.6</v>
      </c>
      <c r="Y1042" s="14">
        <f>IFERROR(__xludf.DUMMYFUNCTION("""COMPUTED_VALUE"""),18.0)</f>
        <v>18</v>
      </c>
      <c r="Z1042" s="14">
        <f>IFERROR(__xludf.DUMMYFUNCTION("""COMPUTED_VALUE"""),19.0)</f>
        <v>19</v>
      </c>
      <c r="AA1042" s="14">
        <f>IFERROR(__xludf.DUMMYFUNCTION("""COMPUTED_VALUE"""),19.5)</f>
        <v>19.5</v>
      </c>
      <c r="AB1042" s="14">
        <f>IFERROR(__xludf.DUMMYFUNCTION("""COMPUTED_VALUE"""),19.8)</f>
        <v>19.8</v>
      </c>
      <c r="AC1042" s="14">
        <f>IFERROR(__xludf.DUMMYFUNCTION("""COMPUTED_VALUE"""),18.779999999999998)</f>
        <v>18.78</v>
      </c>
      <c r="AD1042" s="48">
        <f>IFERROR(__xludf.DUMMYFUNCTION("""COMPUTED_VALUE"""),892.0)</f>
        <v>892</v>
      </c>
      <c r="AE1042" s="48">
        <f>IFERROR(__xludf.DUMMYFUNCTION("""COMPUTED_VALUE"""),836.0)</f>
        <v>836</v>
      </c>
      <c r="AF1042" s="48">
        <f>IFERROR(__xludf.DUMMYFUNCTION("""COMPUTED_VALUE"""),894.0)</f>
        <v>894</v>
      </c>
      <c r="AG1042" s="48">
        <f>IFERROR(__xludf.DUMMYFUNCTION("""COMPUTED_VALUE"""),893.0)</f>
        <v>893</v>
      </c>
      <c r="AH1042" s="48">
        <f>IFERROR(__xludf.DUMMYFUNCTION("""COMPUTED_VALUE"""),818.0)</f>
        <v>818</v>
      </c>
      <c r="AI1042" s="14">
        <f>IFERROR(__xludf.DUMMYFUNCTION("""COMPUTED_VALUE"""),866.6)</f>
        <v>866.6</v>
      </c>
      <c r="AJ1042" s="14">
        <f>IFERROR(__xludf.DUMMYFUNCTION("""COMPUTED_VALUE"""),1.87)</f>
        <v>1.87</v>
      </c>
      <c r="AK1042" s="14">
        <f>IFERROR(__xludf.DUMMYFUNCTION("""COMPUTED_VALUE"""),1.81)</f>
        <v>1.81</v>
      </c>
      <c r="AL1042" s="14">
        <f>IFERROR(__xludf.DUMMYFUNCTION("""COMPUTED_VALUE"""),1.54)</f>
        <v>1.54</v>
      </c>
      <c r="AM1042" s="14">
        <f>IFERROR(__xludf.DUMMYFUNCTION("""COMPUTED_VALUE"""),1.6)</f>
        <v>1.6</v>
      </c>
      <c r="AN1042" s="14">
        <f>IFERROR(__xludf.DUMMYFUNCTION("""COMPUTED_VALUE"""),1.48)</f>
        <v>1.48</v>
      </c>
      <c r="AO1042" s="14">
        <f>IFERROR(__xludf.DUMMYFUNCTION("""COMPUTED_VALUE"""),1.6600000000000001)</f>
        <v>1.66</v>
      </c>
      <c r="AP1042" s="14">
        <f>IFERROR(__xludf.DUMMYFUNCTION("""COMPUTED_VALUE"""),129.0)</f>
        <v>129</v>
      </c>
      <c r="AQ1042" s="14">
        <f>IFERROR(__xludf.DUMMYFUNCTION("""COMPUTED_VALUE"""),193.0)</f>
        <v>193</v>
      </c>
      <c r="AR1042" s="14">
        <f>IFERROR(__xludf.DUMMYFUNCTION("""COMPUTED_VALUE"""),90.0)</f>
        <v>90</v>
      </c>
      <c r="AS1042" s="14">
        <f>IFERROR(__xludf.DUMMYFUNCTION("""COMPUTED_VALUE"""),29.0)</f>
        <v>29</v>
      </c>
      <c r="AT1042" s="14">
        <f>IFERROR(__xludf.DUMMYFUNCTION("""COMPUTED_VALUE"""),2.41)</f>
        <v>2.41</v>
      </c>
      <c r="AU1042" s="14">
        <f>IFERROR(__xludf.DUMMYFUNCTION("""COMPUTED_VALUE"""),5.2E7)</f>
        <v>52000000</v>
      </c>
      <c r="AV1042" s="14">
        <f>IFERROR(__xludf.DUMMYFUNCTION("""COMPUTED_VALUE"""),6.0)</f>
        <v>6</v>
      </c>
      <c r="AW1042" s="14">
        <f>IFERROR(__xludf.DUMMYFUNCTION("""COMPUTED_VALUE"""),81.2)</f>
        <v>81.2</v>
      </c>
      <c r="AX1042" s="14">
        <f>IFERROR(__xludf.DUMMYFUNCTION("""COMPUTED_VALUE"""),3.91E7)</f>
        <v>39100000</v>
      </c>
      <c r="AY1042" s="14">
        <f>IFERROR(__xludf.DUMMYFUNCTION("""COMPUTED_VALUE"""),1.2)</f>
        <v>1.2</v>
      </c>
      <c r="AZ1042" s="14">
        <f>IFERROR(__xludf.DUMMYFUNCTION("""COMPUTED_VALUE"""),0.007)</f>
        <v>0.007</v>
      </c>
      <c r="BA1042" s="14">
        <f t="shared" si="1"/>
        <v>82.407</v>
      </c>
    </row>
    <row r="1043" ht="14.25" customHeight="1">
      <c r="A1043" s="10" t="str">
        <f>IFERROR(__xludf.DUMMYFUNCTION("""COMPUTED_VALUE"""),"010324FM01")</f>
        <v>010324FM01</v>
      </c>
      <c r="B1043" s="12" t="str">
        <f>IFERROR(__xludf.DUMMYFUNCTION("""COMPUTED_VALUE"""),"QLI-Bella Flor")</f>
        <v>QLI-Bella Flor</v>
      </c>
      <c r="C1043" s="12"/>
      <c r="D1043" s="12"/>
      <c r="E1043" s="44">
        <f>IFERROR(__xludf.DUMMYFUNCTION("""COMPUTED_VALUE"""),45352.0)</f>
        <v>45352</v>
      </c>
      <c r="F1043" s="12" t="str">
        <f>IFERROR(__xludf.DUMMYFUNCTION("""COMPUTED_VALUE"""),"TIPO I")</f>
        <v>TIPO I</v>
      </c>
      <c r="G1043" s="12" t="str">
        <f>IFERROR(__xludf.DUMMYFUNCTION("""COMPUTED_VALUE"""),"Lecho natural arenoso rocoso, durante el monitoreo se percibe olor, se observa color, espuma y residuos sólidos a lo largo del cauce. 
Altitud: 2801 msnm. ")</f>
        <v>Lecho natural arenoso rocoso, durante el monitoreo se percibe olor, se observa color, espuma y residuos sólidos a lo largo del cauce. 
Altitud: 2801 msnm. </v>
      </c>
      <c r="H1043" s="45">
        <f>IFERROR(__xludf.DUMMYFUNCTION("""COMPUTED_VALUE"""),0.25)</f>
        <v>0.25</v>
      </c>
      <c r="I1043" s="45">
        <f>IFERROR(__xludf.DUMMYFUNCTION("""COMPUTED_VALUE"""),0.3333333333321207)</f>
        <v>0.3333333333</v>
      </c>
      <c r="J1043" s="12">
        <f>IFERROR(__xludf.DUMMYFUNCTION("""COMPUTED_VALUE"""),1.0)</f>
        <v>1</v>
      </c>
      <c r="K1043" s="12">
        <f>IFERROR(__xludf.DUMMYFUNCTION("""COMPUTED_VALUE"""),0.2)</f>
        <v>0.2</v>
      </c>
      <c r="L1043" s="14">
        <f>IFERROR(__xludf.DUMMYFUNCTION("""COMPUTED_VALUE"""),19.168)</f>
        <v>19.168</v>
      </c>
      <c r="M1043" s="14">
        <f>IFERROR(__xludf.DUMMYFUNCTION("""COMPUTED_VALUE"""),19.536)</f>
        <v>19.536</v>
      </c>
      <c r="N1043" s="14">
        <f>IFERROR(__xludf.DUMMYFUNCTION("""COMPUTED_VALUE"""),19.769)</f>
        <v>19.769</v>
      </c>
      <c r="O1043" s="14">
        <f>IFERROR(__xludf.DUMMYFUNCTION("""COMPUTED_VALUE"""),19.832)</f>
        <v>19.832</v>
      </c>
      <c r="P1043" s="14">
        <f>IFERROR(__xludf.DUMMYFUNCTION("""COMPUTED_VALUE"""),19.946)</f>
        <v>19.946</v>
      </c>
      <c r="Q1043" s="14">
        <f>IFERROR(__xludf.DUMMYFUNCTION("""COMPUTED_VALUE"""),19.65)</f>
        <v>19.65</v>
      </c>
      <c r="R1043" s="48">
        <f>IFERROR(__xludf.DUMMYFUNCTION("""COMPUTED_VALUE"""),7.07)</f>
        <v>7.07</v>
      </c>
      <c r="S1043" s="48">
        <f>IFERROR(__xludf.DUMMYFUNCTION("""COMPUTED_VALUE"""),7.13)</f>
        <v>7.13</v>
      </c>
      <c r="T1043" s="48">
        <f>IFERROR(__xludf.DUMMYFUNCTION("""COMPUTED_VALUE"""),7.16)</f>
        <v>7.16</v>
      </c>
      <c r="U1043" s="48">
        <f>IFERROR(__xludf.DUMMYFUNCTION("""COMPUTED_VALUE"""),7.2)</f>
        <v>7.2</v>
      </c>
      <c r="V1043" s="48">
        <f>IFERROR(__xludf.DUMMYFUNCTION("""COMPUTED_VALUE"""),7.2)</f>
        <v>7.2</v>
      </c>
      <c r="W1043" s="14">
        <f>IFERROR(__xludf.DUMMYFUNCTION("""COMPUTED_VALUE"""),7.151999999999999)</f>
        <v>7.152</v>
      </c>
      <c r="X1043" s="14">
        <f>IFERROR(__xludf.DUMMYFUNCTION("""COMPUTED_VALUE"""),13.6)</f>
        <v>13.6</v>
      </c>
      <c r="Y1043" s="14">
        <f>IFERROR(__xludf.DUMMYFUNCTION("""COMPUTED_VALUE"""),13.8)</f>
        <v>13.8</v>
      </c>
      <c r="Z1043" s="14">
        <f>IFERROR(__xludf.DUMMYFUNCTION("""COMPUTED_VALUE"""),13.9)</f>
        <v>13.9</v>
      </c>
      <c r="AA1043" s="14">
        <f>IFERROR(__xludf.DUMMYFUNCTION("""COMPUTED_VALUE"""),13.7)</f>
        <v>13.7</v>
      </c>
      <c r="AB1043" s="14">
        <f>IFERROR(__xludf.DUMMYFUNCTION("""COMPUTED_VALUE"""),13.9)</f>
        <v>13.9</v>
      </c>
      <c r="AC1043" s="14">
        <f>IFERROR(__xludf.DUMMYFUNCTION("""COMPUTED_VALUE"""),13.780000000000001)</f>
        <v>13.78</v>
      </c>
      <c r="AD1043" s="48">
        <f>IFERROR(__xludf.DUMMYFUNCTION("""COMPUTED_VALUE"""),496.0)</f>
        <v>496</v>
      </c>
      <c r="AE1043" s="48">
        <f>IFERROR(__xludf.DUMMYFUNCTION("""COMPUTED_VALUE"""),487.0)</f>
        <v>487</v>
      </c>
      <c r="AF1043" s="48">
        <f>IFERROR(__xludf.DUMMYFUNCTION("""COMPUTED_VALUE"""),492.0)</f>
        <v>492</v>
      </c>
      <c r="AG1043" s="48">
        <f>IFERROR(__xludf.DUMMYFUNCTION("""COMPUTED_VALUE"""),501.0)</f>
        <v>501</v>
      </c>
      <c r="AH1043" s="48">
        <f>IFERROR(__xludf.DUMMYFUNCTION("""COMPUTED_VALUE"""),523.0)</f>
        <v>523</v>
      </c>
      <c r="AI1043" s="14">
        <f>IFERROR(__xludf.DUMMYFUNCTION("""COMPUTED_VALUE"""),499.8)</f>
        <v>499.8</v>
      </c>
      <c r="AJ1043" s="14">
        <f>IFERROR(__xludf.DUMMYFUNCTION("""COMPUTED_VALUE"""),5.05)</f>
        <v>5.05</v>
      </c>
      <c r="AK1043" s="14">
        <f>IFERROR(__xludf.DUMMYFUNCTION("""COMPUTED_VALUE"""),4.87)</f>
        <v>4.87</v>
      </c>
      <c r="AL1043" s="14">
        <f>IFERROR(__xludf.DUMMYFUNCTION("""COMPUTED_VALUE"""),5.1)</f>
        <v>5.1</v>
      </c>
      <c r="AM1043" s="14">
        <f>IFERROR(__xludf.DUMMYFUNCTION("""COMPUTED_VALUE"""),5.1)</f>
        <v>5.1</v>
      </c>
      <c r="AN1043" s="14">
        <f>IFERROR(__xludf.DUMMYFUNCTION("""COMPUTED_VALUE"""),4.7)</f>
        <v>4.7</v>
      </c>
      <c r="AO1043" s="14">
        <f>IFERROR(__xludf.DUMMYFUNCTION("""COMPUTED_VALUE"""),4.9639999999999995)</f>
        <v>4.964</v>
      </c>
      <c r="AP1043" s="14">
        <f>IFERROR(__xludf.DUMMYFUNCTION("""COMPUTED_VALUE"""),27.0)</f>
        <v>27</v>
      </c>
      <c r="AQ1043" s="14">
        <f>IFERROR(__xludf.DUMMYFUNCTION("""COMPUTED_VALUE"""),39.0)</f>
        <v>39</v>
      </c>
      <c r="AR1043" s="14">
        <f>IFERROR(__xludf.DUMMYFUNCTION("""COMPUTED_VALUE"""),21.0)</f>
        <v>21</v>
      </c>
      <c r="AS1043" s="14">
        <f>IFERROR(__xludf.DUMMYFUNCTION("""COMPUTED_VALUE"""),7.0)</f>
        <v>7</v>
      </c>
      <c r="AT1043" s="14">
        <f>IFERROR(__xludf.DUMMYFUNCTION("""COMPUTED_VALUE"""),0.07)</f>
        <v>0.07</v>
      </c>
      <c r="AU1043" s="14">
        <f>IFERROR(__xludf.DUMMYFUNCTION("""COMPUTED_VALUE"""),909000.0)</f>
        <v>909000</v>
      </c>
      <c r="AV1043" s="14">
        <f>IFERROR(__xludf.DUMMYFUNCTION("""COMPUTED_VALUE"""),2.78)</f>
        <v>2.78</v>
      </c>
      <c r="AW1043" s="14">
        <f>IFERROR(__xludf.DUMMYFUNCTION("""COMPUTED_VALUE"""),24.4)</f>
        <v>24.4</v>
      </c>
      <c r="AX1043" s="14">
        <f>IFERROR(__xludf.DUMMYFUNCTION("""COMPUTED_VALUE"""),712000.0)</f>
        <v>712000</v>
      </c>
      <c r="AY1043" s="14">
        <f>IFERROR(__xludf.DUMMYFUNCTION("""COMPUTED_VALUE"""),1.0)</f>
        <v>1</v>
      </c>
      <c r="AZ1043" s="14">
        <f>IFERROR(__xludf.DUMMYFUNCTION("""COMPUTED_VALUE"""),0.067)</f>
        <v>0.067</v>
      </c>
      <c r="BA1043" s="14">
        <f t="shared" si="1"/>
        <v>25.467</v>
      </c>
    </row>
    <row r="1044" ht="14.25" customHeight="1">
      <c r="A1044" s="10" t="str">
        <f>IFERROR(__xludf.DUMMYFUNCTION("""COMPUTED_VALUE"""),"290224FM03")</f>
        <v>290224FM03</v>
      </c>
      <c r="B1044" s="12" t="str">
        <f>IFERROR(__xludf.DUMMYFUNCTION("""COMPUTED_VALUE"""),"QSL-Portal Usme")</f>
        <v>QSL-Portal Usme</v>
      </c>
      <c r="C1044" s="12"/>
      <c r="D1044" s="12"/>
      <c r="E1044" s="44">
        <f>IFERROR(__xludf.DUMMYFUNCTION("""COMPUTED_VALUE"""),45351.0)</f>
        <v>45351</v>
      </c>
      <c r="F1044" s="12" t="str">
        <f>IFERROR(__xludf.DUMMYFUNCTION("""COMPUTED_VALUE"""),"TIPO I")</f>
        <v>TIPO I</v>
      </c>
      <c r="G1044" s="12" t="str">
        <f>IFERROR(__xludf.DUMMYFUNCTION("""COMPUTED_VALUE"""),"Durante la toma de muestra se observa color y se percibe olor. ")</f>
        <v>Durante la toma de muestra se observa color y se percibe olor. </v>
      </c>
      <c r="H1044" s="45">
        <f>IFERROR(__xludf.DUMMYFUNCTION("""COMPUTED_VALUE"""),0.5833333333321207)</f>
        <v>0.5833333333</v>
      </c>
      <c r="I1044" s="45">
        <f>IFERROR(__xludf.DUMMYFUNCTION("""COMPUTED_VALUE"""),0.6666666666678793)</f>
        <v>0.6666666667</v>
      </c>
      <c r="J1044" s="12">
        <f>IFERROR(__xludf.DUMMYFUNCTION("""COMPUTED_VALUE"""),1.8)</f>
        <v>1.8</v>
      </c>
      <c r="K1044" s="12">
        <f>IFERROR(__xludf.DUMMYFUNCTION("""COMPUTED_VALUE"""),0.14)</f>
        <v>0.14</v>
      </c>
      <c r="L1044" s="14">
        <f>IFERROR(__xludf.DUMMYFUNCTION("""COMPUTED_VALUE"""),90.844)</f>
        <v>90.844</v>
      </c>
      <c r="M1044" s="14">
        <f>IFERROR(__xludf.DUMMYFUNCTION("""COMPUTED_VALUE"""),90.965)</f>
        <v>90.965</v>
      </c>
      <c r="N1044" s="14">
        <f>IFERROR(__xludf.DUMMYFUNCTION("""COMPUTED_VALUE"""),100.178)</f>
        <v>100.178</v>
      </c>
      <c r="O1044" s="14">
        <f>IFERROR(__xludf.DUMMYFUNCTION("""COMPUTED_VALUE"""),102.326)</f>
        <v>102.326</v>
      </c>
      <c r="P1044" s="14">
        <f>IFERROR(__xludf.DUMMYFUNCTION("""COMPUTED_VALUE"""),107.001)</f>
        <v>107.001</v>
      </c>
      <c r="Q1044" s="14">
        <f>IFERROR(__xludf.DUMMYFUNCTION("""COMPUTED_VALUE"""),98.263)</f>
        <v>98.263</v>
      </c>
      <c r="R1044" s="48">
        <f>IFERROR(__xludf.DUMMYFUNCTION("""COMPUTED_VALUE"""),7.77)</f>
        <v>7.77</v>
      </c>
      <c r="S1044" s="48">
        <f>IFERROR(__xludf.DUMMYFUNCTION("""COMPUTED_VALUE"""),7.7)</f>
        <v>7.7</v>
      </c>
      <c r="T1044" s="48">
        <f>IFERROR(__xludf.DUMMYFUNCTION("""COMPUTED_VALUE"""),7.68)</f>
        <v>7.68</v>
      </c>
      <c r="U1044" s="48">
        <f>IFERROR(__xludf.DUMMYFUNCTION("""COMPUTED_VALUE"""),7.6)</f>
        <v>7.6</v>
      </c>
      <c r="V1044" s="48">
        <f>IFERROR(__xludf.DUMMYFUNCTION("""COMPUTED_VALUE"""),7.66)</f>
        <v>7.66</v>
      </c>
      <c r="W1044" s="14">
        <f>IFERROR(__xludf.DUMMYFUNCTION("""COMPUTED_VALUE"""),7.6819999999999995)</f>
        <v>7.682</v>
      </c>
      <c r="X1044" s="14">
        <f>IFERROR(__xludf.DUMMYFUNCTION("""COMPUTED_VALUE"""),19.3)</f>
        <v>19.3</v>
      </c>
      <c r="Y1044" s="14">
        <f>IFERROR(__xludf.DUMMYFUNCTION("""COMPUTED_VALUE"""),19.3)</f>
        <v>19.3</v>
      </c>
      <c r="Z1044" s="14">
        <f>IFERROR(__xludf.DUMMYFUNCTION("""COMPUTED_VALUE"""),19.2)</f>
        <v>19.2</v>
      </c>
      <c r="AA1044" s="14">
        <f>IFERROR(__xludf.DUMMYFUNCTION("""COMPUTED_VALUE"""),19.2)</f>
        <v>19.2</v>
      </c>
      <c r="AB1044" s="14">
        <f>IFERROR(__xludf.DUMMYFUNCTION("""COMPUTED_VALUE"""),19.3)</f>
        <v>19.3</v>
      </c>
      <c r="AC1044" s="14">
        <f>IFERROR(__xludf.DUMMYFUNCTION("""COMPUTED_VALUE"""),19.259999999999998)</f>
        <v>19.26</v>
      </c>
      <c r="AD1044" s="48">
        <f>IFERROR(__xludf.DUMMYFUNCTION("""COMPUTED_VALUE"""),368.0)</f>
        <v>368</v>
      </c>
      <c r="AE1044" s="48">
        <f>IFERROR(__xludf.DUMMYFUNCTION("""COMPUTED_VALUE"""),364.0)</f>
        <v>364</v>
      </c>
      <c r="AF1044" s="48">
        <f>IFERROR(__xludf.DUMMYFUNCTION("""COMPUTED_VALUE"""),366.0)</f>
        <v>366</v>
      </c>
      <c r="AG1044" s="48">
        <f>IFERROR(__xludf.DUMMYFUNCTION("""COMPUTED_VALUE"""),354.0)</f>
        <v>354</v>
      </c>
      <c r="AH1044" s="48">
        <f>IFERROR(__xludf.DUMMYFUNCTION("""COMPUTED_VALUE"""),353.0)</f>
        <v>353</v>
      </c>
      <c r="AI1044" s="14">
        <f>IFERROR(__xludf.DUMMYFUNCTION("""COMPUTED_VALUE"""),361.0)</f>
        <v>361</v>
      </c>
      <c r="AJ1044" s="14">
        <f>IFERROR(__xludf.DUMMYFUNCTION("""COMPUTED_VALUE"""),1.37)</f>
        <v>1.37</v>
      </c>
      <c r="AK1044" s="14">
        <f>IFERROR(__xludf.DUMMYFUNCTION("""COMPUTED_VALUE"""),1.51)</f>
        <v>1.51</v>
      </c>
      <c r="AL1044" s="14">
        <f>IFERROR(__xludf.DUMMYFUNCTION("""COMPUTED_VALUE"""),1.45)</f>
        <v>1.45</v>
      </c>
      <c r="AM1044" s="14">
        <f>IFERROR(__xludf.DUMMYFUNCTION("""COMPUTED_VALUE"""),1.59)</f>
        <v>1.59</v>
      </c>
      <c r="AN1044" s="14">
        <f>IFERROR(__xludf.DUMMYFUNCTION("""COMPUTED_VALUE"""),1.39)</f>
        <v>1.39</v>
      </c>
      <c r="AO1044" s="14">
        <f>IFERROR(__xludf.DUMMYFUNCTION("""COMPUTED_VALUE"""),1.462)</f>
        <v>1.462</v>
      </c>
      <c r="AP1044" s="14">
        <f>IFERROR(__xludf.DUMMYFUNCTION("""COMPUTED_VALUE"""),60.0)</f>
        <v>60</v>
      </c>
      <c r="AQ1044" s="14">
        <f>IFERROR(__xludf.DUMMYFUNCTION("""COMPUTED_VALUE"""),120.0)</f>
        <v>120</v>
      </c>
      <c r="AR1044" s="14">
        <f>IFERROR(__xludf.DUMMYFUNCTION("""COMPUTED_VALUE"""),33.0)</f>
        <v>33</v>
      </c>
      <c r="AS1044" s="14">
        <f>IFERROR(__xludf.DUMMYFUNCTION("""COMPUTED_VALUE"""),47.0)</f>
        <v>47</v>
      </c>
      <c r="AT1044" s="14">
        <f>IFERROR(__xludf.DUMMYFUNCTION("""COMPUTED_VALUE"""),1.35)</f>
        <v>1.35</v>
      </c>
      <c r="AU1044" s="14">
        <f>IFERROR(__xludf.DUMMYFUNCTION("""COMPUTED_VALUE"""),1.039E7)</f>
        <v>10390000</v>
      </c>
      <c r="AV1044" s="14">
        <f>IFERROR(__xludf.DUMMYFUNCTION("""COMPUTED_VALUE"""),1.18)</f>
        <v>1.18</v>
      </c>
      <c r="AW1044" s="14">
        <f>IFERROR(__xludf.DUMMYFUNCTION("""COMPUTED_VALUE"""),14.6)</f>
        <v>14.6</v>
      </c>
      <c r="AX1044" s="14">
        <f>IFERROR(__xludf.DUMMYFUNCTION("""COMPUTED_VALUE"""),8420000.0)</f>
        <v>8420000</v>
      </c>
      <c r="AY1044" s="14">
        <f>IFERROR(__xludf.DUMMYFUNCTION("""COMPUTED_VALUE"""),0.3)</f>
        <v>0.3</v>
      </c>
      <c r="AZ1044" s="14">
        <f>IFERROR(__xludf.DUMMYFUNCTION("""COMPUTED_VALUE"""),0.007)</f>
        <v>0.007</v>
      </c>
      <c r="BA1044" s="14">
        <f t="shared" si="1"/>
        <v>14.907</v>
      </c>
    </row>
    <row r="1045" ht="14.25" customHeight="1">
      <c r="A1045" s="10" t="str">
        <f>IFERROR(__xludf.DUMMYFUNCTION("""COMPUTED_VALUE"""),"010324FM02")</f>
        <v>010324FM02</v>
      </c>
      <c r="B1045" s="12" t="str">
        <f>IFERROR(__xludf.DUMMYFUNCTION("""COMPUTED_VALUE"""),"QLI-Villa del Diamante")</f>
        <v>QLI-Villa del Diamante</v>
      </c>
      <c r="C1045" s="12"/>
      <c r="D1045" s="12"/>
      <c r="E1045" s="44">
        <f>IFERROR(__xludf.DUMMYFUNCTION("""COMPUTED_VALUE"""),45352.0)</f>
        <v>45352</v>
      </c>
      <c r="F1045" s="12" t="str">
        <f>IFERROR(__xludf.DUMMYFUNCTION("""COMPUTED_VALUE"""),"TIPO I")</f>
        <v>TIPO I</v>
      </c>
      <c r="G1045" s="12" t="str">
        <f>IFERROR(__xludf.DUMMYFUNCTION("""COMPUTED_VALUE"""),"Monitoreo realizado en lecho artificial con  vertedero rectangular en concreto. Durante la toma de muestra se percibe olor y se observa color.")</f>
        <v>Monitoreo realizado en lecho artificial con  vertedero rectangular en concreto. Durante la toma de muestra se percibe olor y se observa color.</v>
      </c>
      <c r="H1045" s="45">
        <f>IFERROR(__xludf.DUMMYFUNCTION("""COMPUTED_VALUE"""),0.4166666666678793)</f>
        <v>0.4166666667</v>
      </c>
      <c r="I1045" s="45">
        <f>IFERROR(__xludf.DUMMYFUNCTION("""COMPUTED_VALUE"""),0.5)</f>
        <v>0.5</v>
      </c>
      <c r="J1045" s="12">
        <f>IFERROR(__xludf.DUMMYFUNCTION("""COMPUTED_VALUE"""),1.9)</f>
        <v>1.9</v>
      </c>
      <c r="K1045" s="12">
        <f>IFERROR(__xludf.DUMMYFUNCTION("""COMPUTED_VALUE"""),0.07)</f>
        <v>0.07</v>
      </c>
      <c r="L1045" s="14">
        <f>IFERROR(__xludf.DUMMYFUNCTION("""COMPUTED_VALUE"""),43.443)</f>
        <v>43.443</v>
      </c>
      <c r="M1045" s="14">
        <f>IFERROR(__xludf.DUMMYFUNCTION("""COMPUTED_VALUE"""),43.308)</f>
        <v>43.308</v>
      </c>
      <c r="N1045" s="14">
        <f>IFERROR(__xludf.DUMMYFUNCTION("""COMPUTED_VALUE"""),43.544)</f>
        <v>43.544</v>
      </c>
      <c r="O1045" s="14">
        <f>IFERROR(__xludf.DUMMYFUNCTION("""COMPUTED_VALUE"""),44.13)</f>
        <v>44.13</v>
      </c>
      <c r="P1045" s="14">
        <f>IFERROR(__xludf.DUMMYFUNCTION("""COMPUTED_VALUE"""),43.833)</f>
        <v>43.833</v>
      </c>
      <c r="Q1045" s="14">
        <f>IFERROR(__xludf.DUMMYFUNCTION("""COMPUTED_VALUE"""),43.652)</f>
        <v>43.652</v>
      </c>
      <c r="R1045" s="48">
        <f>IFERROR(__xludf.DUMMYFUNCTION("""COMPUTED_VALUE"""),7.26)</f>
        <v>7.26</v>
      </c>
      <c r="S1045" s="48">
        <f>IFERROR(__xludf.DUMMYFUNCTION("""COMPUTED_VALUE"""),7.3)</f>
        <v>7.3</v>
      </c>
      <c r="T1045" s="48">
        <f>IFERROR(__xludf.DUMMYFUNCTION("""COMPUTED_VALUE"""),7.41)</f>
        <v>7.41</v>
      </c>
      <c r="U1045" s="48">
        <f>IFERROR(__xludf.DUMMYFUNCTION("""COMPUTED_VALUE"""),7.36)</f>
        <v>7.36</v>
      </c>
      <c r="V1045" s="48">
        <f>IFERROR(__xludf.DUMMYFUNCTION("""COMPUTED_VALUE"""),7.36)</f>
        <v>7.36</v>
      </c>
      <c r="W1045" s="14">
        <f>IFERROR(__xludf.DUMMYFUNCTION("""COMPUTED_VALUE"""),7.337999999999999)</f>
        <v>7.338</v>
      </c>
      <c r="X1045" s="14">
        <f>IFERROR(__xludf.DUMMYFUNCTION("""COMPUTED_VALUE"""),16.2)</f>
        <v>16.2</v>
      </c>
      <c r="Y1045" s="14">
        <f>IFERROR(__xludf.DUMMYFUNCTION("""COMPUTED_VALUE"""),16.8)</f>
        <v>16.8</v>
      </c>
      <c r="Z1045" s="14">
        <f>IFERROR(__xludf.DUMMYFUNCTION("""COMPUTED_VALUE"""),17.4)</f>
        <v>17.4</v>
      </c>
      <c r="AA1045" s="14">
        <f>IFERROR(__xludf.DUMMYFUNCTION("""COMPUTED_VALUE"""),17.1)</f>
        <v>17.1</v>
      </c>
      <c r="AB1045" s="14">
        <f>IFERROR(__xludf.DUMMYFUNCTION("""COMPUTED_VALUE"""),17.1)</f>
        <v>17.1</v>
      </c>
      <c r="AC1045" s="14">
        <f>IFERROR(__xludf.DUMMYFUNCTION("""COMPUTED_VALUE"""),16.919999999999998)</f>
        <v>16.92</v>
      </c>
      <c r="AD1045" s="48">
        <f>IFERROR(__xludf.DUMMYFUNCTION("""COMPUTED_VALUE"""),424.0)</f>
        <v>424</v>
      </c>
      <c r="AE1045" s="48">
        <f>IFERROR(__xludf.DUMMYFUNCTION("""COMPUTED_VALUE"""),428.0)</f>
        <v>428</v>
      </c>
      <c r="AF1045" s="48">
        <f>IFERROR(__xludf.DUMMYFUNCTION("""COMPUTED_VALUE"""),429.0)</f>
        <v>429</v>
      </c>
      <c r="AG1045" s="48">
        <f>IFERROR(__xludf.DUMMYFUNCTION("""COMPUTED_VALUE"""),437.0)</f>
        <v>437</v>
      </c>
      <c r="AH1045" s="48">
        <f>IFERROR(__xludf.DUMMYFUNCTION("""COMPUTED_VALUE"""),441.0)</f>
        <v>441</v>
      </c>
      <c r="AI1045" s="14">
        <f>IFERROR(__xludf.DUMMYFUNCTION("""COMPUTED_VALUE"""),431.8)</f>
        <v>431.8</v>
      </c>
      <c r="AJ1045" s="14">
        <f>IFERROR(__xludf.DUMMYFUNCTION("""COMPUTED_VALUE"""),6.19)</f>
        <v>6.19</v>
      </c>
      <c r="AK1045" s="14">
        <f>IFERROR(__xludf.DUMMYFUNCTION("""COMPUTED_VALUE"""),5.74)</f>
        <v>5.74</v>
      </c>
      <c r="AL1045" s="14">
        <f>IFERROR(__xludf.DUMMYFUNCTION("""COMPUTED_VALUE"""),5.97)</f>
        <v>5.97</v>
      </c>
      <c r="AM1045" s="14">
        <f>IFERROR(__xludf.DUMMYFUNCTION("""COMPUTED_VALUE"""),5.77)</f>
        <v>5.77</v>
      </c>
      <c r="AN1045" s="14">
        <f>IFERROR(__xludf.DUMMYFUNCTION("""COMPUTED_VALUE"""),5.54)</f>
        <v>5.54</v>
      </c>
      <c r="AO1045" s="14">
        <f>IFERROR(__xludf.DUMMYFUNCTION("""COMPUTED_VALUE"""),5.842)</f>
        <v>5.842</v>
      </c>
      <c r="AP1045" s="14">
        <f>IFERROR(__xludf.DUMMYFUNCTION("""COMPUTED_VALUE"""),10.0)</f>
        <v>10</v>
      </c>
      <c r="AQ1045" s="14">
        <f>IFERROR(__xludf.DUMMYFUNCTION("""COMPUTED_VALUE"""),25.0)</f>
        <v>25</v>
      </c>
      <c r="AR1045" s="14">
        <f>IFERROR(__xludf.DUMMYFUNCTION("""COMPUTED_VALUE"""),21.0)</f>
        <v>21</v>
      </c>
      <c r="AS1045" s="14">
        <f>IFERROR(__xludf.DUMMYFUNCTION("""COMPUTED_VALUE"""),1.0)</f>
        <v>1</v>
      </c>
      <c r="AT1045" s="14">
        <f>IFERROR(__xludf.DUMMYFUNCTION("""COMPUTED_VALUE"""),0.25)</f>
        <v>0.25</v>
      </c>
      <c r="AU1045" s="14">
        <f>IFERROR(__xludf.DUMMYFUNCTION("""COMPUTED_VALUE"""),54800.0)</f>
        <v>54800</v>
      </c>
      <c r="AV1045" s="14">
        <f>IFERROR(__xludf.DUMMYFUNCTION("""COMPUTED_VALUE"""),1.72)</f>
        <v>1.72</v>
      </c>
      <c r="AW1045" s="14">
        <f>IFERROR(__xludf.DUMMYFUNCTION("""COMPUTED_VALUE"""),12.3)</f>
        <v>12.3</v>
      </c>
      <c r="AX1045" s="14">
        <f>IFERROR(__xludf.DUMMYFUNCTION("""COMPUTED_VALUE"""),32300.0)</f>
        <v>32300</v>
      </c>
      <c r="AY1045" s="14">
        <f>IFERROR(__xludf.DUMMYFUNCTION("""COMPUTED_VALUE"""),5.1)</f>
        <v>5.1</v>
      </c>
      <c r="AZ1045" s="14">
        <f>IFERROR(__xludf.DUMMYFUNCTION("""COMPUTED_VALUE"""),0.225)</f>
        <v>0.225</v>
      </c>
      <c r="BA1045" s="14">
        <f t="shared" si="1"/>
        <v>17.625</v>
      </c>
    </row>
    <row r="1046" ht="14.25" customHeight="1">
      <c r="A1046" s="10" t="str">
        <f>IFERROR(__xludf.DUMMYFUNCTION("""COMPUTED_VALUE"""),"270324JG01")</f>
        <v>270324JG01</v>
      </c>
      <c r="B1046" s="12" t="str">
        <f>IFERROR(__xludf.DUMMYFUNCTION("""COMPUTED_VALUE"""),"QYO-Bolonia")</f>
        <v>QYO-Bolonia</v>
      </c>
      <c r="C1046" s="12"/>
      <c r="D1046" s="12"/>
      <c r="E1046" s="44">
        <f>IFERROR(__xludf.DUMMYFUNCTION("""COMPUTED_VALUE"""),45378.0)</f>
        <v>45378</v>
      </c>
      <c r="F1046" s="12" t="str">
        <f>IFERROR(__xludf.DUMMYFUNCTION("""COMPUTED_VALUE"""),"TIPO I")</f>
        <v>TIPO I</v>
      </c>
      <c r="G1046" s="12" t="str">
        <f>IFERROR(__xludf.DUMMYFUNCTION("""COMPUTED_VALUE"""),"Lecho natural rocoso, presencia de residuos sólidos, se observa color, se percibe olor. Las mediciones se llevan 50 mts abajo de la confluencia de la Quebrada Yomasa. Alrededor de las 8:45 se presenta una coloración verdosa en el cuerpo de agua debido a q"&amp;"ue aguas arriba habitantes de calle vierten sustancias liquidas")</f>
        <v>Lecho natural rocoso, presencia de residuos sólidos, se observa color, se percibe olor. Las mediciones se llevan 50 mts abajo de la confluencia de la Quebrada Yomasa. Alrededor de las 8:45 se presenta una coloración verdosa en el cuerpo de agua debido a que aguas arriba habitantes de calle vierten sustancias liquidas</v>
      </c>
      <c r="H1046" s="45">
        <f>IFERROR(__xludf.DUMMYFUNCTION("""COMPUTED_VALUE"""),0.3333333333321207)</f>
        <v>0.3333333333</v>
      </c>
      <c r="I1046" s="45">
        <f>IFERROR(__xludf.DUMMYFUNCTION("""COMPUTED_VALUE"""),0.4166666666678793)</f>
        <v>0.4166666667</v>
      </c>
      <c r="J1046" s="12">
        <f>IFERROR(__xludf.DUMMYFUNCTION("""COMPUTED_VALUE"""),2.1)</f>
        <v>2.1</v>
      </c>
      <c r="K1046" s="12">
        <f>IFERROR(__xludf.DUMMYFUNCTION("""COMPUTED_VALUE"""),0.29)</f>
        <v>0.29</v>
      </c>
      <c r="L1046" s="14">
        <f>IFERROR(__xludf.DUMMYFUNCTION("""COMPUTED_VALUE"""),125.088)</f>
        <v>125.088</v>
      </c>
      <c r="M1046" s="14">
        <f>IFERROR(__xludf.DUMMYFUNCTION("""COMPUTED_VALUE"""),128.865)</f>
        <v>128.865</v>
      </c>
      <c r="N1046" s="14">
        <f>IFERROR(__xludf.DUMMYFUNCTION("""COMPUTED_VALUE"""),131.872)</f>
        <v>131.872</v>
      </c>
      <c r="O1046" s="14">
        <f>IFERROR(__xludf.DUMMYFUNCTION("""COMPUTED_VALUE"""),132.022)</f>
        <v>132.022</v>
      </c>
      <c r="P1046" s="14">
        <f>IFERROR(__xludf.DUMMYFUNCTION("""COMPUTED_VALUE"""),134.992)</f>
        <v>134.992</v>
      </c>
      <c r="Q1046" s="14">
        <f>IFERROR(__xludf.DUMMYFUNCTION("""COMPUTED_VALUE"""),130.568)</f>
        <v>130.568</v>
      </c>
      <c r="R1046" s="48">
        <f>IFERROR(__xludf.DUMMYFUNCTION("""COMPUTED_VALUE"""),7.62)</f>
        <v>7.62</v>
      </c>
      <c r="S1046" s="48">
        <f>IFERROR(__xludf.DUMMYFUNCTION("""COMPUTED_VALUE"""),7.86)</f>
        <v>7.86</v>
      </c>
      <c r="T1046" s="48">
        <f>IFERROR(__xludf.DUMMYFUNCTION("""COMPUTED_VALUE"""),7.88)</f>
        <v>7.88</v>
      </c>
      <c r="U1046" s="48">
        <f>IFERROR(__xludf.DUMMYFUNCTION("""COMPUTED_VALUE"""),7.93)</f>
        <v>7.93</v>
      </c>
      <c r="V1046" s="48">
        <f>IFERROR(__xludf.DUMMYFUNCTION("""COMPUTED_VALUE"""),7.94)</f>
        <v>7.94</v>
      </c>
      <c r="W1046" s="14">
        <f>IFERROR(__xludf.DUMMYFUNCTION("""COMPUTED_VALUE"""),7.845999999999999)</f>
        <v>7.846</v>
      </c>
      <c r="X1046" s="14">
        <f>IFERROR(__xludf.DUMMYFUNCTION("""COMPUTED_VALUE"""),14.5)</f>
        <v>14.5</v>
      </c>
      <c r="Y1046" s="14">
        <f>IFERROR(__xludf.DUMMYFUNCTION("""COMPUTED_VALUE"""),14.3)</f>
        <v>14.3</v>
      </c>
      <c r="Z1046" s="14">
        <f>IFERROR(__xludf.DUMMYFUNCTION("""COMPUTED_VALUE"""),14.3)</f>
        <v>14.3</v>
      </c>
      <c r="AA1046" s="14">
        <f>IFERROR(__xludf.DUMMYFUNCTION("""COMPUTED_VALUE"""),14.5)</f>
        <v>14.5</v>
      </c>
      <c r="AB1046" s="14">
        <f>IFERROR(__xludf.DUMMYFUNCTION("""COMPUTED_VALUE"""),15.3)</f>
        <v>15.3</v>
      </c>
      <c r="AC1046" s="14">
        <f>IFERROR(__xludf.DUMMYFUNCTION("""COMPUTED_VALUE"""),14.580000000000002)</f>
        <v>14.58</v>
      </c>
      <c r="AD1046" s="48">
        <f>IFERROR(__xludf.DUMMYFUNCTION("""COMPUTED_VALUE"""),289.0)</f>
        <v>289</v>
      </c>
      <c r="AE1046" s="48">
        <f>IFERROR(__xludf.DUMMYFUNCTION("""COMPUTED_VALUE"""),282.0)</f>
        <v>282</v>
      </c>
      <c r="AF1046" s="48">
        <f>IFERROR(__xludf.DUMMYFUNCTION("""COMPUTED_VALUE"""),278.0)</f>
        <v>278</v>
      </c>
      <c r="AG1046" s="48">
        <f>IFERROR(__xludf.DUMMYFUNCTION("""COMPUTED_VALUE"""),284.0)</f>
        <v>284</v>
      </c>
      <c r="AH1046" s="48">
        <f>IFERROR(__xludf.DUMMYFUNCTION("""COMPUTED_VALUE"""),289.0)</f>
        <v>289</v>
      </c>
      <c r="AI1046" s="14">
        <f>IFERROR(__xludf.DUMMYFUNCTION("""COMPUTED_VALUE"""),284.4)</f>
        <v>284.4</v>
      </c>
      <c r="AJ1046" s="14">
        <f>IFERROR(__xludf.DUMMYFUNCTION("""COMPUTED_VALUE"""),4.75)</f>
        <v>4.75</v>
      </c>
      <c r="AK1046" s="14">
        <f>IFERROR(__xludf.DUMMYFUNCTION("""COMPUTED_VALUE"""),4.58)</f>
        <v>4.58</v>
      </c>
      <c r="AL1046" s="14">
        <f>IFERROR(__xludf.DUMMYFUNCTION("""COMPUTED_VALUE"""),4.62)</f>
        <v>4.62</v>
      </c>
      <c r="AM1046" s="14">
        <f>IFERROR(__xludf.DUMMYFUNCTION("""COMPUTED_VALUE"""),4.43)</f>
        <v>4.43</v>
      </c>
      <c r="AN1046" s="14">
        <f>IFERROR(__xludf.DUMMYFUNCTION("""COMPUTED_VALUE"""),4.63)</f>
        <v>4.63</v>
      </c>
      <c r="AO1046" s="14">
        <f>IFERROR(__xludf.DUMMYFUNCTION("""COMPUTED_VALUE"""),4.601999999999999)</f>
        <v>4.602</v>
      </c>
      <c r="AP1046" s="14">
        <f>IFERROR(__xludf.DUMMYFUNCTION("""COMPUTED_VALUE"""),12.0)</f>
        <v>12</v>
      </c>
      <c r="AQ1046" s="14">
        <f>IFERROR(__xludf.DUMMYFUNCTION("""COMPUTED_VALUE"""),35.0)</f>
        <v>35</v>
      </c>
      <c r="AR1046" s="14">
        <f>IFERROR(__xludf.DUMMYFUNCTION("""COMPUTED_VALUE"""),30.0)</f>
        <v>30</v>
      </c>
      <c r="AS1046" s="14">
        <f>IFERROR(__xludf.DUMMYFUNCTION("""COMPUTED_VALUE"""),1.0)</f>
        <v>1</v>
      </c>
      <c r="AT1046" s="14">
        <f>IFERROR(__xludf.DUMMYFUNCTION("""COMPUTED_VALUE"""),0.2)</f>
        <v>0.2</v>
      </c>
      <c r="AU1046" s="14">
        <f>IFERROR(__xludf.DUMMYFUNCTION("""COMPUTED_VALUE"""),1.068E8)</f>
        <v>106800000</v>
      </c>
      <c r="AV1046" s="14">
        <f>IFERROR(__xludf.DUMMYFUNCTION("""COMPUTED_VALUE"""),1.34)</f>
        <v>1.34</v>
      </c>
      <c r="AW1046" s="14">
        <f>IFERROR(__xludf.DUMMYFUNCTION("""COMPUTED_VALUE"""),8.1)</f>
        <v>8.1</v>
      </c>
      <c r="AX1046" s="14">
        <f>IFERROR(__xludf.DUMMYFUNCTION("""COMPUTED_VALUE"""),9.06E7)</f>
        <v>90600000</v>
      </c>
      <c r="AY1046" s="14">
        <f>IFERROR(__xludf.DUMMYFUNCTION("""COMPUTED_VALUE"""),1.5)</f>
        <v>1.5</v>
      </c>
      <c r="AZ1046" s="14">
        <f>IFERROR(__xludf.DUMMYFUNCTION("""COMPUTED_VALUE"""),0.181)</f>
        <v>0.181</v>
      </c>
      <c r="BA1046" s="14">
        <f t="shared" si="1"/>
        <v>9.781</v>
      </c>
    </row>
    <row r="1047" ht="14.25" customHeight="1">
      <c r="A1047" s="10" t="str">
        <f>IFERROR(__xludf.DUMMYFUNCTION("""COMPUTED_VALUE"""),"270324SA02")</f>
        <v>270324SA02</v>
      </c>
      <c r="B1047" s="12" t="str">
        <f>IFERROR(__xludf.DUMMYFUNCTION("""COMPUTED_VALUE"""),"QYO-Arrayanal")</f>
        <v>QYO-Arrayanal</v>
      </c>
      <c r="C1047" s="12"/>
      <c r="D1047" s="12"/>
      <c r="E1047" s="44">
        <f>IFERROR(__xludf.DUMMYFUNCTION("""COMPUTED_VALUE"""),45378.0)</f>
        <v>45378</v>
      </c>
      <c r="F1047" s="12" t="str">
        <f>IFERROR(__xludf.DUMMYFUNCTION("""COMPUTED_VALUE"""),"TIPO I")</f>
        <v>TIPO I</v>
      </c>
      <c r="G1047" s="12" t="str">
        <f>IFERROR(__xludf.DUMMYFUNCTION("""COMPUTED_VALUE"""),"Lecho natural, rocoso-arenoso. Durante el desarrollo del monitoreo se observa color y se percibe olor.")</f>
        <v>Lecho natural, rocoso-arenoso. Durante el desarrollo del monitoreo se observa color y se percibe olor.</v>
      </c>
      <c r="H1047" s="45">
        <f>IFERROR(__xludf.DUMMYFUNCTION("""COMPUTED_VALUE"""),0.4166666666678793)</f>
        <v>0.4166666667</v>
      </c>
      <c r="I1047" s="45">
        <f>IFERROR(__xludf.DUMMYFUNCTION("""COMPUTED_VALUE"""),0.5)</f>
        <v>0.5</v>
      </c>
      <c r="J1047" s="12">
        <f>IFERROR(__xludf.DUMMYFUNCTION("""COMPUTED_VALUE"""),1.8)</f>
        <v>1.8</v>
      </c>
      <c r="K1047" s="12">
        <f>IFERROR(__xludf.DUMMYFUNCTION("""COMPUTED_VALUE"""),0.23)</f>
        <v>0.23</v>
      </c>
      <c r="L1047" s="14">
        <f>IFERROR(__xludf.DUMMYFUNCTION("""COMPUTED_VALUE"""),61.999)</f>
        <v>61.999</v>
      </c>
      <c r="M1047" s="14">
        <f>IFERROR(__xludf.DUMMYFUNCTION("""COMPUTED_VALUE"""),62.176)</f>
        <v>62.176</v>
      </c>
      <c r="N1047" s="14">
        <f>IFERROR(__xludf.DUMMYFUNCTION("""COMPUTED_VALUE"""),62.477)</f>
        <v>62.477</v>
      </c>
      <c r="O1047" s="14">
        <f>IFERROR(__xludf.DUMMYFUNCTION("""COMPUTED_VALUE"""),62.537)</f>
        <v>62.537</v>
      </c>
      <c r="P1047" s="14">
        <f>IFERROR(__xludf.DUMMYFUNCTION("""COMPUTED_VALUE"""),62.411)</f>
        <v>62.411</v>
      </c>
      <c r="Q1047" s="14">
        <f>IFERROR(__xludf.DUMMYFUNCTION("""COMPUTED_VALUE"""),62.32)</f>
        <v>62.32</v>
      </c>
      <c r="R1047" s="48">
        <f>IFERROR(__xludf.DUMMYFUNCTION("""COMPUTED_VALUE"""),6.92)</f>
        <v>6.92</v>
      </c>
      <c r="S1047" s="48">
        <f>IFERROR(__xludf.DUMMYFUNCTION("""COMPUTED_VALUE"""),6.87)</f>
        <v>6.87</v>
      </c>
      <c r="T1047" s="48">
        <f>IFERROR(__xludf.DUMMYFUNCTION("""COMPUTED_VALUE"""),7.0)</f>
        <v>7</v>
      </c>
      <c r="U1047" s="48">
        <f>IFERROR(__xludf.DUMMYFUNCTION("""COMPUTED_VALUE"""),6.66)</f>
        <v>6.66</v>
      </c>
      <c r="V1047" s="48">
        <f>IFERROR(__xludf.DUMMYFUNCTION("""COMPUTED_VALUE"""),6.84)</f>
        <v>6.84</v>
      </c>
      <c r="W1047" s="14">
        <f>IFERROR(__xludf.DUMMYFUNCTION("""COMPUTED_VALUE"""),6.858)</f>
        <v>6.858</v>
      </c>
      <c r="X1047" s="14">
        <f>IFERROR(__xludf.DUMMYFUNCTION("""COMPUTED_VALUE"""),14.0)</f>
        <v>14</v>
      </c>
      <c r="Y1047" s="14">
        <f>IFERROR(__xludf.DUMMYFUNCTION("""COMPUTED_VALUE"""),14.0)</f>
        <v>14</v>
      </c>
      <c r="Z1047" s="14">
        <f>IFERROR(__xludf.DUMMYFUNCTION("""COMPUTED_VALUE"""),13.9)</f>
        <v>13.9</v>
      </c>
      <c r="AA1047" s="14">
        <f>IFERROR(__xludf.DUMMYFUNCTION("""COMPUTED_VALUE"""),14.8)</f>
        <v>14.8</v>
      </c>
      <c r="AB1047" s="14">
        <f>IFERROR(__xludf.DUMMYFUNCTION("""COMPUTED_VALUE"""),14.4)</f>
        <v>14.4</v>
      </c>
      <c r="AC1047" s="14">
        <f>IFERROR(__xludf.DUMMYFUNCTION("""COMPUTED_VALUE"""),14.220000000000002)</f>
        <v>14.22</v>
      </c>
      <c r="AD1047" s="48">
        <f>IFERROR(__xludf.DUMMYFUNCTION("""COMPUTED_VALUE"""),265.0)</f>
        <v>265</v>
      </c>
      <c r="AE1047" s="48">
        <f>IFERROR(__xludf.DUMMYFUNCTION("""COMPUTED_VALUE"""),278.0)</f>
        <v>278</v>
      </c>
      <c r="AF1047" s="48">
        <f>IFERROR(__xludf.DUMMYFUNCTION("""COMPUTED_VALUE"""),287.0)</f>
        <v>287</v>
      </c>
      <c r="AG1047" s="48">
        <f>IFERROR(__xludf.DUMMYFUNCTION("""COMPUTED_VALUE"""),254.0)</f>
        <v>254</v>
      </c>
      <c r="AH1047" s="48">
        <f>IFERROR(__xludf.DUMMYFUNCTION("""COMPUTED_VALUE"""),293.0)</f>
        <v>293</v>
      </c>
      <c r="AI1047" s="14">
        <f>IFERROR(__xludf.DUMMYFUNCTION("""COMPUTED_VALUE"""),275.4)</f>
        <v>275.4</v>
      </c>
      <c r="AJ1047" s="14">
        <f>IFERROR(__xludf.DUMMYFUNCTION("""COMPUTED_VALUE"""),4.1)</f>
        <v>4.1</v>
      </c>
      <c r="AK1047" s="14">
        <f>IFERROR(__xludf.DUMMYFUNCTION("""COMPUTED_VALUE"""),4.38)</f>
        <v>4.38</v>
      </c>
      <c r="AL1047" s="14">
        <f>IFERROR(__xludf.DUMMYFUNCTION("""COMPUTED_VALUE"""),4.45)</f>
        <v>4.45</v>
      </c>
      <c r="AM1047" s="14">
        <f>IFERROR(__xludf.DUMMYFUNCTION("""COMPUTED_VALUE"""),4.19)</f>
        <v>4.19</v>
      </c>
      <c r="AN1047" s="14">
        <f>IFERROR(__xludf.DUMMYFUNCTION("""COMPUTED_VALUE"""),4.12)</f>
        <v>4.12</v>
      </c>
      <c r="AO1047" s="14">
        <f>IFERROR(__xludf.DUMMYFUNCTION("""COMPUTED_VALUE"""),4.248)</f>
        <v>4.248</v>
      </c>
      <c r="AP1047" s="14">
        <f>IFERROR(__xludf.DUMMYFUNCTION("""COMPUTED_VALUE"""),18.0)</f>
        <v>18</v>
      </c>
      <c r="AQ1047" s="14">
        <f>IFERROR(__xludf.DUMMYFUNCTION("""COMPUTED_VALUE"""),35.0)</f>
        <v>35</v>
      </c>
      <c r="AR1047" s="14">
        <f>IFERROR(__xludf.DUMMYFUNCTION("""COMPUTED_VALUE"""),27.0)</f>
        <v>27</v>
      </c>
      <c r="AS1047" s="14">
        <f>IFERROR(__xludf.DUMMYFUNCTION("""COMPUTED_VALUE"""),1.0)</f>
        <v>1</v>
      </c>
      <c r="AT1047" s="14">
        <f>IFERROR(__xludf.DUMMYFUNCTION("""COMPUTED_VALUE"""),0.07)</f>
        <v>0.07</v>
      </c>
      <c r="AU1047" s="14">
        <f>IFERROR(__xludf.DUMMYFUNCTION("""COMPUTED_VALUE"""),1689000.0)</f>
        <v>1689000</v>
      </c>
      <c r="AV1047" s="14">
        <f>IFERROR(__xludf.DUMMYFUNCTION("""COMPUTED_VALUE"""),0.43)</f>
        <v>0.43</v>
      </c>
      <c r="AW1047" s="14">
        <f>IFERROR(__xludf.DUMMYFUNCTION("""COMPUTED_VALUE"""),5.6)</f>
        <v>5.6</v>
      </c>
      <c r="AX1047" s="14">
        <f>IFERROR(__xludf.DUMMYFUNCTION("""COMPUTED_VALUE"""),1615000.0)</f>
        <v>1615000</v>
      </c>
      <c r="AY1047" s="14">
        <f>IFERROR(__xludf.DUMMYFUNCTION("""COMPUTED_VALUE"""),2.0)</f>
        <v>2</v>
      </c>
      <c r="AZ1047" s="14">
        <f>IFERROR(__xludf.DUMMYFUNCTION("""COMPUTED_VALUE"""),0.338)</f>
        <v>0.338</v>
      </c>
      <c r="BA1047" s="14">
        <f t="shared" si="1"/>
        <v>7.938</v>
      </c>
    </row>
    <row r="1048" ht="14.25" customHeight="1">
      <c r="A1048" s="10" t="str">
        <f>IFERROR(__xludf.DUMMYFUNCTION("""COMPUTED_VALUE"""),"270324FM01")</f>
        <v>270324FM01</v>
      </c>
      <c r="B1048" s="12" t="str">
        <f>IFERROR(__xludf.DUMMYFUNCTION("""COMPUTED_VALUE"""),"QYO-Monte Blanco")</f>
        <v>QYO-Monte Blanco</v>
      </c>
      <c r="C1048" s="12"/>
      <c r="D1048" s="12"/>
      <c r="E1048" s="44">
        <f>IFERROR(__xludf.DUMMYFUNCTION("""COMPUTED_VALUE"""),45378.0)</f>
        <v>45378</v>
      </c>
      <c r="F1048" s="12" t="str">
        <f>IFERROR(__xludf.DUMMYFUNCTION("""COMPUTED_VALUE"""),"TIPO I")</f>
        <v>TIPO I</v>
      </c>
      <c r="G1048" s="12" t="str">
        <f>IFERROR(__xludf.DUMMYFUNCTION("""COMPUTED_VALUE"""),"Monitoreo realizado en lecho natural rocoso con cobertura vegetal arbórea; durante la toma de muestra se observa color, se percibe olor, se evidencian residuos sólidos al margen del cuerpo de agua. Altitud: 2643 ms.s.n.m")</f>
        <v>Monitoreo realizado en lecho natural rocoso con cobertura vegetal arbórea; durante la toma de muestra se observa color, se percibe olor, se evidencian residuos sólidos al margen del cuerpo de agua. Altitud: 2643 ms.s.n.m</v>
      </c>
      <c r="H1048" s="45">
        <f>IFERROR(__xludf.DUMMYFUNCTION("""COMPUTED_VALUE"""),0.25)</f>
        <v>0.25</v>
      </c>
      <c r="I1048" s="45">
        <f>IFERROR(__xludf.DUMMYFUNCTION("""COMPUTED_VALUE"""),0.3333333333321207)</f>
        <v>0.3333333333</v>
      </c>
      <c r="J1048" s="12">
        <f>IFERROR(__xludf.DUMMYFUNCTION("""COMPUTED_VALUE"""),1.4)</f>
        <v>1.4</v>
      </c>
      <c r="K1048" s="12">
        <f>IFERROR(__xludf.DUMMYFUNCTION("""COMPUTED_VALUE"""),0.32)</f>
        <v>0.32</v>
      </c>
      <c r="L1048" s="14">
        <f>IFERROR(__xludf.DUMMYFUNCTION("""COMPUTED_VALUE"""),167.695)</f>
        <v>167.695</v>
      </c>
      <c r="M1048" s="14">
        <f>IFERROR(__xludf.DUMMYFUNCTION("""COMPUTED_VALUE"""),165.508)</f>
        <v>165.508</v>
      </c>
      <c r="N1048" s="14">
        <f>IFERROR(__xludf.DUMMYFUNCTION("""COMPUTED_VALUE"""),169.925)</f>
        <v>169.925</v>
      </c>
      <c r="O1048" s="14">
        <f>IFERROR(__xludf.DUMMYFUNCTION("""COMPUTED_VALUE"""),170.615)</f>
        <v>170.615</v>
      </c>
      <c r="P1048" s="14">
        <f>IFERROR(__xludf.DUMMYFUNCTION("""COMPUTED_VALUE"""),169.034)</f>
        <v>169.034</v>
      </c>
      <c r="Q1048" s="14">
        <f>IFERROR(__xludf.DUMMYFUNCTION("""COMPUTED_VALUE"""),168.556)</f>
        <v>168.556</v>
      </c>
      <c r="R1048" s="48">
        <f>IFERROR(__xludf.DUMMYFUNCTION("""COMPUTED_VALUE"""),8.05)</f>
        <v>8.05</v>
      </c>
      <c r="S1048" s="48">
        <f>IFERROR(__xludf.DUMMYFUNCTION("""COMPUTED_VALUE"""),8.09)</f>
        <v>8.09</v>
      </c>
      <c r="T1048" s="48">
        <f>IFERROR(__xludf.DUMMYFUNCTION("""COMPUTED_VALUE"""),8.05)</f>
        <v>8.05</v>
      </c>
      <c r="U1048" s="48">
        <f>IFERROR(__xludf.DUMMYFUNCTION("""COMPUTED_VALUE"""),8.1)</f>
        <v>8.1</v>
      </c>
      <c r="V1048" s="48">
        <f>IFERROR(__xludf.DUMMYFUNCTION("""COMPUTED_VALUE"""),8.12)</f>
        <v>8.12</v>
      </c>
      <c r="W1048" s="14">
        <f>IFERROR(__xludf.DUMMYFUNCTION("""COMPUTED_VALUE"""),8.081999999999999)</f>
        <v>8.082</v>
      </c>
      <c r="X1048" s="14">
        <f>IFERROR(__xludf.DUMMYFUNCTION("""COMPUTED_VALUE"""),15.0)</f>
        <v>15</v>
      </c>
      <c r="Y1048" s="14">
        <f>IFERROR(__xludf.DUMMYFUNCTION("""COMPUTED_VALUE"""),14.8)</f>
        <v>14.8</v>
      </c>
      <c r="Z1048" s="14">
        <f>IFERROR(__xludf.DUMMYFUNCTION("""COMPUTED_VALUE"""),15.3)</f>
        <v>15.3</v>
      </c>
      <c r="AA1048" s="14">
        <f>IFERROR(__xludf.DUMMYFUNCTION("""COMPUTED_VALUE"""),15.5)</f>
        <v>15.5</v>
      </c>
      <c r="AB1048" s="14">
        <f>IFERROR(__xludf.DUMMYFUNCTION("""COMPUTED_VALUE"""),15.6)</f>
        <v>15.6</v>
      </c>
      <c r="AC1048" s="14">
        <f>IFERROR(__xludf.DUMMYFUNCTION("""COMPUTED_VALUE"""),15.24)</f>
        <v>15.24</v>
      </c>
      <c r="AD1048" s="48">
        <f>IFERROR(__xludf.DUMMYFUNCTION("""COMPUTED_VALUE"""),390.0)</f>
        <v>390</v>
      </c>
      <c r="AE1048" s="48">
        <f>IFERROR(__xludf.DUMMYFUNCTION("""COMPUTED_VALUE"""),394.0)</f>
        <v>394</v>
      </c>
      <c r="AF1048" s="48">
        <f>IFERROR(__xludf.DUMMYFUNCTION("""COMPUTED_VALUE"""),401.0)</f>
        <v>401</v>
      </c>
      <c r="AG1048" s="48">
        <f>IFERROR(__xludf.DUMMYFUNCTION("""COMPUTED_VALUE"""),440.0)</f>
        <v>440</v>
      </c>
      <c r="AH1048" s="48">
        <f>IFERROR(__xludf.DUMMYFUNCTION("""COMPUTED_VALUE"""),442.0)</f>
        <v>442</v>
      </c>
      <c r="AI1048" s="14">
        <f>IFERROR(__xludf.DUMMYFUNCTION("""COMPUTED_VALUE"""),413.4)</f>
        <v>413.4</v>
      </c>
      <c r="AJ1048" s="14">
        <f>IFERROR(__xludf.DUMMYFUNCTION("""COMPUTED_VALUE"""),4.74)</f>
        <v>4.74</v>
      </c>
      <c r="AK1048" s="14">
        <f>IFERROR(__xludf.DUMMYFUNCTION("""COMPUTED_VALUE"""),5.0)</f>
        <v>5</v>
      </c>
      <c r="AL1048" s="14">
        <f>IFERROR(__xludf.DUMMYFUNCTION("""COMPUTED_VALUE"""),5.71)</f>
        <v>5.71</v>
      </c>
      <c r="AM1048" s="14">
        <f>IFERROR(__xludf.DUMMYFUNCTION("""COMPUTED_VALUE"""),5.6)</f>
        <v>5.6</v>
      </c>
      <c r="AN1048" s="14">
        <f>IFERROR(__xludf.DUMMYFUNCTION("""COMPUTED_VALUE"""),5.62)</f>
        <v>5.62</v>
      </c>
      <c r="AO1048" s="14">
        <f>IFERROR(__xludf.DUMMYFUNCTION("""COMPUTED_VALUE"""),5.334)</f>
        <v>5.334</v>
      </c>
      <c r="AP1048" s="14">
        <f>IFERROR(__xludf.DUMMYFUNCTION("""COMPUTED_VALUE"""),25.0)</f>
        <v>25</v>
      </c>
      <c r="AQ1048" s="14">
        <f>IFERROR(__xludf.DUMMYFUNCTION("""COMPUTED_VALUE"""),38.0)</f>
        <v>38</v>
      </c>
      <c r="AR1048" s="14">
        <f>IFERROR(__xludf.DUMMYFUNCTION("""COMPUTED_VALUE"""),28.0)</f>
        <v>28</v>
      </c>
      <c r="AS1048" s="14">
        <f>IFERROR(__xludf.DUMMYFUNCTION("""COMPUTED_VALUE"""),1.0)</f>
        <v>1</v>
      </c>
      <c r="AT1048" s="14">
        <f>IFERROR(__xludf.DUMMYFUNCTION("""COMPUTED_VALUE"""),0.07)</f>
        <v>0.07</v>
      </c>
      <c r="AU1048" s="14">
        <f>IFERROR(__xludf.DUMMYFUNCTION("""COMPUTED_VALUE"""),1.455E8)</f>
        <v>145500000</v>
      </c>
      <c r="AV1048" s="14">
        <f>IFERROR(__xludf.DUMMYFUNCTION("""COMPUTED_VALUE"""),0.77)</f>
        <v>0.77</v>
      </c>
      <c r="AW1048" s="14">
        <f>IFERROR(__xludf.DUMMYFUNCTION("""COMPUTED_VALUE"""),11.2)</f>
        <v>11.2</v>
      </c>
      <c r="AX1048" s="14">
        <f>IFERROR(__xludf.DUMMYFUNCTION("""COMPUTED_VALUE"""),1.334E8)</f>
        <v>133400000</v>
      </c>
      <c r="AY1048" s="14">
        <f>IFERROR(__xludf.DUMMYFUNCTION("""COMPUTED_VALUE"""),0.3)</f>
        <v>0.3</v>
      </c>
      <c r="AZ1048" s="14">
        <f>IFERROR(__xludf.DUMMYFUNCTION("""COMPUTED_VALUE"""),0.144)</f>
        <v>0.144</v>
      </c>
      <c r="BA1048" s="14">
        <f t="shared" si="1"/>
        <v>11.644</v>
      </c>
    </row>
    <row r="1049" ht="14.25" customHeight="1">
      <c r="A1049" s="10" t="str">
        <f>IFERROR(__xludf.DUMMYFUNCTION("""COMPUTED_VALUE"""),"060524FM01")</f>
        <v>060524FM01</v>
      </c>
      <c r="B1049" s="12" t="str">
        <f>IFERROR(__xludf.DUMMYFUNCTION("""COMPUTED_VALUE"""),"CMO-Alhambra")</f>
        <v>CMO-Alhambra</v>
      </c>
      <c r="C1049" s="12"/>
      <c r="D1049" s="12"/>
      <c r="E1049" s="44">
        <f>IFERROR(__xludf.DUMMYFUNCTION("""COMPUTED_VALUE"""),45418.0)</f>
        <v>45418</v>
      </c>
      <c r="F1049" s="12" t="str">
        <f>IFERROR(__xludf.DUMMYFUNCTION("""COMPUTED_VALUE"""),"TIPO I")</f>
        <v>TIPO I</v>
      </c>
      <c r="G1049" s="12" t="str">
        <f>IFERROR(__xludf.DUMMYFUNCTION("""COMPUTED_VALUE"""),"Monitoreo realizado en canal artificial con estructura en concreto con sedimentos, algas en el lecho y cobertura vegetal de pastizales. Durante la jornada el personal del acueducto se encuentra desarrollando actividades de descarga de lodos sobre el cauce"&amp;" en la margen izquierda y aguas abajo del punto de monitoreo; durante la toma de muestra 
Altitud:2566 msnm")</f>
        <v>Monitoreo realizado en canal artificial con estructura en concreto con sedimentos, algas en el lecho y cobertura vegetal de pastizales. Durante la jornada el personal del acueducto se encuentra desarrollando actividades de descarga de lodos sobre el cauce en la margen izquierda y aguas abajo del punto de monitoreo; durante la toma de muestra 
Altitud:2566 msnm</v>
      </c>
      <c r="H1049" s="45">
        <f>IFERROR(__xludf.DUMMYFUNCTION("""COMPUTED_VALUE"""),0.25)</f>
        <v>0.25</v>
      </c>
      <c r="I1049" s="45">
        <f>IFERROR(__xludf.DUMMYFUNCTION("""COMPUTED_VALUE"""),0.3333333333321207)</f>
        <v>0.3333333333</v>
      </c>
      <c r="J1049" s="12">
        <f>IFERROR(__xludf.DUMMYFUNCTION("""COMPUTED_VALUE"""),5.7)</f>
        <v>5.7</v>
      </c>
      <c r="K1049" s="12">
        <f>IFERROR(__xludf.DUMMYFUNCTION("""COMPUTED_VALUE"""),0.17)</f>
        <v>0.17</v>
      </c>
      <c r="L1049" s="14">
        <f>IFERROR(__xludf.DUMMYFUNCTION("""COMPUTED_VALUE"""),194.102)</f>
        <v>194.102</v>
      </c>
      <c r="M1049" s="14">
        <f>IFERROR(__xludf.DUMMYFUNCTION("""COMPUTED_VALUE"""),200.819)</f>
        <v>200.819</v>
      </c>
      <c r="N1049" s="14">
        <f>IFERROR(__xludf.DUMMYFUNCTION("""COMPUTED_VALUE"""),203.072)</f>
        <v>203.072</v>
      </c>
      <c r="O1049" s="14">
        <f>IFERROR(__xludf.DUMMYFUNCTION("""COMPUTED_VALUE"""),198.454)</f>
        <v>198.454</v>
      </c>
      <c r="P1049" s="14">
        <f>IFERROR(__xludf.DUMMYFUNCTION("""COMPUTED_VALUE"""),194.051)</f>
        <v>194.051</v>
      </c>
      <c r="Q1049" s="14">
        <f>IFERROR(__xludf.DUMMYFUNCTION("""COMPUTED_VALUE"""),198.1)</f>
        <v>198.1</v>
      </c>
      <c r="R1049" s="48">
        <f>IFERROR(__xludf.DUMMYFUNCTION("""COMPUTED_VALUE"""),6.69)</f>
        <v>6.69</v>
      </c>
      <c r="S1049" s="48">
        <f>IFERROR(__xludf.DUMMYFUNCTION("""COMPUTED_VALUE"""),6.64)</f>
        <v>6.64</v>
      </c>
      <c r="T1049" s="48">
        <f>IFERROR(__xludf.DUMMYFUNCTION("""COMPUTED_VALUE"""),6.64)</f>
        <v>6.64</v>
      </c>
      <c r="U1049" s="48">
        <f>IFERROR(__xludf.DUMMYFUNCTION("""COMPUTED_VALUE"""),6.82)</f>
        <v>6.82</v>
      </c>
      <c r="V1049" s="48">
        <f>IFERROR(__xludf.DUMMYFUNCTION("""COMPUTED_VALUE"""),6.98)</f>
        <v>6.98</v>
      </c>
      <c r="W1049" s="14">
        <f>IFERROR(__xludf.DUMMYFUNCTION("""COMPUTED_VALUE"""),6.754)</f>
        <v>6.754</v>
      </c>
      <c r="X1049" s="14">
        <f>IFERROR(__xludf.DUMMYFUNCTION("""COMPUTED_VALUE"""),16.3)</f>
        <v>16.3</v>
      </c>
      <c r="Y1049" s="14">
        <f>IFERROR(__xludf.DUMMYFUNCTION("""COMPUTED_VALUE"""),16.4)</f>
        <v>16.4</v>
      </c>
      <c r="Z1049" s="14">
        <f>IFERROR(__xludf.DUMMYFUNCTION("""COMPUTED_VALUE"""),16.6)</f>
        <v>16.6</v>
      </c>
      <c r="AA1049" s="14">
        <f>IFERROR(__xludf.DUMMYFUNCTION("""COMPUTED_VALUE"""),16.9)</f>
        <v>16.9</v>
      </c>
      <c r="AB1049" s="14">
        <f>IFERROR(__xludf.DUMMYFUNCTION("""COMPUTED_VALUE"""),17.3)</f>
        <v>17.3</v>
      </c>
      <c r="AC1049" s="14">
        <f>IFERROR(__xludf.DUMMYFUNCTION("""COMPUTED_VALUE"""),16.7)</f>
        <v>16.7</v>
      </c>
      <c r="AD1049" s="48">
        <f>IFERROR(__xludf.DUMMYFUNCTION("""COMPUTED_VALUE"""),344.0)</f>
        <v>344</v>
      </c>
      <c r="AE1049" s="48">
        <f>IFERROR(__xludf.DUMMYFUNCTION("""COMPUTED_VALUE"""),338.0)</f>
        <v>338</v>
      </c>
      <c r="AF1049" s="48">
        <f>IFERROR(__xludf.DUMMYFUNCTION("""COMPUTED_VALUE"""),345.0)</f>
        <v>345</v>
      </c>
      <c r="AG1049" s="48">
        <f>IFERROR(__xludf.DUMMYFUNCTION("""COMPUTED_VALUE"""),373.0)</f>
        <v>373</v>
      </c>
      <c r="AH1049" s="48">
        <f>IFERROR(__xludf.DUMMYFUNCTION("""COMPUTED_VALUE"""),408.0)</f>
        <v>408</v>
      </c>
      <c r="AI1049" s="14">
        <f>IFERROR(__xludf.DUMMYFUNCTION("""COMPUTED_VALUE"""),361.6)</f>
        <v>361.6</v>
      </c>
      <c r="AJ1049" s="14">
        <f>IFERROR(__xludf.DUMMYFUNCTION("""COMPUTED_VALUE"""),1.66)</f>
        <v>1.66</v>
      </c>
      <c r="AK1049" s="14">
        <f>IFERROR(__xludf.DUMMYFUNCTION("""COMPUTED_VALUE"""),1.83)</f>
        <v>1.83</v>
      </c>
      <c r="AL1049" s="14">
        <f>IFERROR(__xludf.DUMMYFUNCTION("""COMPUTED_VALUE"""),2.11)</f>
        <v>2.11</v>
      </c>
      <c r="AM1049" s="14">
        <f>IFERROR(__xludf.DUMMYFUNCTION("""COMPUTED_VALUE"""),1.56)</f>
        <v>1.56</v>
      </c>
      <c r="AN1049" s="14">
        <f>IFERROR(__xludf.DUMMYFUNCTION("""COMPUTED_VALUE"""),1.69)</f>
        <v>1.69</v>
      </c>
      <c r="AO1049" s="14">
        <f>IFERROR(__xludf.DUMMYFUNCTION("""COMPUTED_VALUE"""),1.77)</f>
        <v>1.77</v>
      </c>
      <c r="AP1049" s="14">
        <f>IFERROR(__xludf.DUMMYFUNCTION("""COMPUTED_VALUE"""),15.0)</f>
        <v>15</v>
      </c>
      <c r="AQ1049" s="14">
        <f>IFERROR(__xludf.DUMMYFUNCTION("""COMPUTED_VALUE"""),30.0)</f>
        <v>30</v>
      </c>
      <c r="AR1049" s="14">
        <f>IFERROR(__xludf.DUMMYFUNCTION("""COMPUTED_VALUE"""),17.0)</f>
        <v>17</v>
      </c>
      <c r="AS1049" s="14">
        <f>IFERROR(__xludf.DUMMYFUNCTION("""COMPUTED_VALUE"""),12.1)</f>
        <v>12.1</v>
      </c>
      <c r="AT1049" s="14">
        <f>IFERROR(__xludf.DUMMYFUNCTION("""COMPUTED_VALUE"""),1.46)</f>
        <v>1.46</v>
      </c>
      <c r="AU1049" s="14">
        <f>IFERROR(__xludf.DUMMYFUNCTION("""COMPUTED_VALUE"""),186500.0)</f>
        <v>186500</v>
      </c>
      <c r="AV1049" s="14">
        <f>IFERROR(__xludf.DUMMYFUNCTION("""COMPUTED_VALUE"""),0.92)</f>
        <v>0.92</v>
      </c>
      <c r="AW1049" s="14">
        <f>IFERROR(__xludf.DUMMYFUNCTION("""COMPUTED_VALUE"""),13.4)</f>
        <v>13.4</v>
      </c>
      <c r="AX1049" s="14">
        <f>IFERROR(__xludf.DUMMYFUNCTION("""COMPUTED_VALUE"""),177200.0)</f>
        <v>177200</v>
      </c>
      <c r="AY1049" s="14">
        <f>IFERROR(__xludf.DUMMYFUNCTION("""COMPUTED_VALUE"""),0.6)</f>
        <v>0.6</v>
      </c>
      <c r="AZ1049" s="14">
        <f>IFERROR(__xludf.DUMMYFUNCTION("""COMPUTED_VALUE"""),0.007)</f>
        <v>0.007</v>
      </c>
      <c r="BA1049" s="14">
        <f t="shared" si="1"/>
        <v>14.007</v>
      </c>
    </row>
    <row r="1050" ht="14.25" customHeight="1">
      <c r="A1050" s="10" t="str">
        <f>IFERROR(__xludf.DUMMYFUNCTION("""COMPUTED_VALUE"""),"080524DU01")</f>
        <v>080524DU01</v>
      </c>
      <c r="B1050" s="12" t="str">
        <f>IFERROR(__xludf.DUMMYFUNCTION("""COMPUTED_VALUE"""),"QTR-Quiba")</f>
        <v>QTR-Quiba</v>
      </c>
      <c r="C1050" s="12"/>
      <c r="D1050" s="12"/>
      <c r="E1050" s="44">
        <f>IFERROR(__xludf.DUMMYFUNCTION("""COMPUTED_VALUE"""),45420.0)</f>
        <v>45420</v>
      </c>
      <c r="F1050" s="12" t="str">
        <f>IFERROR(__xludf.DUMMYFUNCTION("""COMPUTED_VALUE"""),"TIPO I")</f>
        <v>TIPO I</v>
      </c>
      <c r="G1050" s="12" t="str">
        <f>IFERROR(__xludf.DUMMYFUNCTION("""COMPUTED_VALUE"""),"Se observa color,  espuma, escombros en el lecho y residuos sólidos a los costados, se percibe olor.
Altitud: 2633 msnm
Coordenadas en campo N:4º32'12.2""    W:74º08'21.6""")</f>
        <v>Se observa color,  espuma, escombros en el lecho y residuos sólidos a los costados, se percibe olor.
Altitud: 2633 msnm
Coordenadas en campo N:4º32'12.2"    W:74º08'21.6"</v>
      </c>
      <c r="H1050" s="45">
        <f>IFERROR(__xludf.DUMMYFUNCTION("""COMPUTED_VALUE"""),0.25)</f>
        <v>0.25</v>
      </c>
      <c r="I1050" s="45">
        <f>IFERROR(__xludf.DUMMYFUNCTION("""COMPUTED_VALUE"""),0.3333333333321207)</f>
        <v>0.3333333333</v>
      </c>
      <c r="J1050" s="12">
        <f>IFERROR(__xludf.DUMMYFUNCTION("""COMPUTED_VALUE"""),1.2)</f>
        <v>1.2</v>
      </c>
      <c r="K1050" s="12">
        <f>IFERROR(__xludf.DUMMYFUNCTION("""COMPUTED_VALUE"""),0.21)</f>
        <v>0.21</v>
      </c>
      <c r="L1050" s="14">
        <f>IFERROR(__xludf.DUMMYFUNCTION("""COMPUTED_VALUE"""),21.031)</f>
        <v>21.031</v>
      </c>
      <c r="M1050" s="14">
        <f>IFERROR(__xludf.DUMMYFUNCTION("""COMPUTED_VALUE"""),23.204)</f>
        <v>23.204</v>
      </c>
      <c r="N1050" s="14">
        <f>IFERROR(__xludf.DUMMYFUNCTION("""COMPUTED_VALUE"""),23.814)</f>
        <v>23.814</v>
      </c>
      <c r="O1050" s="14">
        <f>IFERROR(__xludf.DUMMYFUNCTION("""COMPUTED_VALUE"""),24.054)</f>
        <v>24.054</v>
      </c>
      <c r="P1050" s="14">
        <f>IFERROR(__xludf.DUMMYFUNCTION("""COMPUTED_VALUE"""),24.789)</f>
        <v>24.789</v>
      </c>
      <c r="Q1050" s="14">
        <f>IFERROR(__xludf.DUMMYFUNCTION("""COMPUTED_VALUE"""),23.379)</f>
        <v>23.379</v>
      </c>
      <c r="R1050" s="48">
        <f>IFERROR(__xludf.DUMMYFUNCTION("""COMPUTED_VALUE"""),7.48)</f>
        <v>7.48</v>
      </c>
      <c r="S1050" s="48">
        <f>IFERROR(__xludf.DUMMYFUNCTION("""COMPUTED_VALUE"""),7.52)</f>
        <v>7.52</v>
      </c>
      <c r="T1050" s="48">
        <f>IFERROR(__xludf.DUMMYFUNCTION("""COMPUTED_VALUE"""),7.68)</f>
        <v>7.68</v>
      </c>
      <c r="U1050" s="48">
        <f>IFERROR(__xludf.DUMMYFUNCTION("""COMPUTED_VALUE"""),7.62)</f>
        <v>7.62</v>
      </c>
      <c r="V1050" s="48">
        <f>IFERROR(__xludf.DUMMYFUNCTION("""COMPUTED_VALUE"""),7.65)</f>
        <v>7.65</v>
      </c>
      <c r="W1050" s="14">
        <f>IFERROR(__xludf.DUMMYFUNCTION("""COMPUTED_VALUE"""),7.590000000000001)</f>
        <v>7.59</v>
      </c>
      <c r="X1050" s="14">
        <f>IFERROR(__xludf.DUMMYFUNCTION("""COMPUTED_VALUE"""),15.1)</f>
        <v>15.1</v>
      </c>
      <c r="Y1050" s="14">
        <f>IFERROR(__xludf.DUMMYFUNCTION("""COMPUTED_VALUE"""),15.2)</f>
        <v>15.2</v>
      </c>
      <c r="Z1050" s="14">
        <f>IFERROR(__xludf.DUMMYFUNCTION("""COMPUTED_VALUE"""),15.3)</f>
        <v>15.3</v>
      </c>
      <c r="AA1050" s="14">
        <f>IFERROR(__xludf.DUMMYFUNCTION("""COMPUTED_VALUE"""),15.4)</f>
        <v>15.4</v>
      </c>
      <c r="AB1050" s="14">
        <f>IFERROR(__xludf.DUMMYFUNCTION("""COMPUTED_VALUE"""),15.7)</f>
        <v>15.7</v>
      </c>
      <c r="AC1050" s="14">
        <f>IFERROR(__xludf.DUMMYFUNCTION("""COMPUTED_VALUE"""),15.339999999999998)</f>
        <v>15.34</v>
      </c>
      <c r="AD1050" s="48">
        <f>IFERROR(__xludf.DUMMYFUNCTION("""COMPUTED_VALUE"""),523.0)</f>
        <v>523</v>
      </c>
      <c r="AE1050" s="48">
        <f>IFERROR(__xludf.DUMMYFUNCTION("""COMPUTED_VALUE"""),520.0)</f>
        <v>520</v>
      </c>
      <c r="AF1050" s="48">
        <f>IFERROR(__xludf.DUMMYFUNCTION("""COMPUTED_VALUE"""),535.0)</f>
        <v>535</v>
      </c>
      <c r="AG1050" s="48">
        <f>IFERROR(__xludf.DUMMYFUNCTION("""COMPUTED_VALUE"""),568.0)</f>
        <v>568</v>
      </c>
      <c r="AH1050" s="48">
        <f>IFERROR(__xludf.DUMMYFUNCTION("""COMPUTED_VALUE"""),594.0)</f>
        <v>594</v>
      </c>
      <c r="AI1050" s="14">
        <f>IFERROR(__xludf.DUMMYFUNCTION("""COMPUTED_VALUE"""),548.0)</f>
        <v>548</v>
      </c>
      <c r="AJ1050" s="14">
        <f>IFERROR(__xludf.DUMMYFUNCTION("""COMPUTED_VALUE"""),5.61)</f>
        <v>5.61</v>
      </c>
      <c r="AK1050" s="14">
        <f>IFERROR(__xludf.DUMMYFUNCTION("""COMPUTED_VALUE"""),5.32)</f>
        <v>5.32</v>
      </c>
      <c r="AL1050" s="14">
        <f>IFERROR(__xludf.DUMMYFUNCTION("""COMPUTED_VALUE"""),5.42)</f>
        <v>5.42</v>
      </c>
      <c r="AM1050" s="14">
        <f>IFERROR(__xludf.DUMMYFUNCTION("""COMPUTED_VALUE"""),5.36)</f>
        <v>5.36</v>
      </c>
      <c r="AN1050" s="14">
        <f>IFERROR(__xludf.DUMMYFUNCTION("""COMPUTED_VALUE"""),5.3)</f>
        <v>5.3</v>
      </c>
      <c r="AO1050" s="14">
        <f>IFERROR(__xludf.DUMMYFUNCTION("""COMPUTED_VALUE"""),5.402)</f>
        <v>5.402</v>
      </c>
      <c r="AP1050" s="14">
        <f>IFERROR(__xludf.DUMMYFUNCTION("""COMPUTED_VALUE"""),27.0)</f>
        <v>27</v>
      </c>
      <c r="AQ1050" s="14">
        <f>IFERROR(__xludf.DUMMYFUNCTION("""COMPUTED_VALUE"""),61.0)</f>
        <v>61</v>
      </c>
      <c r="AR1050" s="14">
        <f>IFERROR(__xludf.DUMMYFUNCTION("""COMPUTED_VALUE"""),110.0)</f>
        <v>110</v>
      </c>
      <c r="AS1050" s="14">
        <f>IFERROR(__xludf.DUMMYFUNCTION("""COMPUTED_VALUE"""),11.9)</f>
        <v>11.9</v>
      </c>
      <c r="AT1050" s="14">
        <f>IFERROR(__xludf.DUMMYFUNCTION("""COMPUTED_VALUE"""),1.32)</f>
        <v>1.32</v>
      </c>
      <c r="AU1050" s="14">
        <f>IFERROR(__xludf.DUMMYFUNCTION("""COMPUTED_VALUE"""),1.43E7)</f>
        <v>14300000</v>
      </c>
      <c r="AV1050" s="14">
        <f>IFERROR(__xludf.DUMMYFUNCTION("""COMPUTED_VALUE"""),1.34)</f>
        <v>1.34</v>
      </c>
      <c r="AW1050" s="14">
        <f>IFERROR(__xludf.DUMMYFUNCTION("""COMPUTED_VALUE"""),3.9)</f>
        <v>3.9</v>
      </c>
      <c r="AX1050" s="14">
        <f>IFERROR(__xludf.DUMMYFUNCTION("""COMPUTED_VALUE"""),1.334E7)</f>
        <v>13340000</v>
      </c>
      <c r="AY1050" s="14">
        <f>IFERROR(__xludf.DUMMYFUNCTION("""COMPUTED_VALUE"""),0.5)</f>
        <v>0.5</v>
      </c>
      <c r="AZ1050" s="14">
        <f>IFERROR(__xludf.DUMMYFUNCTION("""COMPUTED_VALUE"""),0.007)</f>
        <v>0.007</v>
      </c>
      <c r="BA1050" s="14">
        <f t="shared" si="1"/>
        <v>4.407</v>
      </c>
    </row>
    <row r="1051" ht="14.25" customHeight="1">
      <c r="A1051" s="10" t="str">
        <f>IFERROR(__xludf.DUMMYFUNCTION("""COMPUTED_VALUE"""),"060524FM02")</f>
        <v>060524FM02</v>
      </c>
      <c r="B1051" s="12" t="str">
        <f>IFERROR(__xludf.DUMMYFUNCTION("""COMPUTED_VALUE"""),"CMO-Pepe Sierra")</f>
        <v>CMO-Pepe Sierra</v>
      </c>
      <c r="C1051" s="12"/>
      <c r="D1051" s="12"/>
      <c r="E1051" s="44">
        <f>IFERROR(__xludf.DUMMYFUNCTION("""COMPUTED_VALUE"""),45418.0)</f>
        <v>45418</v>
      </c>
      <c r="F1051" s="12" t="str">
        <f>IFERROR(__xludf.DUMMYFUNCTION("""COMPUTED_VALUE"""),"TIPO I")</f>
        <v>TIPO I</v>
      </c>
      <c r="G1051" s="12" t="str">
        <f>IFERROR(__xludf.DUMMYFUNCTION("""COMPUTED_VALUE"""),"Se realiza monitoreo en canal artificial en concreto con presencia de algas en el lecho y cobertura vegetal arbórea y de pastizales. Durante el monitoreo se observa color y material flotante y se percibe olor. 
Altitud: 2568 msnm")</f>
        <v>Se realiza monitoreo en canal artificial en concreto con presencia de algas en el lecho y cobertura vegetal arbórea y de pastizales. Durante el monitoreo se observa color y material flotante y se percibe olor. 
Altitud: 2568 msnm</v>
      </c>
      <c r="H1051" s="45">
        <f>IFERROR(__xludf.DUMMYFUNCTION("""COMPUTED_VALUE"""),0.4166666666678793)</f>
        <v>0.4166666667</v>
      </c>
      <c r="I1051" s="45">
        <f>IFERROR(__xludf.DUMMYFUNCTION("""COMPUTED_VALUE"""),0.5)</f>
        <v>0.5</v>
      </c>
      <c r="J1051" s="12">
        <f>IFERROR(__xludf.DUMMYFUNCTION("""COMPUTED_VALUE"""),6.5)</f>
        <v>6.5</v>
      </c>
      <c r="K1051" s="12">
        <f>IFERROR(__xludf.DUMMYFUNCTION("""COMPUTED_VALUE"""),0.17)</f>
        <v>0.17</v>
      </c>
      <c r="L1051" s="14">
        <f>IFERROR(__xludf.DUMMYFUNCTION("""COMPUTED_VALUE"""),231.904)</f>
        <v>231.904</v>
      </c>
      <c r="M1051" s="14">
        <f>IFERROR(__xludf.DUMMYFUNCTION("""COMPUTED_VALUE"""),211.741)</f>
        <v>211.741</v>
      </c>
      <c r="N1051" s="14">
        <f>IFERROR(__xludf.DUMMYFUNCTION("""COMPUTED_VALUE"""),234.792)</f>
        <v>234.792</v>
      </c>
      <c r="O1051" s="14">
        <f>IFERROR(__xludf.DUMMYFUNCTION("""COMPUTED_VALUE"""),229.549)</f>
        <v>229.549</v>
      </c>
      <c r="P1051" s="14">
        <f>IFERROR(__xludf.DUMMYFUNCTION("""COMPUTED_VALUE"""),228.607)</f>
        <v>228.607</v>
      </c>
      <c r="Q1051" s="14">
        <f>IFERROR(__xludf.DUMMYFUNCTION("""COMPUTED_VALUE"""),227.319)</f>
        <v>227.319</v>
      </c>
      <c r="R1051" s="48">
        <f>IFERROR(__xludf.DUMMYFUNCTION("""COMPUTED_VALUE"""),7.87)</f>
        <v>7.87</v>
      </c>
      <c r="S1051" s="48">
        <f>IFERROR(__xludf.DUMMYFUNCTION("""COMPUTED_VALUE"""),6.97)</f>
        <v>6.97</v>
      </c>
      <c r="T1051" s="48">
        <f>IFERROR(__xludf.DUMMYFUNCTION("""COMPUTED_VALUE"""),6.81)</f>
        <v>6.81</v>
      </c>
      <c r="U1051" s="48">
        <f>IFERROR(__xludf.DUMMYFUNCTION("""COMPUTED_VALUE"""),6.76)</f>
        <v>6.76</v>
      </c>
      <c r="V1051" s="48">
        <f>IFERROR(__xludf.DUMMYFUNCTION("""COMPUTED_VALUE"""),6.88)</f>
        <v>6.88</v>
      </c>
      <c r="W1051" s="14">
        <f>IFERROR(__xludf.DUMMYFUNCTION("""COMPUTED_VALUE"""),7.058)</f>
        <v>7.058</v>
      </c>
      <c r="X1051" s="14">
        <f>IFERROR(__xludf.DUMMYFUNCTION("""COMPUTED_VALUE"""),19.6)</f>
        <v>19.6</v>
      </c>
      <c r="Y1051" s="14">
        <f>IFERROR(__xludf.DUMMYFUNCTION("""COMPUTED_VALUE"""),20.8)</f>
        <v>20.8</v>
      </c>
      <c r="Z1051" s="14">
        <f>IFERROR(__xludf.DUMMYFUNCTION("""COMPUTED_VALUE"""),21.7)</f>
        <v>21.7</v>
      </c>
      <c r="AA1051" s="14">
        <f>IFERROR(__xludf.DUMMYFUNCTION("""COMPUTED_VALUE"""),22.7)</f>
        <v>22.7</v>
      </c>
      <c r="AB1051" s="14">
        <f>IFERROR(__xludf.DUMMYFUNCTION("""COMPUTED_VALUE"""),23.0)</f>
        <v>23</v>
      </c>
      <c r="AC1051" s="14">
        <f>IFERROR(__xludf.DUMMYFUNCTION("""COMPUTED_VALUE"""),21.560000000000002)</f>
        <v>21.56</v>
      </c>
      <c r="AD1051" s="48">
        <f>IFERROR(__xludf.DUMMYFUNCTION("""COMPUTED_VALUE"""),391.0)</f>
        <v>391</v>
      </c>
      <c r="AE1051" s="48">
        <f>IFERROR(__xludf.DUMMYFUNCTION("""COMPUTED_VALUE"""),404.0)</f>
        <v>404</v>
      </c>
      <c r="AF1051" s="48">
        <f>IFERROR(__xludf.DUMMYFUNCTION("""COMPUTED_VALUE"""),406.0)</f>
        <v>406</v>
      </c>
      <c r="AG1051" s="48">
        <f>IFERROR(__xludf.DUMMYFUNCTION("""COMPUTED_VALUE"""),389.0)</f>
        <v>389</v>
      </c>
      <c r="AH1051" s="48">
        <f>IFERROR(__xludf.DUMMYFUNCTION("""COMPUTED_VALUE"""),414.0)</f>
        <v>414</v>
      </c>
      <c r="AI1051" s="14">
        <f>IFERROR(__xludf.DUMMYFUNCTION("""COMPUTED_VALUE"""),400.8)</f>
        <v>400.8</v>
      </c>
      <c r="AJ1051" s="14">
        <f>IFERROR(__xludf.DUMMYFUNCTION("""COMPUTED_VALUE"""),1.92)</f>
        <v>1.92</v>
      </c>
      <c r="AK1051" s="14">
        <f>IFERROR(__xludf.DUMMYFUNCTION("""COMPUTED_VALUE"""),1.7)</f>
        <v>1.7</v>
      </c>
      <c r="AL1051" s="14">
        <f>IFERROR(__xludf.DUMMYFUNCTION("""COMPUTED_VALUE"""),2.06)</f>
        <v>2.06</v>
      </c>
      <c r="AM1051" s="14">
        <f>IFERROR(__xludf.DUMMYFUNCTION("""COMPUTED_VALUE"""),2.18)</f>
        <v>2.18</v>
      </c>
      <c r="AN1051" s="14">
        <f>IFERROR(__xludf.DUMMYFUNCTION("""COMPUTED_VALUE"""),2.24)</f>
        <v>2.24</v>
      </c>
      <c r="AO1051" s="14">
        <f>IFERROR(__xludf.DUMMYFUNCTION("""COMPUTED_VALUE"""),2.02)</f>
        <v>2.02</v>
      </c>
      <c r="AP1051" s="14">
        <f>IFERROR(__xludf.DUMMYFUNCTION("""COMPUTED_VALUE"""),28.0)</f>
        <v>28</v>
      </c>
      <c r="AQ1051" s="14">
        <f>IFERROR(__xludf.DUMMYFUNCTION("""COMPUTED_VALUE"""),49.0)</f>
        <v>49</v>
      </c>
      <c r="AR1051" s="14">
        <f>IFERROR(__xludf.DUMMYFUNCTION("""COMPUTED_VALUE"""),23.0)</f>
        <v>23</v>
      </c>
      <c r="AS1051" s="14">
        <f>IFERROR(__xludf.DUMMYFUNCTION("""COMPUTED_VALUE"""),1.0)</f>
        <v>1</v>
      </c>
      <c r="AT1051" s="14">
        <f>IFERROR(__xludf.DUMMYFUNCTION("""COMPUTED_VALUE"""),2.62)</f>
        <v>2.62</v>
      </c>
      <c r="AU1051" s="14">
        <f>IFERROR(__xludf.DUMMYFUNCTION("""COMPUTED_VALUE"""),2042000.0)</f>
        <v>2042000</v>
      </c>
      <c r="AV1051" s="14">
        <f>IFERROR(__xludf.DUMMYFUNCTION("""COMPUTED_VALUE"""),0.93)</f>
        <v>0.93</v>
      </c>
      <c r="AW1051" s="14">
        <f>IFERROR(__xludf.DUMMYFUNCTION("""COMPUTED_VALUE"""),14.6)</f>
        <v>14.6</v>
      </c>
      <c r="AX1051" s="14">
        <f>IFERROR(__xludf.DUMMYFUNCTION("""COMPUTED_VALUE"""),1807000.0)</f>
        <v>1807000</v>
      </c>
      <c r="AY1051" s="14">
        <f>IFERROR(__xludf.DUMMYFUNCTION("""COMPUTED_VALUE"""),0.5)</f>
        <v>0.5</v>
      </c>
      <c r="AZ1051" s="14">
        <f>IFERROR(__xludf.DUMMYFUNCTION("""COMPUTED_VALUE"""),0.007)</f>
        <v>0.007</v>
      </c>
      <c r="BA1051" s="14">
        <f t="shared" si="1"/>
        <v>15.107</v>
      </c>
    </row>
    <row r="1052" ht="14.25" customHeight="1">
      <c r="A1052" s="10" t="str">
        <f>IFERROR(__xludf.DUMMYFUNCTION("""COMPUTED_VALUE"""),"080524DU03")</f>
        <v>080524DU03</v>
      </c>
      <c r="B1052" s="12" t="str">
        <f>IFERROR(__xludf.DUMMYFUNCTION("""COMPUTED_VALUE"""),"QTR-Mochuelo Bajo")</f>
        <v>QTR-Mochuelo Bajo</v>
      </c>
      <c r="C1052" s="12"/>
      <c r="D1052" s="12"/>
      <c r="E1052" s="44">
        <f>IFERROR(__xludf.DUMMYFUNCTION("""COMPUTED_VALUE"""),45420.0)</f>
        <v>45420</v>
      </c>
      <c r="F1052" s="12" t="str">
        <f>IFERROR(__xludf.DUMMYFUNCTION("""COMPUTED_VALUE"""),"TIPO I")</f>
        <v>TIPO I</v>
      </c>
      <c r="G1052" s="12" t="str">
        <f>IFERROR(__xludf.DUMMYFUNCTION("""COMPUTED_VALUE"""),"Se observa color, se percibe olor, se observan espumas y residuos sólidos a los costados.
Coordenadas en campo N:4º 32'02.7"" W:74º08'28.3""
Altitud:2655 msnm")</f>
        <v>Se observa color, se percibe olor, se observan espumas y residuos sólidos a los costados.
Coordenadas en campo N:4º 32'02.7" W:74º08'28.3"
Altitud:2655 msnm</v>
      </c>
      <c r="H1052" s="45">
        <f>IFERROR(__xludf.DUMMYFUNCTION("""COMPUTED_VALUE"""),0.5833333333321207)</f>
        <v>0.5833333333</v>
      </c>
      <c r="I1052" s="45">
        <f>IFERROR(__xludf.DUMMYFUNCTION("""COMPUTED_VALUE"""),0.6666666666678793)</f>
        <v>0.6666666667</v>
      </c>
      <c r="J1052" s="12">
        <f>IFERROR(__xludf.DUMMYFUNCTION("""COMPUTED_VALUE"""),1.3)</f>
        <v>1.3</v>
      </c>
      <c r="K1052" s="12">
        <f>IFERROR(__xludf.DUMMYFUNCTION("""COMPUTED_VALUE"""),0.3)</f>
        <v>0.3</v>
      </c>
      <c r="L1052" s="14">
        <f>IFERROR(__xludf.DUMMYFUNCTION("""COMPUTED_VALUE"""),36.34)</f>
        <v>36.34</v>
      </c>
      <c r="M1052" s="14">
        <f>IFERROR(__xludf.DUMMYFUNCTION("""COMPUTED_VALUE"""),37.72)</f>
        <v>37.72</v>
      </c>
      <c r="N1052" s="14">
        <f>IFERROR(__xludf.DUMMYFUNCTION("""COMPUTED_VALUE"""),38.764)</f>
        <v>38.764</v>
      </c>
      <c r="O1052" s="14">
        <f>IFERROR(__xludf.DUMMYFUNCTION("""COMPUTED_VALUE"""),38.352)</f>
        <v>38.352</v>
      </c>
      <c r="P1052" s="14">
        <f>IFERROR(__xludf.DUMMYFUNCTION("""COMPUTED_VALUE"""),39.036)</f>
        <v>39.036</v>
      </c>
      <c r="Q1052" s="14">
        <f>IFERROR(__xludf.DUMMYFUNCTION("""COMPUTED_VALUE"""),38.042)</f>
        <v>38.042</v>
      </c>
      <c r="R1052" s="48">
        <f>IFERROR(__xludf.DUMMYFUNCTION("""COMPUTED_VALUE"""),7.65)</f>
        <v>7.65</v>
      </c>
      <c r="S1052" s="48">
        <f>IFERROR(__xludf.DUMMYFUNCTION("""COMPUTED_VALUE"""),7.49)</f>
        <v>7.49</v>
      </c>
      <c r="T1052" s="48">
        <f>IFERROR(__xludf.DUMMYFUNCTION("""COMPUTED_VALUE"""),7.38)</f>
        <v>7.38</v>
      </c>
      <c r="U1052" s="48">
        <f>IFERROR(__xludf.DUMMYFUNCTION("""COMPUTED_VALUE"""),7.43)</f>
        <v>7.43</v>
      </c>
      <c r="V1052" s="48">
        <f>IFERROR(__xludf.DUMMYFUNCTION("""COMPUTED_VALUE"""),7.36)</f>
        <v>7.36</v>
      </c>
      <c r="W1052" s="14">
        <f>IFERROR(__xludf.DUMMYFUNCTION("""COMPUTED_VALUE"""),7.462000000000001)</f>
        <v>7.462</v>
      </c>
      <c r="X1052" s="14">
        <f>IFERROR(__xludf.DUMMYFUNCTION("""COMPUTED_VALUE"""),17.3)</f>
        <v>17.3</v>
      </c>
      <c r="Y1052" s="14">
        <f>IFERROR(__xludf.DUMMYFUNCTION("""COMPUTED_VALUE"""),17.7)</f>
        <v>17.7</v>
      </c>
      <c r="Z1052" s="14">
        <f>IFERROR(__xludf.DUMMYFUNCTION("""COMPUTED_VALUE"""),17.8)</f>
        <v>17.8</v>
      </c>
      <c r="AA1052" s="14">
        <f>IFERROR(__xludf.DUMMYFUNCTION("""COMPUTED_VALUE"""),17.7)</f>
        <v>17.7</v>
      </c>
      <c r="AB1052" s="14">
        <f>IFERROR(__xludf.DUMMYFUNCTION("""COMPUTED_VALUE"""),17.6)</f>
        <v>17.6</v>
      </c>
      <c r="AC1052" s="14">
        <f>IFERROR(__xludf.DUMMYFUNCTION("""COMPUTED_VALUE"""),17.619999999999997)</f>
        <v>17.62</v>
      </c>
      <c r="AD1052" s="48">
        <f>IFERROR(__xludf.DUMMYFUNCTION("""COMPUTED_VALUE"""),658.0)</f>
        <v>658</v>
      </c>
      <c r="AE1052" s="48">
        <f>IFERROR(__xludf.DUMMYFUNCTION("""COMPUTED_VALUE"""),658.0)</f>
        <v>658</v>
      </c>
      <c r="AF1052" s="48">
        <f>IFERROR(__xludf.DUMMYFUNCTION("""COMPUTED_VALUE"""),664.0)</f>
        <v>664</v>
      </c>
      <c r="AG1052" s="48">
        <f>IFERROR(__xludf.DUMMYFUNCTION("""COMPUTED_VALUE"""),656.0)</f>
        <v>656</v>
      </c>
      <c r="AH1052" s="48">
        <f>IFERROR(__xludf.DUMMYFUNCTION("""COMPUTED_VALUE"""),667.0)</f>
        <v>667</v>
      </c>
      <c r="AI1052" s="14">
        <f>IFERROR(__xludf.DUMMYFUNCTION("""COMPUTED_VALUE"""),660.6)</f>
        <v>660.6</v>
      </c>
      <c r="AJ1052" s="14">
        <f>IFERROR(__xludf.DUMMYFUNCTION("""COMPUTED_VALUE"""),4.62)</f>
        <v>4.62</v>
      </c>
      <c r="AK1052" s="14">
        <f>IFERROR(__xludf.DUMMYFUNCTION("""COMPUTED_VALUE"""),4.58)</f>
        <v>4.58</v>
      </c>
      <c r="AL1052" s="14">
        <f>IFERROR(__xludf.DUMMYFUNCTION("""COMPUTED_VALUE"""),4.65)</f>
        <v>4.65</v>
      </c>
      <c r="AM1052" s="14">
        <f>IFERROR(__xludf.DUMMYFUNCTION("""COMPUTED_VALUE"""),4.72)</f>
        <v>4.72</v>
      </c>
      <c r="AN1052" s="14">
        <f>IFERROR(__xludf.DUMMYFUNCTION("""COMPUTED_VALUE"""),4.81)</f>
        <v>4.81</v>
      </c>
      <c r="AO1052" s="14">
        <f>IFERROR(__xludf.DUMMYFUNCTION("""COMPUTED_VALUE"""),4.676)</f>
        <v>4.676</v>
      </c>
      <c r="AP1052" s="14">
        <f>IFERROR(__xludf.DUMMYFUNCTION("""COMPUTED_VALUE"""),35.0)</f>
        <v>35</v>
      </c>
      <c r="AQ1052" s="14">
        <f>IFERROR(__xludf.DUMMYFUNCTION("""COMPUTED_VALUE"""),78.0)</f>
        <v>78</v>
      </c>
      <c r="AR1052" s="14">
        <f>IFERROR(__xludf.DUMMYFUNCTION("""COMPUTED_VALUE"""),106.0)</f>
        <v>106</v>
      </c>
      <c r="AS1052" s="14">
        <f>IFERROR(__xludf.DUMMYFUNCTION("""COMPUTED_VALUE"""),13.3)</f>
        <v>13.3</v>
      </c>
      <c r="AT1052" s="14">
        <f>IFERROR(__xludf.DUMMYFUNCTION("""COMPUTED_VALUE"""),3.43)</f>
        <v>3.43</v>
      </c>
      <c r="AU1052" s="14">
        <f>IFERROR(__xludf.DUMMYFUNCTION("""COMPUTED_VALUE"""),7490000.0)</f>
        <v>7490000</v>
      </c>
      <c r="AV1052" s="14">
        <f>IFERROR(__xludf.DUMMYFUNCTION("""COMPUTED_VALUE"""),0.36)</f>
        <v>0.36</v>
      </c>
      <c r="AW1052" s="14">
        <f>IFERROR(__xludf.DUMMYFUNCTION("""COMPUTED_VALUE"""),1.8)</f>
        <v>1.8</v>
      </c>
      <c r="AX1052" s="14">
        <f>IFERROR(__xludf.DUMMYFUNCTION("""COMPUTED_VALUE"""),3640000.0)</f>
        <v>3640000</v>
      </c>
      <c r="AY1052" s="14">
        <f>IFERROR(__xludf.DUMMYFUNCTION("""COMPUTED_VALUE"""),0.6)</f>
        <v>0.6</v>
      </c>
      <c r="AZ1052" s="14">
        <f>IFERROR(__xludf.DUMMYFUNCTION("""COMPUTED_VALUE"""),0.007)</f>
        <v>0.007</v>
      </c>
      <c r="BA1052" s="14">
        <f t="shared" si="1"/>
        <v>2.407</v>
      </c>
    </row>
    <row r="1053" ht="14.25" customHeight="1">
      <c r="A1053" s="10" t="str">
        <f>IFERROR(__xludf.DUMMYFUNCTION("""COMPUTED_VALUE"""),"060524WI02")</f>
        <v>060524WI02</v>
      </c>
      <c r="B1053" s="12" t="str">
        <f>IFERROR(__xludf.DUMMYFUNCTION("""COMPUTED_VALUE"""),"COR-Humedal Córdoba")</f>
        <v>COR-Humedal Córdoba</v>
      </c>
      <c r="C1053" s="12"/>
      <c r="D1053" s="12"/>
      <c r="E1053" s="44">
        <f>IFERROR(__xludf.DUMMYFUNCTION("""COMPUTED_VALUE"""),45418.0)</f>
        <v>45418</v>
      </c>
      <c r="F1053" s="12" t="str">
        <f>IFERROR(__xludf.DUMMYFUNCTION("""COMPUTED_VALUE"""),"TIPO I")</f>
        <v>TIPO I</v>
      </c>
      <c r="G1053" s="12" t="str">
        <f>IFERROR(__xludf.DUMMYFUNCTION("""COMPUTED_VALUE"""),"Se realiza muestreo en lecho natural rocoso, arenoso y con vegetación arbórea aledaña. Durante el monitoreo se percibe olor, se observa color y presencia de material flotante.
Altitud: 2544 msnm ")</f>
        <v>Se realiza muestreo en lecho natural rocoso, arenoso y con vegetación arbórea aledaña. Durante el monitoreo se percibe olor, se observa color y presencia de material flotante.
Altitud: 2544 msnm </v>
      </c>
      <c r="H1053" s="45">
        <f>IFERROR(__xludf.DUMMYFUNCTION("""COMPUTED_VALUE"""),0.4166666666678793)</f>
        <v>0.4166666667</v>
      </c>
      <c r="I1053" s="45">
        <f>IFERROR(__xludf.DUMMYFUNCTION("""COMPUTED_VALUE"""),0.5)</f>
        <v>0.5</v>
      </c>
      <c r="J1053" s="12">
        <f>IFERROR(__xludf.DUMMYFUNCTION("""COMPUTED_VALUE"""),7.1)</f>
        <v>7.1</v>
      </c>
      <c r="K1053" s="12">
        <f>IFERROR(__xludf.DUMMYFUNCTION("""COMPUTED_VALUE"""),0.54)</f>
        <v>0.54</v>
      </c>
      <c r="L1053" s="14">
        <f>IFERROR(__xludf.DUMMYFUNCTION("""COMPUTED_VALUE"""),605.228)</f>
        <v>605.228</v>
      </c>
      <c r="M1053" s="14">
        <f>IFERROR(__xludf.DUMMYFUNCTION("""COMPUTED_VALUE"""),625.907)</f>
        <v>625.907</v>
      </c>
      <c r="N1053" s="14">
        <f>IFERROR(__xludf.DUMMYFUNCTION("""COMPUTED_VALUE"""),635.977)</f>
        <v>635.977</v>
      </c>
      <c r="O1053" s="14">
        <f>IFERROR(__xludf.DUMMYFUNCTION("""COMPUTED_VALUE"""),673.847)</f>
        <v>673.847</v>
      </c>
      <c r="P1053" s="14">
        <f>IFERROR(__xludf.DUMMYFUNCTION("""COMPUTED_VALUE"""),698.284)</f>
        <v>698.284</v>
      </c>
      <c r="Q1053" s="14">
        <f>IFERROR(__xludf.DUMMYFUNCTION("""COMPUTED_VALUE"""),647.849)</f>
        <v>647.849</v>
      </c>
      <c r="R1053" s="48">
        <f>IFERROR(__xludf.DUMMYFUNCTION("""COMPUTED_VALUE"""),7.46)</f>
        <v>7.46</v>
      </c>
      <c r="S1053" s="48">
        <f>IFERROR(__xludf.DUMMYFUNCTION("""COMPUTED_VALUE"""),7.37)</f>
        <v>7.37</v>
      </c>
      <c r="T1053" s="48">
        <f>IFERROR(__xludf.DUMMYFUNCTION("""COMPUTED_VALUE"""),7.29)</f>
        <v>7.29</v>
      </c>
      <c r="U1053" s="48">
        <f>IFERROR(__xludf.DUMMYFUNCTION("""COMPUTED_VALUE"""),7.43)</f>
        <v>7.43</v>
      </c>
      <c r="V1053" s="48">
        <f>IFERROR(__xludf.DUMMYFUNCTION("""COMPUTED_VALUE"""),7.35)</f>
        <v>7.35</v>
      </c>
      <c r="W1053" s="14">
        <f>IFERROR(__xludf.DUMMYFUNCTION("""COMPUTED_VALUE"""),7.38)</f>
        <v>7.38</v>
      </c>
      <c r="X1053" s="14">
        <f>IFERROR(__xludf.DUMMYFUNCTION("""COMPUTED_VALUE"""),18.3)</f>
        <v>18.3</v>
      </c>
      <c r="Y1053" s="14">
        <f>IFERROR(__xludf.DUMMYFUNCTION("""COMPUTED_VALUE"""),18.2)</f>
        <v>18.2</v>
      </c>
      <c r="Z1053" s="14">
        <f>IFERROR(__xludf.DUMMYFUNCTION("""COMPUTED_VALUE"""),18.3)</f>
        <v>18.3</v>
      </c>
      <c r="AA1053" s="14">
        <f>IFERROR(__xludf.DUMMYFUNCTION("""COMPUTED_VALUE"""),18.4)</f>
        <v>18.4</v>
      </c>
      <c r="AB1053" s="14">
        <f>IFERROR(__xludf.DUMMYFUNCTION("""COMPUTED_VALUE"""),18.8)</f>
        <v>18.8</v>
      </c>
      <c r="AC1053" s="14">
        <f>IFERROR(__xludf.DUMMYFUNCTION("""COMPUTED_VALUE"""),18.4)</f>
        <v>18.4</v>
      </c>
      <c r="AD1053" s="48">
        <f>IFERROR(__xludf.DUMMYFUNCTION("""COMPUTED_VALUE"""),371.0)</f>
        <v>371</v>
      </c>
      <c r="AE1053" s="48">
        <f>IFERROR(__xludf.DUMMYFUNCTION("""COMPUTED_VALUE"""),366.0)</f>
        <v>366</v>
      </c>
      <c r="AF1053" s="48">
        <f>IFERROR(__xludf.DUMMYFUNCTION("""COMPUTED_VALUE"""),333.0)</f>
        <v>333</v>
      </c>
      <c r="AG1053" s="48">
        <f>IFERROR(__xludf.DUMMYFUNCTION("""COMPUTED_VALUE"""),345.0)</f>
        <v>345</v>
      </c>
      <c r="AH1053" s="48">
        <f>IFERROR(__xludf.DUMMYFUNCTION("""COMPUTED_VALUE"""),356.0)</f>
        <v>356</v>
      </c>
      <c r="AI1053" s="14">
        <f>IFERROR(__xludf.DUMMYFUNCTION("""COMPUTED_VALUE"""),354.2)</f>
        <v>354.2</v>
      </c>
      <c r="AJ1053" s="14">
        <f>IFERROR(__xludf.DUMMYFUNCTION("""COMPUTED_VALUE"""),4.04)</f>
        <v>4.04</v>
      </c>
      <c r="AK1053" s="14">
        <f>IFERROR(__xludf.DUMMYFUNCTION("""COMPUTED_VALUE"""),4.6)</f>
        <v>4.6</v>
      </c>
      <c r="AL1053" s="14">
        <f>IFERROR(__xludf.DUMMYFUNCTION("""COMPUTED_VALUE"""),3.74)</f>
        <v>3.74</v>
      </c>
      <c r="AM1053" s="14">
        <f>IFERROR(__xludf.DUMMYFUNCTION("""COMPUTED_VALUE"""),3.39)</f>
        <v>3.39</v>
      </c>
      <c r="AN1053" s="14">
        <f>IFERROR(__xludf.DUMMYFUNCTION("""COMPUTED_VALUE"""),2.5)</f>
        <v>2.5</v>
      </c>
      <c r="AO1053" s="14">
        <f>IFERROR(__xludf.DUMMYFUNCTION("""COMPUTED_VALUE"""),3.654000000000001)</f>
        <v>3.654</v>
      </c>
      <c r="AP1053" s="14">
        <f>IFERROR(__xludf.DUMMYFUNCTION("""COMPUTED_VALUE"""),26.0)</f>
        <v>26</v>
      </c>
      <c r="AQ1053" s="14">
        <f>IFERROR(__xludf.DUMMYFUNCTION("""COMPUTED_VALUE"""),44.0)</f>
        <v>44</v>
      </c>
      <c r="AR1053" s="14">
        <f>IFERROR(__xludf.DUMMYFUNCTION("""COMPUTED_VALUE"""),36.0)</f>
        <v>36</v>
      </c>
      <c r="AS1053" s="14">
        <f>IFERROR(__xludf.DUMMYFUNCTION("""COMPUTED_VALUE"""),1.0)</f>
        <v>1</v>
      </c>
      <c r="AT1053" s="14">
        <f>IFERROR(__xludf.DUMMYFUNCTION("""COMPUTED_VALUE"""),1.65)</f>
        <v>1.65</v>
      </c>
      <c r="AU1053" s="14">
        <f>IFERROR(__xludf.DUMMYFUNCTION("""COMPUTED_VALUE"""),208400.0)</f>
        <v>208400</v>
      </c>
      <c r="AV1053" s="14">
        <f>IFERROR(__xludf.DUMMYFUNCTION("""COMPUTED_VALUE"""),0.67)</f>
        <v>0.67</v>
      </c>
      <c r="AW1053" s="14">
        <f>IFERROR(__xludf.DUMMYFUNCTION("""COMPUTED_VALUE"""),7.3)</f>
        <v>7.3</v>
      </c>
      <c r="AX1053" s="14">
        <f>IFERROR(__xludf.DUMMYFUNCTION("""COMPUTED_VALUE"""),196100.0)</f>
        <v>196100</v>
      </c>
      <c r="AY1053" s="14">
        <f>IFERROR(__xludf.DUMMYFUNCTION("""COMPUTED_VALUE"""),0.4)</f>
        <v>0.4</v>
      </c>
      <c r="AZ1053" s="14">
        <f>IFERROR(__xludf.DUMMYFUNCTION("""COMPUTED_VALUE"""),0.007)</f>
        <v>0.007</v>
      </c>
      <c r="BA1053" s="14">
        <f t="shared" si="1"/>
        <v>7.707</v>
      </c>
    </row>
    <row r="1054" ht="14.25" customHeight="1">
      <c r="A1054" s="10" t="str">
        <f>IFERROR(__xludf.DUMMYFUNCTION("""COMPUTED_VALUE"""),"080524WI01")</f>
        <v>080524WI01</v>
      </c>
      <c r="B1054" s="12" t="str">
        <f>IFERROR(__xludf.DUMMYFUNCTION("""COMPUTED_VALUE"""),"QSL-Barranquillita")</f>
        <v>QSL-Barranquillita</v>
      </c>
      <c r="C1054" s="12"/>
      <c r="D1054" s="12"/>
      <c r="E1054" s="44">
        <f>IFERROR(__xludf.DUMMYFUNCTION("""COMPUTED_VALUE"""),45420.0)</f>
        <v>45420</v>
      </c>
      <c r="F1054" s="12" t="str">
        <f>IFERROR(__xludf.DUMMYFUNCTION("""COMPUTED_VALUE"""),"TIPO I")</f>
        <v>TIPO I</v>
      </c>
      <c r="G1054" s="12" t="str">
        <f>IFERROR(__xludf.DUMMYFUNCTION("""COMPUTED_VALUE"""),"Monitoreo realizado en cuerpo de agua natural, lecho en concreto. Durante la toma de muestra se observa color y se percibe olor en el cauce.
altitud: 2625 msnm ")</f>
        <v>Monitoreo realizado en cuerpo de agua natural, lecho en concreto. Durante la toma de muestra se observa color y se percibe olor en el cauce.
altitud: 2625 msnm </v>
      </c>
      <c r="H1054" s="45">
        <f>IFERROR(__xludf.DUMMYFUNCTION("""COMPUTED_VALUE"""),0.25)</f>
        <v>0.25</v>
      </c>
      <c r="I1054" s="45">
        <f>IFERROR(__xludf.DUMMYFUNCTION("""COMPUTED_VALUE"""),0.3333333333321207)</f>
        <v>0.3333333333</v>
      </c>
      <c r="J1054" s="12">
        <f>IFERROR(__xludf.DUMMYFUNCTION("""COMPUTED_VALUE"""),1.6)</f>
        <v>1.6</v>
      </c>
      <c r="K1054" s="12">
        <f>IFERROR(__xludf.DUMMYFUNCTION("""COMPUTED_VALUE"""),0.1)</f>
        <v>0.1</v>
      </c>
      <c r="L1054" s="14">
        <f>IFERROR(__xludf.DUMMYFUNCTION("""COMPUTED_VALUE"""),32.119)</f>
        <v>32.119</v>
      </c>
      <c r="M1054" s="14">
        <f>IFERROR(__xludf.DUMMYFUNCTION("""COMPUTED_VALUE"""),32.507)</f>
        <v>32.507</v>
      </c>
      <c r="N1054" s="14">
        <f>IFERROR(__xludf.DUMMYFUNCTION("""COMPUTED_VALUE"""),33.937)</f>
        <v>33.937</v>
      </c>
      <c r="O1054" s="14">
        <f>IFERROR(__xludf.DUMMYFUNCTION("""COMPUTED_VALUE"""),35.464)</f>
        <v>35.464</v>
      </c>
      <c r="P1054" s="14">
        <f>IFERROR(__xludf.DUMMYFUNCTION("""COMPUTED_VALUE"""),37.922)</f>
        <v>37.922</v>
      </c>
      <c r="Q1054" s="14">
        <f>IFERROR(__xludf.DUMMYFUNCTION("""COMPUTED_VALUE"""),34.39)</f>
        <v>34.39</v>
      </c>
      <c r="R1054" s="48">
        <f>IFERROR(__xludf.DUMMYFUNCTION("""COMPUTED_VALUE"""),7.73)</f>
        <v>7.73</v>
      </c>
      <c r="S1054" s="48">
        <f>IFERROR(__xludf.DUMMYFUNCTION("""COMPUTED_VALUE"""),7.92)</f>
        <v>7.92</v>
      </c>
      <c r="T1054" s="48">
        <f>IFERROR(__xludf.DUMMYFUNCTION("""COMPUTED_VALUE"""),7.88)</f>
        <v>7.88</v>
      </c>
      <c r="U1054" s="48">
        <f>IFERROR(__xludf.DUMMYFUNCTION("""COMPUTED_VALUE"""),8.0)</f>
        <v>8</v>
      </c>
      <c r="V1054" s="48">
        <f>IFERROR(__xludf.DUMMYFUNCTION("""COMPUTED_VALUE"""),7.93)</f>
        <v>7.93</v>
      </c>
      <c r="W1054" s="14">
        <f>IFERROR(__xludf.DUMMYFUNCTION("""COMPUTED_VALUE"""),7.892)</f>
        <v>7.892</v>
      </c>
      <c r="X1054" s="14">
        <f>IFERROR(__xludf.DUMMYFUNCTION("""COMPUTED_VALUE"""),15.6)</f>
        <v>15.6</v>
      </c>
      <c r="Y1054" s="14">
        <f>IFERROR(__xludf.DUMMYFUNCTION("""COMPUTED_VALUE"""),15.8)</f>
        <v>15.8</v>
      </c>
      <c r="Z1054" s="14">
        <f>IFERROR(__xludf.DUMMYFUNCTION("""COMPUTED_VALUE"""),16.0)</f>
        <v>16</v>
      </c>
      <c r="AA1054" s="14">
        <f>IFERROR(__xludf.DUMMYFUNCTION("""COMPUTED_VALUE"""),16.0)</f>
        <v>16</v>
      </c>
      <c r="AB1054" s="14">
        <f>IFERROR(__xludf.DUMMYFUNCTION("""COMPUTED_VALUE"""),16.1)</f>
        <v>16.1</v>
      </c>
      <c r="AC1054" s="14">
        <f>IFERROR(__xludf.DUMMYFUNCTION("""COMPUTED_VALUE"""),15.9)</f>
        <v>15.9</v>
      </c>
      <c r="AD1054" s="48">
        <f>IFERROR(__xludf.DUMMYFUNCTION("""COMPUTED_VALUE"""),271.0)</f>
        <v>271</v>
      </c>
      <c r="AE1054" s="48">
        <f>IFERROR(__xludf.DUMMYFUNCTION("""COMPUTED_VALUE"""),266.0)</f>
        <v>266</v>
      </c>
      <c r="AF1054" s="48">
        <f>IFERROR(__xludf.DUMMYFUNCTION("""COMPUTED_VALUE"""),284.0)</f>
        <v>284</v>
      </c>
      <c r="AG1054" s="48">
        <f>IFERROR(__xludf.DUMMYFUNCTION("""COMPUTED_VALUE"""),303.0)</f>
        <v>303</v>
      </c>
      <c r="AH1054" s="48">
        <f>IFERROR(__xludf.DUMMYFUNCTION("""COMPUTED_VALUE"""),324.0)</f>
        <v>324</v>
      </c>
      <c r="AI1054" s="14">
        <f>IFERROR(__xludf.DUMMYFUNCTION("""COMPUTED_VALUE"""),289.6)</f>
        <v>289.6</v>
      </c>
      <c r="AJ1054" s="14">
        <f>IFERROR(__xludf.DUMMYFUNCTION("""COMPUTED_VALUE"""),5.91)</f>
        <v>5.91</v>
      </c>
      <c r="AK1054" s="14">
        <f>IFERROR(__xludf.DUMMYFUNCTION("""COMPUTED_VALUE"""),5.01)</f>
        <v>5.01</v>
      </c>
      <c r="AL1054" s="14">
        <f>IFERROR(__xludf.DUMMYFUNCTION("""COMPUTED_VALUE"""),5.16)</f>
        <v>5.16</v>
      </c>
      <c r="AM1054" s="14">
        <f>IFERROR(__xludf.DUMMYFUNCTION("""COMPUTED_VALUE"""),4.91)</f>
        <v>4.91</v>
      </c>
      <c r="AN1054" s="14">
        <f>IFERROR(__xludf.DUMMYFUNCTION("""COMPUTED_VALUE"""),4.46)</f>
        <v>4.46</v>
      </c>
      <c r="AO1054" s="14">
        <f>IFERROR(__xludf.DUMMYFUNCTION("""COMPUTED_VALUE"""),5.09)</f>
        <v>5.09</v>
      </c>
      <c r="AP1054" s="14">
        <f>IFERROR(__xludf.DUMMYFUNCTION("""COMPUTED_VALUE"""),11.0)</f>
        <v>11</v>
      </c>
      <c r="AQ1054" s="14">
        <f>IFERROR(__xludf.DUMMYFUNCTION("""COMPUTED_VALUE"""),36.0)</f>
        <v>36</v>
      </c>
      <c r="AR1054" s="14">
        <f>IFERROR(__xludf.DUMMYFUNCTION("""COMPUTED_VALUE"""),9.0)</f>
        <v>9</v>
      </c>
      <c r="AS1054" s="14">
        <f>IFERROR(__xludf.DUMMYFUNCTION("""COMPUTED_VALUE"""),11.8)</f>
        <v>11.8</v>
      </c>
      <c r="AT1054" s="14">
        <f>IFERROR(__xludf.DUMMYFUNCTION("""COMPUTED_VALUE"""),0.23)</f>
        <v>0.23</v>
      </c>
      <c r="AU1054" s="14">
        <f>IFERROR(__xludf.DUMMYFUNCTION("""COMPUTED_VALUE"""),1.408E7)</f>
        <v>14080000</v>
      </c>
      <c r="AV1054" s="14">
        <f>IFERROR(__xludf.DUMMYFUNCTION("""COMPUTED_VALUE"""),0.76)</f>
        <v>0.76</v>
      </c>
      <c r="AW1054" s="14">
        <f>IFERROR(__xludf.DUMMYFUNCTION("""COMPUTED_VALUE"""),10.4)</f>
        <v>10.4</v>
      </c>
      <c r="AX1054" s="14">
        <f>IFERROR(__xludf.DUMMYFUNCTION("""COMPUTED_VALUE"""),1.137E7)</f>
        <v>11370000</v>
      </c>
      <c r="AY1054" s="14">
        <f>IFERROR(__xludf.DUMMYFUNCTION("""COMPUTED_VALUE"""),1.3)</f>
        <v>1.3</v>
      </c>
      <c r="AZ1054" s="14">
        <f>IFERROR(__xludf.DUMMYFUNCTION("""COMPUTED_VALUE"""),0.178)</f>
        <v>0.178</v>
      </c>
      <c r="BA1054" s="14">
        <f t="shared" si="1"/>
        <v>11.878</v>
      </c>
    </row>
    <row r="1055" ht="14.25" customHeight="1">
      <c r="A1055" s="10" t="str">
        <f>IFERROR(__xludf.DUMMYFUNCTION("""COMPUTED_VALUE"""),"080524WI02")</f>
        <v>080524WI02</v>
      </c>
      <c r="B1055" s="12" t="str">
        <f>IFERROR(__xludf.DUMMYFUNCTION("""COMPUTED_VALUE"""),"QSL-Portal Usme")</f>
        <v>QSL-Portal Usme</v>
      </c>
      <c r="C1055" s="12"/>
      <c r="D1055" s="12"/>
      <c r="E1055" s="44">
        <f>IFERROR(__xludf.DUMMYFUNCTION("""COMPUTED_VALUE"""),45420.0)</f>
        <v>45420</v>
      </c>
      <c r="F1055" s="12" t="str">
        <f>IFERROR(__xludf.DUMMYFUNCTION("""COMPUTED_VALUE"""),"TIPO I")</f>
        <v>TIPO I</v>
      </c>
      <c r="G1055" s="12" t="str">
        <f>IFERROR(__xludf.DUMMYFUNCTION("""COMPUTED_VALUE"""),"Monitoreo realizado en cuerpo de agua natural, lecho en concreto. Durante el monitoreo se observa color y se percibe olor. 
Altitud: 2655 msnm")</f>
        <v>Monitoreo realizado en cuerpo de agua natural, lecho en concreto. Durante el monitoreo se observa color y se percibe olor. 
Altitud: 2655 msnm</v>
      </c>
      <c r="H1055" s="45">
        <f>IFERROR(__xludf.DUMMYFUNCTION("""COMPUTED_VALUE"""),0.4166666666678793)</f>
        <v>0.4166666667</v>
      </c>
      <c r="I1055" s="45">
        <f>IFERROR(__xludf.DUMMYFUNCTION("""COMPUTED_VALUE"""),0.5)</f>
        <v>0.5</v>
      </c>
      <c r="J1055" s="12">
        <f>IFERROR(__xludf.DUMMYFUNCTION("""COMPUTED_VALUE"""),2.0)</f>
        <v>2</v>
      </c>
      <c r="K1055" s="12">
        <f>IFERROR(__xludf.DUMMYFUNCTION("""COMPUTED_VALUE"""),0.13)</f>
        <v>0.13</v>
      </c>
      <c r="L1055" s="14">
        <f>IFERROR(__xludf.DUMMYFUNCTION("""COMPUTED_VALUE"""),80.805)</f>
        <v>80.805</v>
      </c>
      <c r="M1055" s="14">
        <f>IFERROR(__xludf.DUMMYFUNCTION("""COMPUTED_VALUE"""),81.468)</f>
        <v>81.468</v>
      </c>
      <c r="N1055" s="14">
        <f>IFERROR(__xludf.DUMMYFUNCTION("""COMPUTED_VALUE"""),81.997)</f>
        <v>81.997</v>
      </c>
      <c r="O1055" s="14">
        <f>IFERROR(__xludf.DUMMYFUNCTION("""COMPUTED_VALUE"""),84.46)</f>
        <v>84.46</v>
      </c>
      <c r="P1055" s="14">
        <f>IFERROR(__xludf.DUMMYFUNCTION("""COMPUTED_VALUE"""),85.047)</f>
        <v>85.047</v>
      </c>
      <c r="Q1055" s="14">
        <f>IFERROR(__xludf.DUMMYFUNCTION("""COMPUTED_VALUE"""),82.756)</f>
        <v>82.756</v>
      </c>
      <c r="R1055" s="48">
        <f>IFERROR(__xludf.DUMMYFUNCTION("""COMPUTED_VALUE"""),7.91)</f>
        <v>7.91</v>
      </c>
      <c r="S1055" s="48">
        <f>IFERROR(__xludf.DUMMYFUNCTION("""COMPUTED_VALUE"""),7.66)</f>
        <v>7.66</v>
      </c>
      <c r="T1055" s="48">
        <f>IFERROR(__xludf.DUMMYFUNCTION("""COMPUTED_VALUE"""),7.82)</f>
        <v>7.82</v>
      </c>
      <c r="U1055" s="48">
        <f>IFERROR(__xludf.DUMMYFUNCTION("""COMPUTED_VALUE"""),7.75)</f>
        <v>7.75</v>
      </c>
      <c r="V1055" s="48">
        <f>IFERROR(__xludf.DUMMYFUNCTION("""COMPUTED_VALUE"""),7.8)</f>
        <v>7.8</v>
      </c>
      <c r="W1055" s="14">
        <f>IFERROR(__xludf.DUMMYFUNCTION("""COMPUTED_VALUE"""),7.787999999999999)</f>
        <v>7.788</v>
      </c>
      <c r="X1055" s="14">
        <f>IFERROR(__xludf.DUMMYFUNCTION("""COMPUTED_VALUE"""),17.9)</f>
        <v>17.9</v>
      </c>
      <c r="Y1055" s="14">
        <f>IFERROR(__xludf.DUMMYFUNCTION("""COMPUTED_VALUE"""),17.5)</f>
        <v>17.5</v>
      </c>
      <c r="Z1055" s="14">
        <f>IFERROR(__xludf.DUMMYFUNCTION("""COMPUTED_VALUE"""),18.5)</f>
        <v>18.5</v>
      </c>
      <c r="AA1055" s="14">
        <f>IFERROR(__xludf.DUMMYFUNCTION("""COMPUTED_VALUE"""),18.8)</f>
        <v>18.8</v>
      </c>
      <c r="AB1055" s="14">
        <f>IFERROR(__xludf.DUMMYFUNCTION("""COMPUTED_VALUE"""),19.5)</f>
        <v>19.5</v>
      </c>
      <c r="AC1055" s="14">
        <f>IFERROR(__xludf.DUMMYFUNCTION("""COMPUTED_VALUE"""),18.44)</f>
        <v>18.44</v>
      </c>
      <c r="AD1055" s="48">
        <f>IFERROR(__xludf.DUMMYFUNCTION("""COMPUTED_VALUE"""),368.0)</f>
        <v>368</v>
      </c>
      <c r="AE1055" s="48">
        <f>IFERROR(__xludf.DUMMYFUNCTION("""COMPUTED_VALUE"""),363.0)</f>
        <v>363</v>
      </c>
      <c r="AF1055" s="48">
        <f>IFERROR(__xludf.DUMMYFUNCTION("""COMPUTED_VALUE"""),355.0)</f>
        <v>355</v>
      </c>
      <c r="AG1055" s="48">
        <f>IFERROR(__xludf.DUMMYFUNCTION("""COMPUTED_VALUE"""),362.0)</f>
        <v>362</v>
      </c>
      <c r="AH1055" s="48">
        <f>IFERROR(__xludf.DUMMYFUNCTION("""COMPUTED_VALUE"""),388.0)</f>
        <v>388</v>
      </c>
      <c r="AI1055" s="14">
        <f>IFERROR(__xludf.DUMMYFUNCTION("""COMPUTED_VALUE"""),367.2)</f>
        <v>367.2</v>
      </c>
      <c r="AJ1055" s="14">
        <f>IFERROR(__xludf.DUMMYFUNCTION("""COMPUTED_VALUE"""),3.26)</f>
        <v>3.26</v>
      </c>
      <c r="AK1055" s="14">
        <f>IFERROR(__xludf.DUMMYFUNCTION("""COMPUTED_VALUE"""),3.83)</f>
        <v>3.83</v>
      </c>
      <c r="AL1055" s="14">
        <f>IFERROR(__xludf.DUMMYFUNCTION("""COMPUTED_VALUE"""),3.61)</f>
        <v>3.61</v>
      </c>
      <c r="AM1055" s="14">
        <f>IFERROR(__xludf.DUMMYFUNCTION("""COMPUTED_VALUE"""),3.37)</f>
        <v>3.37</v>
      </c>
      <c r="AN1055" s="14">
        <f>IFERROR(__xludf.DUMMYFUNCTION("""COMPUTED_VALUE"""),3.05)</f>
        <v>3.05</v>
      </c>
      <c r="AO1055" s="14">
        <f>IFERROR(__xludf.DUMMYFUNCTION("""COMPUTED_VALUE"""),3.4240000000000004)</f>
        <v>3.424</v>
      </c>
      <c r="AP1055" s="14">
        <f>IFERROR(__xludf.DUMMYFUNCTION("""COMPUTED_VALUE"""),21.0)</f>
        <v>21</v>
      </c>
      <c r="AQ1055" s="14">
        <f>IFERROR(__xludf.DUMMYFUNCTION("""COMPUTED_VALUE"""),42.0)</f>
        <v>42</v>
      </c>
      <c r="AR1055" s="14">
        <f>IFERROR(__xludf.DUMMYFUNCTION("""COMPUTED_VALUE"""),30.0)</f>
        <v>30</v>
      </c>
      <c r="AS1055" s="14">
        <f>IFERROR(__xludf.DUMMYFUNCTION("""COMPUTED_VALUE"""),10.6)</f>
        <v>10.6</v>
      </c>
      <c r="AT1055" s="14">
        <f>IFERROR(__xludf.DUMMYFUNCTION("""COMPUTED_VALUE"""),0.36)</f>
        <v>0.36</v>
      </c>
      <c r="AU1055" s="14">
        <f>IFERROR(__xludf.DUMMYFUNCTION("""COMPUTED_VALUE"""),2.046E8)</f>
        <v>204600000</v>
      </c>
      <c r="AV1055" s="14">
        <f>IFERROR(__xludf.DUMMYFUNCTION("""COMPUTED_VALUE"""),1.09)</f>
        <v>1.09</v>
      </c>
      <c r="AW1055" s="14">
        <f>IFERROR(__xludf.DUMMYFUNCTION("""COMPUTED_VALUE"""),16.5)</f>
        <v>16.5</v>
      </c>
      <c r="AX1055" s="14">
        <f>IFERROR(__xludf.DUMMYFUNCTION("""COMPUTED_VALUE"""),1.918E8)</f>
        <v>191800000</v>
      </c>
      <c r="AY1055" s="14">
        <f>IFERROR(__xludf.DUMMYFUNCTION("""COMPUTED_VALUE"""),0.4)</f>
        <v>0.4</v>
      </c>
      <c r="AZ1055" s="14">
        <f>IFERROR(__xludf.DUMMYFUNCTION("""COMPUTED_VALUE"""),0.007)</f>
        <v>0.007</v>
      </c>
      <c r="BA1055" s="14">
        <f t="shared" si="1"/>
        <v>16.907</v>
      </c>
    </row>
    <row r="1056" ht="14.25" customHeight="1">
      <c r="A1056" s="10" t="str">
        <f>IFERROR(__xludf.DUMMYFUNCTION("""COMPUTED_VALUE"""),"070524FM01")</f>
        <v>070524FM01</v>
      </c>
      <c r="B1056" s="12" t="str">
        <f>IFERROR(__xludf.DUMMYFUNCTION("""COMPUTED_VALUE"""),"COR-Britalia")</f>
        <v>COR-Britalia</v>
      </c>
      <c r="C1056" s="12"/>
      <c r="D1056" s="12"/>
      <c r="E1056" s="44">
        <f>IFERROR(__xludf.DUMMYFUNCTION("""COMPUTED_VALUE"""),45419.0)</f>
        <v>45419</v>
      </c>
      <c r="F1056" s="12" t="str">
        <f>IFERROR(__xludf.DUMMYFUNCTION("""COMPUTED_VALUE"""),"TIPO I")</f>
        <v>TIPO I</v>
      </c>
      <c r="G1056" s="12" t="str">
        <f>IFERROR(__xludf.DUMMYFUNCTION("""COMPUTED_VALUE"""),"Durante el monitoreo se percibe olor, se observa color y material flotante. 
Aguas abajo del punto de monitoreo se encuentra personal del acueducto realizando limpieza del canal, en los costados se encuentran realizando obras de adecuación y mejora de la "&amp;"infraestructura vial. 
Altitud 2579 msnm. ")</f>
        <v>Durante el monitoreo se percibe olor, se observa color y material flotante. 
Aguas abajo del punto de monitoreo se encuentra personal del acueducto realizando limpieza del canal, en los costados se encuentran realizando obras de adecuación y mejora de la infraestructura vial. 
Altitud 2579 msnm. </v>
      </c>
      <c r="H1056" s="45">
        <f>IFERROR(__xludf.DUMMYFUNCTION("""COMPUTED_VALUE"""),0.4166666666678793)</f>
        <v>0.4166666667</v>
      </c>
      <c r="I1056" s="45">
        <f>IFERROR(__xludf.DUMMYFUNCTION("""COMPUTED_VALUE"""),0.5)</f>
        <v>0.5</v>
      </c>
      <c r="J1056" s="12">
        <f>IFERROR(__xludf.DUMMYFUNCTION("""COMPUTED_VALUE"""),3.56)</f>
        <v>3.56</v>
      </c>
      <c r="K1056" s="12">
        <f>IFERROR(__xludf.DUMMYFUNCTION("""COMPUTED_VALUE"""),0.1)</f>
        <v>0.1</v>
      </c>
      <c r="L1056" s="14">
        <f>IFERROR(__xludf.DUMMYFUNCTION("""COMPUTED_VALUE"""),27.662)</f>
        <v>27.662</v>
      </c>
      <c r="M1056" s="14">
        <f>IFERROR(__xludf.DUMMYFUNCTION("""COMPUTED_VALUE"""),27.359)</f>
        <v>27.359</v>
      </c>
      <c r="N1056" s="14">
        <f>IFERROR(__xludf.DUMMYFUNCTION("""COMPUTED_VALUE"""),28.916)</f>
        <v>28.916</v>
      </c>
      <c r="O1056" s="14">
        <f>IFERROR(__xludf.DUMMYFUNCTION("""COMPUTED_VALUE"""),28.936)</f>
        <v>28.936</v>
      </c>
      <c r="P1056" s="14">
        <f>IFERROR(__xludf.DUMMYFUNCTION("""COMPUTED_VALUE"""),29.151)</f>
        <v>29.151</v>
      </c>
      <c r="Q1056" s="14">
        <f>IFERROR(__xludf.DUMMYFUNCTION("""COMPUTED_VALUE"""),28.405)</f>
        <v>28.405</v>
      </c>
      <c r="R1056" s="48">
        <f>IFERROR(__xludf.DUMMYFUNCTION("""COMPUTED_VALUE"""),6.58)</f>
        <v>6.58</v>
      </c>
      <c r="S1056" s="48">
        <f>IFERROR(__xludf.DUMMYFUNCTION("""COMPUTED_VALUE"""),6.26)</f>
        <v>6.26</v>
      </c>
      <c r="T1056" s="48">
        <f>IFERROR(__xludf.DUMMYFUNCTION("""COMPUTED_VALUE"""),6.43)</f>
        <v>6.43</v>
      </c>
      <c r="U1056" s="48">
        <f>IFERROR(__xludf.DUMMYFUNCTION("""COMPUTED_VALUE"""),6.36)</f>
        <v>6.36</v>
      </c>
      <c r="V1056" s="48">
        <f>IFERROR(__xludf.DUMMYFUNCTION("""COMPUTED_VALUE"""),6.49)</f>
        <v>6.49</v>
      </c>
      <c r="W1056" s="14">
        <f>IFERROR(__xludf.DUMMYFUNCTION("""COMPUTED_VALUE"""),6.4239999999999995)</f>
        <v>6.424</v>
      </c>
      <c r="X1056" s="14">
        <f>IFERROR(__xludf.DUMMYFUNCTION("""COMPUTED_VALUE"""),21.7)</f>
        <v>21.7</v>
      </c>
      <c r="Y1056" s="14">
        <f>IFERROR(__xludf.DUMMYFUNCTION("""COMPUTED_VALUE"""),22.0)</f>
        <v>22</v>
      </c>
      <c r="Z1056" s="14">
        <f>IFERROR(__xludf.DUMMYFUNCTION("""COMPUTED_VALUE"""),21.5)</f>
        <v>21.5</v>
      </c>
      <c r="AA1056" s="14">
        <f>IFERROR(__xludf.DUMMYFUNCTION("""COMPUTED_VALUE"""),21.6)</f>
        <v>21.6</v>
      </c>
      <c r="AB1056" s="14">
        <f>IFERROR(__xludf.DUMMYFUNCTION("""COMPUTED_VALUE"""),21.8)</f>
        <v>21.8</v>
      </c>
      <c r="AC1056" s="14">
        <f>IFERROR(__xludf.DUMMYFUNCTION("""COMPUTED_VALUE"""),21.720000000000002)</f>
        <v>21.72</v>
      </c>
      <c r="AD1056" s="48">
        <f>IFERROR(__xludf.DUMMYFUNCTION("""COMPUTED_VALUE"""),499.0)</f>
        <v>499</v>
      </c>
      <c r="AE1056" s="48">
        <f>IFERROR(__xludf.DUMMYFUNCTION("""COMPUTED_VALUE"""),428.0)</f>
        <v>428</v>
      </c>
      <c r="AF1056" s="48">
        <f>IFERROR(__xludf.DUMMYFUNCTION("""COMPUTED_VALUE"""),414.0)</f>
        <v>414</v>
      </c>
      <c r="AG1056" s="48">
        <f>IFERROR(__xludf.DUMMYFUNCTION("""COMPUTED_VALUE"""),404.0)</f>
        <v>404</v>
      </c>
      <c r="AH1056" s="48">
        <f>IFERROR(__xludf.DUMMYFUNCTION("""COMPUTED_VALUE"""),454.0)</f>
        <v>454</v>
      </c>
      <c r="AI1056" s="14">
        <f>IFERROR(__xludf.DUMMYFUNCTION("""COMPUTED_VALUE"""),439.8)</f>
        <v>439.8</v>
      </c>
      <c r="AJ1056" s="14">
        <f>IFERROR(__xludf.DUMMYFUNCTION("""COMPUTED_VALUE"""),1.6)</f>
        <v>1.6</v>
      </c>
      <c r="AK1056" s="14">
        <f>IFERROR(__xludf.DUMMYFUNCTION("""COMPUTED_VALUE"""),2.24)</f>
        <v>2.24</v>
      </c>
      <c r="AL1056" s="14">
        <f>IFERROR(__xludf.DUMMYFUNCTION("""COMPUTED_VALUE"""),1.92)</f>
        <v>1.92</v>
      </c>
      <c r="AM1056" s="14">
        <f>IFERROR(__xludf.DUMMYFUNCTION("""COMPUTED_VALUE"""),2.12)</f>
        <v>2.12</v>
      </c>
      <c r="AN1056" s="14">
        <f>IFERROR(__xludf.DUMMYFUNCTION("""COMPUTED_VALUE"""),1.72)</f>
        <v>1.72</v>
      </c>
      <c r="AO1056" s="14">
        <f>IFERROR(__xludf.DUMMYFUNCTION("""COMPUTED_VALUE"""),1.92)</f>
        <v>1.92</v>
      </c>
      <c r="AP1056" s="14">
        <f>IFERROR(__xludf.DUMMYFUNCTION("""COMPUTED_VALUE"""),23.0)</f>
        <v>23</v>
      </c>
      <c r="AQ1056" s="14">
        <f>IFERROR(__xludf.DUMMYFUNCTION("""COMPUTED_VALUE"""),40.0)</f>
        <v>40</v>
      </c>
      <c r="AR1056" s="14">
        <f>IFERROR(__xludf.DUMMYFUNCTION("""COMPUTED_VALUE"""),30.0)</f>
        <v>30</v>
      </c>
      <c r="AS1056" s="14">
        <f>IFERROR(__xludf.DUMMYFUNCTION("""COMPUTED_VALUE"""),12.5)</f>
        <v>12.5</v>
      </c>
      <c r="AT1056" s="14">
        <f>IFERROR(__xludf.DUMMYFUNCTION("""COMPUTED_VALUE"""),0.91)</f>
        <v>0.91</v>
      </c>
      <c r="AU1056" s="14">
        <f>IFERROR(__xludf.DUMMYFUNCTION("""COMPUTED_VALUE"""),22580.0)</f>
        <v>22580</v>
      </c>
      <c r="AV1056" s="14">
        <f>IFERROR(__xludf.DUMMYFUNCTION("""COMPUTED_VALUE"""),0.96)</f>
        <v>0.96</v>
      </c>
      <c r="AW1056" s="14">
        <f>IFERROR(__xludf.DUMMYFUNCTION("""COMPUTED_VALUE"""),13.7)</f>
        <v>13.7</v>
      </c>
      <c r="AX1056" s="14">
        <f>IFERROR(__xludf.DUMMYFUNCTION("""COMPUTED_VALUE"""),11420.0)</f>
        <v>11420</v>
      </c>
      <c r="AY1056" s="14">
        <f>IFERROR(__xludf.DUMMYFUNCTION("""COMPUTED_VALUE"""),0.4)</f>
        <v>0.4</v>
      </c>
      <c r="AZ1056" s="14">
        <f>IFERROR(__xludf.DUMMYFUNCTION("""COMPUTED_VALUE"""),0.007)</f>
        <v>0.007</v>
      </c>
      <c r="BA1056" s="14">
        <f t="shared" si="1"/>
        <v>14.107</v>
      </c>
    </row>
    <row r="1057" ht="14.25" customHeight="1">
      <c r="A1057" s="10" t="str">
        <f>IFERROR(__xludf.DUMMYFUNCTION("""COMPUTED_VALUE"""),"090524FE01")</f>
        <v>090524FE01</v>
      </c>
      <c r="B1057" s="12" t="str">
        <f>IFERROR(__xludf.DUMMYFUNCTION("""COMPUTED_VALUE"""),"QCH-Cantarrana")</f>
        <v>QCH-Cantarrana</v>
      </c>
      <c r="C1057" s="12"/>
      <c r="D1057" s="12"/>
      <c r="E1057" s="44">
        <f>IFERROR(__xludf.DUMMYFUNCTION("""COMPUTED_VALUE"""),45421.0)</f>
        <v>45421</v>
      </c>
      <c r="F1057" s="12" t="str">
        <f>IFERROR(__xludf.DUMMYFUNCTION("""COMPUTED_VALUE"""),"TIPO I")</f>
        <v>TIPO I</v>
      </c>
      <c r="G1057" s="12" t="str">
        <f>IFERROR(__xludf.DUMMYFUNCTION("""COMPUTED_VALUE"""),"Se realiza muestreo en lecho natural rocoso con presencia de pastizales. Durante el monitoreo no se percibe olor, se observa color marrón claro y residuos sólidos en las márgenes del cauce. 
Altitud: 2670 msnm")</f>
        <v>Se realiza muestreo en lecho natural rocoso con presencia de pastizales. Durante el monitoreo no se percibe olor, se observa color marrón claro y residuos sólidos en las márgenes del cauce. 
Altitud: 2670 msnm</v>
      </c>
      <c r="H1057" s="45">
        <f>IFERROR(__xludf.DUMMYFUNCTION("""COMPUTED_VALUE"""),0.25)</f>
        <v>0.25</v>
      </c>
      <c r="I1057" s="45">
        <f>IFERROR(__xludf.DUMMYFUNCTION("""COMPUTED_VALUE"""),0.3333333333321207)</f>
        <v>0.3333333333</v>
      </c>
      <c r="J1057" s="12">
        <f>IFERROR(__xludf.DUMMYFUNCTION("""COMPUTED_VALUE"""),0.32)</f>
        <v>0.32</v>
      </c>
      <c r="K1057" s="12">
        <f>IFERROR(__xludf.DUMMYFUNCTION("""COMPUTED_VALUE"""),0.17)</f>
        <v>0.17</v>
      </c>
      <c r="L1057" s="14">
        <f>IFERROR(__xludf.DUMMYFUNCTION("""COMPUTED_VALUE"""),7.594)</f>
        <v>7.594</v>
      </c>
      <c r="M1057" s="14">
        <f>IFERROR(__xludf.DUMMYFUNCTION("""COMPUTED_VALUE"""),7.748)</f>
        <v>7.748</v>
      </c>
      <c r="N1057" s="14">
        <f>IFERROR(__xludf.DUMMYFUNCTION("""COMPUTED_VALUE"""),9.841)</f>
        <v>9.841</v>
      </c>
      <c r="O1057" s="14">
        <f>IFERROR(__xludf.DUMMYFUNCTION("""COMPUTED_VALUE"""),10.521)</f>
        <v>10.521</v>
      </c>
      <c r="P1057" s="14">
        <f>IFERROR(__xludf.DUMMYFUNCTION("""COMPUTED_VALUE"""),10.817)</f>
        <v>10.817</v>
      </c>
      <c r="Q1057" s="14">
        <f>IFERROR(__xludf.DUMMYFUNCTION("""COMPUTED_VALUE"""),9.304)</f>
        <v>9.304</v>
      </c>
      <c r="R1057" s="48">
        <f>IFERROR(__xludf.DUMMYFUNCTION("""COMPUTED_VALUE"""),7.14)</f>
        <v>7.14</v>
      </c>
      <c r="S1057" s="48">
        <f>IFERROR(__xludf.DUMMYFUNCTION("""COMPUTED_VALUE"""),7.15)</f>
        <v>7.15</v>
      </c>
      <c r="T1057" s="48">
        <f>IFERROR(__xludf.DUMMYFUNCTION("""COMPUTED_VALUE"""),7.21)</f>
        <v>7.21</v>
      </c>
      <c r="U1057" s="48">
        <f>IFERROR(__xludf.DUMMYFUNCTION("""COMPUTED_VALUE"""),7.2)</f>
        <v>7.2</v>
      </c>
      <c r="V1057" s="48">
        <f>IFERROR(__xludf.DUMMYFUNCTION("""COMPUTED_VALUE"""),7.22)</f>
        <v>7.22</v>
      </c>
      <c r="W1057" s="14">
        <f>IFERROR(__xludf.DUMMYFUNCTION("""COMPUTED_VALUE"""),7.184)</f>
        <v>7.184</v>
      </c>
      <c r="X1057" s="14">
        <f>IFERROR(__xludf.DUMMYFUNCTION("""COMPUTED_VALUE"""),16.1)</f>
        <v>16.1</v>
      </c>
      <c r="Y1057" s="14">
        <f>IFERROR(__xludf.DUMMYFUNCTION("""COMPUTED_VALUE"""),16.2)</f>
        <v>16.2</v>
      </c>
      <c r="Z1057" s="14">
        <f>IFERROR(__xludf.DUMMYFUNCTION("""COMPUTED_VALUE"""),16.2)</f>
        <v>16.2</v>
      </c>
      <c r="AA1057" s="14">
        <f>IFERROR(__xludf.DUMMYFUNCTION("""COMPUTED_VALUE"""),16.3)</f>
        <v>16.3</v>
      </c>
      <c r="AB1057" s="14">
        <f>IFERROR(__xludf.DUMMYFUNCTION("""COMPUTED_VALUE"""),16.2)</f>
        <v>16.2</v>
      </c>
      <c r="AC1057" s="14">
        <f>IFERROR(__xludf.DUMMYFUNCTION("""COMPUTED_VALUE"""),16.2)</f>
        <v>16.2</v>
      </c>
      <c r="AD1057" s="48">
        <f>IFERROR(__xludf.DUMMYFUNCTION("""COMPUTED_VALUE"""),564.0)</f>
        <v>564</v>
      </c>
      <c r="AE1057" s="48">
        <f>IFERROR(__xludf.DUMMYFUNCTION("""COMPUTED_VALUE"""),547.0)</f>
        <v>547</v>
      </c>
      <c r="AF1057" s="48">
        <f>IFERROR(__xludf.DUMMYFUNCTION("""COMPUTED_VALUE"""),525.0)</f>
        <v>525</v>
      </c>
      <c r="AG1057" s="48">
        <f>IFERROR(__xludf.DUMMYFUNCTION("""COMPUTED_VALUE"""),542.0)</f>
        <v>542</v>
      </c>
      <c r="AH1057" s="48">
        <f>IFERROR(__xludf.DUMMYFUNCTION("""COMPUTED_VALUE"""),538.0)</f>
        <v>538</v>
      </c>
      <c r="AI1057" s="14">
        <f>IFERROR(__xludf.DUMMYFUNCTION("""COMPUTED_VALUE"""),543.2)</f>
        <v>543.2</v>
      </c>
      <c r="AJ1057" s="14">
        <f>IFERROR(__xludf.DUMMYFUNCTION("""COMPUTED_VALUE"""),4.25)</f>
        <v>4.25</v>
      </c>
      <c r="AK1057" s="14">
        <f>IFERROR(__xludf.DUMMYFUNCTION("""COMPUTED_VALUE"""),4.76)</f>
        <v>4.76</v>
      </c>
      <c r="AL1057" s="14">
        <f>IFERROR(__xludf.DUMMYFUNCTION("""COMPUTED_VALUE"""),4.25)</f>
        <v>4.25</v>
      </c>
      <c r="AM1057" s="14">
        <f>IFERROR(__xludf.DUMMYFUNCTION("""COMPUTED_VALUE"""),4.31)</f>
        <v>4.31</v>
      </c>
      <c r="AN1057" s="14">
        <f>IFERROR(__xludf.DUMMYFUNCTION("""COMPUTED_VALUE"""),4.38)</f>
        <v>4.38</v>
      </c>
      <c r="AO1057" s="14">
        <f>IFERROR(__xludf.DUMMYFUNCTION("""COMPUTED_VALUE"""),4.39)</f>
        <v>4.39</v>
      </c>
      <c r="AP1057" s="14">
        <f>IFERROR(__xludf.DUMMYFUNCTION("""COMPUTED_VALUE"""),18.0)</f>
        <v>18</v>
      </c>
      <c r="AQ1057" s="14">
        <f>IFERROR(__xludf.DUMMYFUNCTION("""COMPUTED_VALUE"""),34.0)</f>
        <v>34</v>
      </c>
      <c r="AR1057" s="14">
        <f>IFERROR(__xludf.DUMMYFUNCTION("""COMPUTED_VALUE"""),86.0)</f>
        <v>86</v>
      </c>
      <c r="AS1057" s="14">
        <f>IFERROR(__xludf.DUMMYFUNCTION("""COMPUTED_VALUE"""),1.0)</f>
        <v>1</v>
      </c>
      <c r="AT1057" s="14">
        <f>IFERROR(__xludf.DUMMYFUNCTION("""COMPUTED_VALUE"""),0.25)</f>
        <v>0.25</v>
      </c>
      <c r="AU1057" s="14">
        <f>IFERROR(__xludf.DUMMYFUNCTION("""COMPUTED_VALUE"""),1.314E8)</f>
        <v>131400000</v>
      </c>
      <c r="AV1057" s="14">
        <f>IFERROR(__xludf.DUMMYFUNCTION("""COMPUTED_VALUE"""),1.1)</f>
        <v>1.1</v>
      </c>
      <c r="AW1057" s="14">
        <f>IFERROR(__xludf.DUMMYFUNCTION("""COMPUTED_VALUE"""),9.8)</f>
        <v>9.8</v>
      </c>
      <c r="AX1057" s="14">
        <f>IFERROR(__xludf.DUMMYFUNCTION("""COMPUTED_VALUE"""),1.046E8)</f>
        <v>104600000</v>
      </c>
      <c r="AY1057" s="14">
        <f>IFERROR(__xludf.DUMMYFUNCTION("""COMPUTED_VALUE"""),2.7)</f>
        <v>2.7</v>
      </c>
      <c r="AZ1057" s="14">
        <f>IFERROR(__xludf.DUMMYFUNCTION("""COMPUTED_VALUE"""),0.132)</f>
        <v>0.132</v>
      </c>
      <c r="BA1057" s="14">
        <f t="shared" si="1"/>
        <v>12.632</v>
      </c>
    </row>
    <row r="1058" ht="14.25" customHeight="1">
      <c r="A1058" s="10" t="str">
        <f>IFERROR(__xludf.DUMMYFUNCTION("""COMPUTED_VALUE"""),"070524FM02")</f>
        <v>070524FM02</v>
      </c>
      <c r="B1058" s="12" t="str">
        <f>IFERROR(__xludf.DUMMYFUNCTION("""COMPUTED_VALUE"""),"COR-Victoria Norte")</f>
        <v>COR-Victoria Norte</v>
      </c>
      <c r="C1058" s="12"/>
      <c r="D1058" s="12"/>
      <c r="E1058" s="44">
        <f>IFERROR(__xludf.DUMMYFUNCTION("""COMPUTED_VALUE"""),45419.0)</f>
        <v>45419</v>
      </c>
      <c r="F1058" s="12" t="str">
        <f>IFERROR(__xludf.DUMMYFUNCTION("""COMPUTED_VALUE"""),"TIPO I")</f>
        <v>TIPO I</v>
      </c>
      <c r="G1058" s="12" t="str">
        <f>IFERROR(__xludf.DUMMYFUNCTION("""COMPUTED_VALUE"""),"Durante el monitoreo se percibe olor y se observa color.
Altitud 2567 mnsm. ")</f>
        <v>Durante el monitoreo se percibe olor y se observa color.
Altitud 2567 mnsm. </v>
      </c>
      <c r="H1058" s="45">
        <f>IFERROR(__xludf.DUMMYFUNCTION("""COMPUTED_VALUE"""),0.5833333333321207)</f>
        <v>0.5833333333</v>
      </c>
      <c r="I1058" s="45">
        <f>IFERROR(__xludf.DUMMYFUNCTION("""COMPUTED_VALUE"""),0.6666666666678793)</f>
        <v>0.6666666667</v>
      </c>
      <c r="J1058" s="12">
        <f>IFERROR(__xludf.DUMMYFUNCTION("""COMPUTED_VALUE"""),5.1)</f>
        <v>5.1</v>
      </c>
      <c r="K1058" s="12">
        <f>IFERROR(__xludf.DUMMYFUNCTION("""COMPUTED_VALUE"""),0.12)</f>
        <v>0.12</v>
      </c>
      <c r="L1058" s="14">
        <f>IFERROR(__xludf.DUMMYFUNCTION("""COMPUTED_VALUE"""),108.807)</f>
        <v>108.807</v>
      </c>
      <c r="M1058" s="14">
        <f>IFERROR(__xludf.DUMMYFUNCTION("""COMPUTED_VALUE"""),108.469)</f>
        <v>108.469</v>
      </c>
      <c r="N1058" s="14">
        <f>IFERROR(__xludf.DUMMYFUNCTION("""COMPUTED_VALUE"""),109.629)</f>
        <v>109.629</v>
      </c>
      <c r="O1058" s="14">
        <f>IFERROR(__xludf.DUMMYFUNCTION("""COMPUTED_VALUE"""),108.116)</f>
        <v>108.116</v>
      </c>
      <c r="P1058" s="14">
        <f>IFERROR(__xludf.DUMMYFUNCTION("""COMPUTED_VALUE"""),109.114)</f>
        <v>109.114</v>
      </c>
      <c r="Q1058" s="14">
        <f>IFERROR(__xludf.DUMMYFUNCTION("""COMPUTED_VALUE"""),108.827)</f>
        <v>108.827</v>
      </c>
      <c r="R1058" s="48">
        <f>IFERROR(__xludf.DUMMYFUNCTION("""COMPUTED_VALUE"""),7.1)</f>
        <v>7.1</v>
      </c>
      <c r="S1058" s="48">
        <f>IFERROR(__xludf.DUMMYFUNCTION("""COMPUTED_VALUE"""),7.21)</f>
        <v>7.21</v>
      </c>
      <c r="T1058" s="48">
        <f>IFERROR(__xludf.DUMMYFUNCTION("""COMPUTED_VALUE"""),7.17)</f>
        <v>7.17</v>
      </c>
      <c r="U1058" s="48">
        <f>IFERROR(__xludf.DUMMYFUNCTION("""COMPUTED_VALUE"""),7.05)</f>
        <v>7.05</v>
      </c>
      <c r="V1058" s="48">
        <f>IFERROR(__xludf.DUMMYFUNCTION("""COMPUTED_VALUE"""),7.03)</f>
        <v>7.03</v>
      </c>
      <c r="W1058" s="14">
        <f>IFERROR(__xludf.DUMMYFUNCTION("""COMPUTED_VALUE"""),7.111999999999999)</f>
        <v>7.112</v>
      </c>
      <c r="X1058" s="14">
        <f>IFERROR(__xludf.DUMMYFUNCTION("""COMPUTED_VALUE"""),25.4)</f>
        <v>25.4</v>
      </c>
      <c r="Y1058" s="14">
        <f>IFERROR(__xludf.DUMMYFUNCTION("""COMPUTED_VALUE"""),24.2)</f>
        <v>24.2</v>
      </c>
      <c r="Z1058" s="14">
        <f>IFERROR(__xludf.DUMMYFUNCTION("""COMPUTED_VALUE"""),23.6)</f>
        <v>23.6</v>
      </c>
      <c r="AA1058" s="14">
        <f>IFERROR(__xludf.DUMMYFUNCTION("""COMPUTED_VALUE"""),23.1)</f>
        <v>23.1</v>
      </c>
      <c r="AB1058" s="14">
        <f>IFERROR(__xludf.DUMMYFUNCTION("""COMPUTED_VALUE"""),22.5)</f>
        <v>22.5</v>
      </c>
      <c r="AC1058" s="14">
        <f>IFERROR(__xludf.DUMMYFUNCTION("""COMPUTED_VALUE"""),23.759999999999998)</f>
        <v>23.76</v>
      </c>
      <c r="AD1058" s="48">
        <f>IFERROR(__xludf.DUMMYFUNCTION("""COMPUTED_VALUE"""),460.0)</f>
        <v>460</v>
      </c>
      <c r="AE1058" s="48">
        <f>IFERROR(__xludf.DUMMYFUNCTION("""COMPUTED_VALUE"""),455.0)</f>
        <v>455</v>
      </c>
      <c r="AF1058" s="48">
        <f>IFERROR(__xludf.DUMMYFUNCTION("""COMPUTED_VALUE"""),450.0)</f>
        <v>450</v>
      </c>
      <c r="AG1058" s="48">
        <f>IFERROR(__xludf.DUMMYFUNCTION("""COMPUTED_VALUE"""),464.0)</f>
        <v>464</v>
      </c>
      <c r="AH1058" s="48">
        <f>IFERROR(__xludf.DUMMYFUNCTION("""COMPUTED_VALUE"""),468.0)</f>
        <v>468</v>
      </c>
      <c r="AI1058" s="14">
        <f>IFERROR(__xludf.DUMMYFUNCTION("""COMPUTED_VALUE"""),459.4)</f>
        <v>459.4</v>
      </c>
      <c r="AJ1058" s="14">
        <f>IFERROR(__xludf.DUMMYFUNCTION("""COMPUTED_VALUE"""),2.77)</f>
        <v>2.77</v>
      </c>
      <c r="AK1058" s="14">
        <f>IFERROR(__xludf.DUMMYFUNCTION("""COMPUTED_VALUE"""),3.1)</f>
        <v>3.1</v>
      </c>
      <c r="AL1058" s="14">
        <f>IFERROR(__xludf.DUMMYFUNCTION("""COMPUTED_VALUE"""),3.3)</f>
        <v>3.3</v>
      </c>
      <c r="AM1058" s="14">
        <f>IFERROR(__xludf.DUMMYFUNCTION("""COMPUTED_VALUE"""),2.97)</f>
        <v>2.97</v>
      </c>
      <c r="AN1058" s="14">
        <f>IFERROR(__xludf.DUMMYFUNCTION("""COMPUTED_VALUE"""),2.77)</f>
        <v>2.77</v>
      </c>
      <c r="AO1058" s="14">
        <f>IFERROR(__xludf.DUMMYFUNCTION("""COMPUTED_VALUE"""),2.982)</f>
        <v>2.982</v>
      </c>
      <c r="AP1058" s="14">
        <f>IFERROR(__xludf.DUMMYFUNCTION("""COMPUTED_VALUE"""),37.0)</f>
        <v>37</v>
      </c>
      <c r="AQ1058" s="14">
        <f>IFERROR(__xludf.DUMMYFUNCTION("""COMPUTED_VALUE"""),48.0)</f>
        <v>48</v>
      </c>
      <c r="AR1058" s="14">
        <f>IFERROR(__xludf.DUMMYFUNCTION("""COMPUTED_VALUE"""),20.0)</f>
        <v>20</v>
      </c>
      <c r="AS1058" s="14">
        <f>IFERROR(__xludf.DUMMYFUNCTION("""COMPUTED_VALUE"""),9.1)</f>
        <v>9.1</v>
      </c>
      <c r="AT1058" s="14">
        <f>IFERROR(__xludf.DUMMYFUNCTION("""COMPUTED_VALUE"""),1.78)</f>
        <v>1.78</v>
      </c>
      <c r="AU1058" s="14">
        <f>IFERROR(__xludf.DUMMYFUNCTION("""COMPUTED_VALUE"""),27330.0)</f>
        <v>27330</v>
      </c>
      <c r="AV1058" s="14">
        <f>IFERROR(__xludf.DUMMYFUNCTION("""COMPUTED_VALUE"""),0.52)</f>
        <v>0.52</v>
      </c>
      <c r="AW1058" s="14">
        <f>IFERROR(__xludf.DUMMYFUNCTION("""COMPUTED_VALUE"""),9.8)</f>
        <v>9.8</v>
      </c>
      <c r="AX1058" s="14">
        <f>IFERROR(__xludf.DUMMYFUNCTION("""COMPUTED_VALUE"""),20250.0)</f>
        <v>20250</v>
      </c>
      <c r="AY1058" s="14">
        <f>IFERROR(__xludf.DUMMYFUNCTION("""COMPUTED_VALUE"""),1.6)</f>
        <v>1.6</v>
      </c>
      <c r="AZ1058" s="14">
        <f>IFERROR(__xludf.DUMMYFUNCTION("""COMPUTED_VALUE"""),0.352)</f>
        <v>0.352</v>
      </c>
      <c r="BA1058" s="14">
        <f t="shared" si="1"/>
        <v>11.752</v>
      </c>
    </row>
    <row r="1059" ht="14.25" customHeight="1">
      <c r="A1059" s="10" t="str">
        <f>IFERROR(__xludf.DUMMYFUNCTION("""COMPUTED_VALUE"""),"100524DU02")</f>
        <v>100524DU02</v>
      </c>
      <c r="B1059" s="12" t="str">
        <f>IFERROR(__xludf.DUMMYFUNCTION("""COMPUTED_VALUE"""),"QLI-Bella Flor")</f>
        <v>QLI-Bella Flor</v>
      </c>
      <c r="C1059" s="12"/>
      <c r="D1059" s="12"/>
      <c r="E1059" s="44">
        <f>IFERROR(__xludf.DUMMYFUNCTION("""COMPUTED_VALUE"""),45422.0)</f>
        <v>45422</v>
      </c>
      <c r="F1059" s="12" t="str">
        <f>IFERROR(__xludf.DUMMYFUNCTION("""COMPUTED_VALUE"""),"TIPO I")</f>
        <v>TIPO I</v>
      </c>
      <c r="G1059" s="12" t="str">
        <f>IFERROR(__xludf.DUMMYFUNCTION("""COMPUTED_VALUE"""),"Se realiza muestreo en lecho natural rocoso-arenoso, cobertura vegetal de pastizales. Durante el monitoreo se percibe olor, se observa color, material flotante y residuos sólidos a los costados del cuerpo de agua. 
Altitud: 2796 msnm")</f>
        <v>Se realiza muestreo en lecho natural rocoso-arenoso, cobertura vegetal de pastizales. Durante el monitoreo se percibe olor, se observa color, material flotante y residuos sólidos a los costados del cuerpo de agua. 
Altitud: 2796 msnm</v>
      </c>
      <c r="H1059" s="45">
        <f>IFERROR(__xludf.DUMMYFUNCTION("""COMPUTED_VALUE"""),0.4166666666678793)</f>
        <v>0.4166666667</v>
      </c>
      <c r="I1059" s="45">
        <f>IFERROR(__xludf.DUMMYFUNCTION("""COMPUTED_VALUE"""),0.5)</f>
        <v>0.5</v>
      </c>
      <c r="J1059" s="12">
        <f>IFERROR(__xludf.DUMMYFUNCTION("""COMPUTED_VALUE"""),0.7)</f>
        <v>0.7</v>
      </c>
      <c r="K1059" s="12">
        <f>IFERROR(__xludf.DUMMYFUNCTION("""COMPUTED_VALUE"""),0.34)</f>
        <v>0.34</v>
      </c>
      <c r="L1059" s="14">
        <f>IFERROR(__xludf.DUMMYFUNCTION("""COMPUTED_VALUE"""),52.265)</f>
        <v>52.265</v>
      </c>
      <c r="M1059" s="14">
        <f>IFERROR(__xludf.DUMMYFUNCTION("""COMPUTED_VALUE"""),52.746)</f>
        <v>52.746</v>
      </c>
      <c r="N1059" s="14">
        <f>IFERROR(__xludf.DUMMYFUNCTION("""COMPUTED_VALUE"""),52.959)</f>
        <v>52.959</v>
      </c>
      <c r="O1059" s="14">
        <f>IFERROR(__xludf.DUMMYFUNCTION("""COMPUTED_VALUE"""),52.547)</f>
        <v>52.547</v>
      </c>
      <c r="P1059" s="14">
        <f>IFERROR(__xludf.DUMMYFUNCTION("""COMPUTED_VALUE"""),52.869)</f>
        <v>52.869</v>
      </c>
      <c r="Q1059" s="14">
        <f>IFERROR(__xludf.DUMMYFUNCTION("""COMPUTED_VALUE"""),52.677)</f>
        <v>52.677</v>
      </c>
      <c r="R1059" s="48">
        <f>IFERROR(__xludf.DUMMYFUNCTION("""COMPUTED_VALUE"""),7.22)</f>
        <v>7.22</v>
      </c>
      <c r="S1059" s="48">
        <f>IFERROR(__xludf.DUMMYFUNCTION("""COMPUTED_VALUE"""),7.35)</f>
        <v>7.35</v>
      </c>
      <c r="T1059" s="48">
        <f>IFERROR(__xludf.DUMMYFUNCTION("""COMPUTED_VALUE"""),7.3)</f>
        <v>7.3</v>
      </c>
      <c r="U1059" s="48">
        <f>IFERROR(__xludf.DUMMYFUNCTION("""COMPUTED_VALUE"""),7.25)</f>
        <v>7.25</v>
      </c>
      <c r="V1059" s="48">
        <f>IFERROR(__xludf.DUMMYFUNCTION("""COMPUTED_VALUE"""),7.32)</f>
        <v>7.32</v>
      </c>
      <c r="W1059" s="14">
        <f>IFERROR(__xludf.DUMMYFUNCTION("""COMPUTED_VALUE"""),7.287999999999999)</f>
        <v>7.288</v>
      </c>
      <c r="X1059" s="14">
        <f>IFERROR(__xludf.DUMMYFUNCTION("""COMPUTED_VALUE"""),15.9)</f>
        <v>15.9</v>
      </c>
      <c r="Y1059" s="14">
        <f>IFERROR(__xludf.DUMMYFUNCTION("""COMPUTED_VALUE"""),15.9)</f>
        <v>15.9</v>
      </c>
      <c r="Z1059" s="14">
        <f>IFERROR(__xludf.DUMMYFUNCTION("""COMPUTED_VALUE"""),16.2)</f>
        <v>16.2</v>
      </c>
      <c r="AA1059" s="14">
        <f>IFERROR(__xludf.DUMMYFUNCTION("""COMPUTED_VALUE"""),16.6)</f>
        <v>16.6</v>
      </c>
      <c r="AB1059" s="14">
        <f>IFERROR(__xludf.DUMMYFUNCTION("""COMPUTED_VALUE"""),16.7)</f>
        <v>16.7</v>
      </c>
      <c r="AC1059" s="14">
        <f>IFERROR(__xludf.DUMMYFUNCTION("""COMPUTED_VALUE"""),16.259999999999998)</f>
        <v>16.26</v>
      </c>
      <c r="AD1059" s="48">
        <f>IFERROR(__xludf.DUMMYFUNCTION("""COMPUTED_VALUE"""),435.0)</f>
        <v>435</v>
      </c>
      <c r="AE1059" s="48">
        <f>IFERROR(__xludf.DUMMYFUNCTION("""COMPUTED_VALUE"""),445.0)</f>
        <v>445</v>
      </c>
      <c r="AF1059" s="48">
        <f>IFERROR(__xludf.DUMMYFUNCTION("""COMPUTED_VALUE"""),439.0)</f>
        <v>439</v>
      </c>
      <c r="AG1059" s="48">
        <f>IFERROR(__xludf.DUMMYFUNCTION("""COMPUTED_VALUE"""),447.0)</f>
        <v>447</v>
      </c>
      <c r="AH1059" s="48">
        <f>IFERROR(__xludf.DUMMYFUNCTION("""COMPUTED_VALUE"""),441.0)</f>
        <v>441</v>
      </c>
      <c r="AI1059" s="14">
        <f>IFERROR(__xludf.DUMMYFUNCTION("""COMPUTED_VALUE"""),441.4)</f>
        <v>441.4</v>
      </c>
      <c r="AJ1059" s="14">
        <f>IFERROR(__xludf.DUMMYFUNCTION("""COMPUTED_VALUE"""),5.13)</f>
        <v>5.13</v>
      </c>
      <c r="AK1059" s="14">
        <f>IFERROR(__xludf.DUMMYFUNCTION("""COMPUTED_VALUE"""),5.09)</f>
        <v>5.09</v>
      </c>
      <c r="AL1059" s="14">
        <f>IFERROR(__xludf.DUMMYFUNCTION("""COMPUTED_VALUE"""),5.53)</f>
        <v>5.53</v>
      </c>
      <c r="AM1059" s="14">
        <f>IFERROR(__xludf.DUMMYFUNCTION("""COMPUTED_VALUE"""),5.28)</f>
        <v>5.28</v>
      </c>
      <c r="AN1059" s="14">
        <f>IFERROR(__xludf.DUMMYFUNCTION("""COMPUTED_VALUE"""),5.69)</f>
        <v>5.69</v>
      </c>
      <c r="AO1059" s="14">
        <f>IFERROR(__xludf.DUMMYFUNCTION("""COMPUTED_VALUE"""),5.344)</f>
        <v>5.344</v>
      </c>
      <c r="AP1059" s="14">
        <f>IFERROR(__xludf.DUMMYFUNCTION("""COMPUTED_VALUE"""),40.0)</f>
        <v>40</v>
      </c>
      <c r="AQ1059" s="14">
        <f>IFERROR(__xludf.DUMMYFUNCTION("""COMPUTED_VALUE"""),62.0)</f>
        <v>62</v>
      </c>
      <c r="AR1059" s="14">
        <f>IFERROR(__xludf.DUMMYFUNCTION("""COMPUTED_VALUE"""),136.0)</f>
        <v>136</v>
      </c>
      <c r="AS1059" s="14">
        <f>IFERROR(__xludf.DUMMYFUNCTION("""COMPUTED_VALUE"""),1.6)</f>
        <v>1.6</v>
      </c>
      <c r="AT1059" s="14">
        <f>IFERROR(__xludf.DUMMYFUNCTION("""COMPUTED_VALUE"""),0.8)</f>
        <v>0.8</v>
      </c>
      <c r="AU1059" s="14">
        <f>IFERROR(__xludf.DUMMYFUNCTION("""COMPUTED_VALUE"""),66300.0)</f>
        <v>66300</v>
      </c>
      <c r="AV1059" s="14">
        <f>IFERROR(__xludf.DUMMYFUNCTION("""COMPUTED_VALUE"""),0.89)</f>
        <v>0.89</v>
      </c>
      <c r="AW1059" s="14">
        <f>IFERROR(__xludf.DUMMYFUNCTION("""COMPUTED_VALUE"""),9.0)</f>
        <v>9</v>
      </c>
      <c r="AX1059" s="14">
        <f>IFERROR(__xludf.DUMMYFUNCTION("""COMPUTED_VALUE"""),512.0)</f>
        <v>512</v>
      </c>
      <c r="AY1059" s="14">
        <f>IFERROR(__xludf.DUMMYFUNCTION("""COMPUTED_VALUE"""),0.8)</f>
        <v>0.8</v>
      </c>
      <c r="AZ1059" s="14">
        <f>IFERROR(__xludf.DUMMYFUNCTION("""COMPUTED_VALUE"""),0.088)</f>
        <v>0.088</v>
      </c>
      <c r="BA1059" s="14">
        <f t="shared" si="1"/>
        <v>9.888</v>
      </c>
    </row>
    <row r="1060" ht="14.25" customHeight="1">
      <c r="A1060" s="10" t="str">
        <f>IFERROR(__xludf.DUMMYFUNCTION("""COMPUTED_VALUE"""),"060524WI01")</f>
        <v>060524WI01</v>
      </c>
      <c r="B1060" s="12" t="str">
        <f>IFERROR(__xludf.DUMMYFUNCTION("""COMPUTED_VALUE"""),"COR-Prado Veraniego")</f>
        <v>COR-Prado Veraniego</v>
      </c>
      <c r="C1060" s="12"/>
      <c r="D1060" s="12"/>
      <c r="E1060" s="44">
        <f>IFERROR(__xludf.DUMMYFUNCTION("""COMPUTED_VALUE"""),45418.0)</f>
        <v>45418</v>
      </c>
      <c r="F1060" s="12" t="str">
        <f>IFERROR(__xludf.DUMMYFUNCTION("""COMPUTED_VALUE"""),"TIPO I")</f>
        <v>TIPO I</v>
      </c>
      <c r="G1060" s="12" t="str">
        <f>IFERROR(__xludf.DUMMYFUNCTION("""COMPUTED_VALUE"""),"Monitoreo realizado en canal con estructura en concreto y vegetación arbórea aledaña, durante la toma de muestra se observa color y se percibe olor.
Altitud: 2561 msnm")</f>
        <v>Monitoreo realizado en canal con estructura en concreto y vegetación arbórea aledaña, durante la toma de muestra se observa color y se percibe olor.
Altitud: 2561 msnm</v>
      </c>
      <c r="H1060" s="45">
        <f>IFERROR(__xludf.DUMMYFUNCTION("""COMPUTED_VALUE"""),0.25)</f>
        <v>0.25</v>
      </c>
      <c r="I1060" s="45">
        <f>IFERROR(__xludf.DUMMYFUNCTION("""COMPUTED_VALUE"""),0.3333333333321207)</f>
        <v>0.3333333333</v>
      </c>
      <c r="J1060" s="12">
        <f>IFERROR(__xludf.DUMMYFUNCTION("""COMPUTED_VALUE"""),5.0)</f>
        <v>5</v>
      </c>
      <c r="K1060" s="12">
        <f>IFERROR(__xludf.DUMMYFUNCTION("""COMPUTED_VALUE"""),0.19)</f>
        <v>0.19</v>
      </c>
      <c r="L1060" s="14">
        <f>IFERROR(__xludf.DUMMYFUNCTION("""COMPUTED_VALUE"""),323.938)</f>
        <v>323.938</v>
      </c>
      <c r="M1060" s="14">
        <f>IFERROR(__xludf.DUMMYFUNCTION("""COMPUTED_VALUE"""),328.302)</f>
        <v>328.302</v>
      </c>
      <c r="N1060" s="14">
        <f>IFERROR(__xludf.DUMMYFUNCTION("""COMPUTED_VALUE"""),329.446)</f>
        <v>329.446</v>
      </c>
      <c r="O1060" s="14">
        <f>IFERROR(__xludf.DUMMYFUNCTION("""COMPUTED_VALUE"""),329.528)</f>
        <v>329.528</v>
      </c>
      <c r="P1060" s="14">
        <f>IFERROR(__xludf.DUMMYFUNCTION("""COMPUTED_VALUE"""),331.193)</f>
        <v>331.193</v>
      </c>
      <c r="Q1060" s="14">
        <f>IFERROR(__xludf.DUMMYFUNCTION("""COMPUTED_VALUE"""),328.481)</f>
        <v>328.481</v>
      </c>
      <c r="R1060" s="48">
        <f>IFERROR(__xludf.DUMMYFUNCTION("""COMPUTED_VALUE"""),7.29)</f>
        <v>7.29</v>
      </c>
      <c r="S1060" s="48">
        <f>IFERROR(__xludf.DUMMYFUNCTION("""COMPUTED_VALUE"""),7.36)</f>
        <v>7.36</v>
      </c>
      <c r="T1060" s="48">
        <f>IFERROR(__xludf.DUMMYFUNCTION("""COMPUTED_VALUE"""),7.52)</f>
        <v>7.52</v>
      </c>
      <c r="U1060" s="48">
        <f>IFERROR(__xludf.DUMMYFUNCTION("""COMPUTED_VALUE"""),7.42)</f>
        <v>7.42</v>
      </c>
      <c r="V1060" s="48">
        <f>IFERROR(__xludf.DUMMYFUNCTION("""COMPUTED_VALUE"""),7.59)</f>
        <v>7.59</v>
      </c>
      <c r="W1060" s="14">
        <f>IFERROR(__xludf.DUMMYFUNCTION("""COMPUTED_VALUE"""),7.436000000000002)</f>
        <v>7.436</v>
      </c>
      <c r="X1060" s="14">
        <f>IFERROR(__xludf.DUMMYFUNCTION("""COMPUTED_VALUE"""),19.4)</f>
        <v>19.4</v>
      </c>
      <c r="Y1060" s="14">
        <f>IFERROR(__xludf.DUMMYFUNCTION("""COMPUTED_VALUE"""),18.9)</f>
        <v>18.9</v>
      </c>
      <c r="Z1060" s="14">
        <f>IFERROR(__xludf.DUMMYFUNCTION("""COMPUTED_VALUE"""),19.0)</f>
        <v>19</v>
      </c>
      <c r="AA1060" s="14">
        <f>IFERROR(__xludf.DUMMYFUNCTION("""COMPUTED_VALUE"""),18.8)</f>
        <v>18.8</v>
      </c>
      <c r="AB1060" s="14">
        <f>IFERROR(__xludf.DUMMYFUNCTION("""COMPUTED_VALUE"""),19.2)</f>
        <v>19.2</v>
      </c>
      <c r="AC1060" s="14">
        <f>IFERROR(__xludf.DUMMYFUNCTION("""COMPUTED_VALUE"""),19.06)</f>
        <v>19.06</v>
      </c>
      <c r="AD1060" s="48">
        <f>IFERROR(__xludf.DUMMYFUNCTION("""COMPUTED_VALUE"""),254.0)</f>
        <v>254</v>
      </c>
      <c r="AE1060" s="48">
        <f>IFERROR(__xludf.DUMMYFUNCTION("""COMPUTED_VALUE"""),261.0)</f>
        <v>261</v>
      </c>
      <c r="AF1060" s="48">
        <f>IFERROR(__xludf.DUMMYFUNCTION("""COMPUTED_VALUE"""),256.0)</f>
        <v>256</v>
      </c>
      <c r="AG1060" s="48">
        <f>IFERROR(__xludf.DUMMYFUNCTION("""COMPUTED_VALUE"""),274.0)</f>
        <v>274</v>
      </c>
      <c r="AH1060" s="48">
        <f>IFERROR(__xludf.DUMMYFUNCTION("""COMPUTED_VALUE"""),280.0)</f>
        <v>280</v>
      </c>
      <c r="AI1060" s="14">
        <f>IFERROR(__xludf.DUMMYFUNCTION("""COMPUTED_VALUE"""),265.0)</f>
        <v>265</v>
      </c>
      <c r="AJ1060" s="14">
        <f>IFERROR(__xludf.DUMMYFUNCTION("""COMPUTED_VALUE"""),6.06)</f>
        <v>6.06</v>
      </c>
      <c r="AK1060" s="14">
        <f>IFERROR(__xludf.DUMMYFUNCTION("""COMPUTED_VALUE"""),5.01)</f>
        <v>5.01</v>
      </c>
      <c r="AL1060" s="14">
        <f>IFERROR(__xludf.DUMMYFUNCTION("""COMPUTED_VALUE"""),5.18)</f>
        <v>5.18</v>
      </c>
      <c r="AM1060" s="14">
        <f>IFERROR(__xludf.DUMMYFUNCTION("""COMPUTED_VALUE"""),5.39)</f>
        <v>5.39</v>
      </c>
      <c r="AN1060" s="14">
        <f>IFERROR(__xludf.DUMMYFUNCTION("""COMPUTED_VALUE"""),5.07)</f>
        <v>5.07</v>
      </c>
      <c r="AO1060" s="14">
        <f>IFERROR(__xludf.DUMMYFUNCTION("""COMPUTED_VALUE"""),5.3420000000000005)</f>
        <v>5.342</v>
      </c>
      <c r="AP1060" s="14">
        <f>IFERROR(__xludf.DUMMYFUNCTION("""COMPUTED_VALUE"""),12.0)</f>
        <v>12</v>
      </c>
      <c r="AQ1060" s="14">
        <f>IFERROR(__xludf.DUMMYFUNCTION("""COMPUTED_VALUE"""),28.0)</f>
        <v>28</v>
      </c>
      <c r="AR1060" s="14">
        <f>IFERROR(__xludf.DUMMYFUNCTION("""COMPUTED_VALUE"""),14.0)</f>
        <v>14</v>
      </c>
      <c r="AS1060" s="14">
        <f>IFERROR(__xludf.DUMMYFUNCTION("""COMPUTED_VALUE"""),1.0)</f>
        <v>1</v>
      </c>
      <c r="AT1060" s="14">
        <f>IFERROR(__xludf.DUMMYFUNCTION("""COMPUTED_VALUE"""),0.31)</f>
        <v>0.31</v>
      </c>
      <c r="AU1060" s="14">
        <f>IFERROR(__xludf.DUMMYFUNCTION("""COMPUTED_VALUE"""),19350.0)</f>
        <v>19350</v>
      </c>
      <c r="AV1060" s="14">
        <f>IFERROR(__xludf.DUMMYFUNCTION("""COMPUTED_VALUE"""),0.16)</f>
        <v>0.16</v>
      </c>
      <c r="AW1060" s="14">
        <f>IFERROR(__xludf.DUMMYFUNCTION("""COMPUTED_VALUE"""),3.6)</f>
        <v>3.6</v>
      </c>
      <c r="AX1060" s="14">
        <f>IFERROR(__xludf.DUMMYFUNCTION("""COMPUTED_VALUE"""),11060.0)</f>
        <v>11060</v>
      </c>
      <c r="AY1060" s="14">
        <f>IFERROR(__xludf.DUMMYFUNCTION("""COMPUTED_VALUE"""),1.1)</f>
        <v>1.1</v>
      </c>
      <c r="AZ1060" s="14">
        <f>IFERROR(__xludf.DUMMYFUNCTION("""COMPUTED_VALUE"""),0.127)</f>
        <v>0.127</v>
      </c>
      <c r="BA1060" s="14">
        <f t="shared" si="1"/>
        <v>4.827</v>
      </c>
    </row>
    <row r="1061" ht="14.25" customHeight="1">
      <c r="A1061" s="10" t="str">
        <f>IFERROR(__xludf.DUMMYFUNCTION("""COMPUTED_VALUE"""),"100524FE02")</f>
        <v>100524FE02</v>
      </c>
      <c r="B1061" s="12" t="str">
        <f>IFERROR(__xludf.DUMMYFUNCTION("""COMPUTED_VALUE"""),"QLI-San Francisco")</f>
        <v>QLI-San Francisco</v>
      </c>
      <c r="C1061" s="12"/>
      <c r="D1061" s="12"/>
      <c r="E1061" s="44">
        <f>IFERROR(__xludf.DUMMYFUNCTION("""COMPUTED_VALUE"""),45422.0)</f>
        <v>45422</v>
      </c>
      <c r="F1061" s="12" t="str">
        <f>IFERROR(__xludf.DUMMYFUNCTION("""COMPUTED_VALUE"""),"TIPO I")</f>
        <v>TIPO I</v>
      </c>
      <c r="G1061" s="12" t="str">
        <f>IFERROR(__xludf.DUMMYFUNCTION("""COMPUTED_VALUE"""),"Se realiza muestreo en canal natural rocoso, arenoso, lodoso, presencia de vegetación arbórea. Durante el monitoreo se observa color y se percibe olor. 
Altitud: 2601 msnm")</f>
        <v>Se realiza muestreo en canal natural rocoso, arenoso, lodoso, presencia de vegetación arbórea. Durante el monitoreo se observa color y se percibe olor. 
Altitud: 2601 msnm</v>
      </c>
      <c r="H1061" s="45">
        <f>IFERROR(__xludf.DUMMYFUNCTION("""COMPUTED_VALUE"""),0.4166666666678793)</f>
        <v>0.4166666667</v>
      </c>
      <c r="I1061" s="45">
        <f>IFERROR(__xludf.DUMMYFUNCTION("""COMPUTED_VALUE"""),0.5)</f>
        <v>0.5</v>
      </c>
      <c r="J1061" s="12">
        <f>IFERROR(__xludf.DUMMYFUNCTION("""COMPUTED_VALUE"""),1.9)</f>
        <v>1.9</v>
      </c>
      <c r="K1061" s="12">
        <f>IFERROR(__xludf.DUMMYFUNCTION("""COMPUTED_VALUE"""),0.17)</f>
        <v>0.17</v>
      </c>
      <c r="L1061" s="14">
        <f>IFERROR(__xludf.DUMMYFUNCTION("""COMPUTED_VALUE"""),100.192)</f>
        <v>100.192</v>
      </c>
      <c r="M1061" s="14">
        <f>IFERROR(__xludf.DUMMYFUNCTION("""COMPUTED_VALUE"""),99.512)</f>
        <v>99.512</v>
      </c>
      <c r="N1061" s="14">
        <f>IFERROR(__xludf.DUMMYFUNCTION("""COMPUTED_VALUE"""),103.255)</f>
        <v>103.255</v>
      </c>
      <c r="O1061" s="14">
        <f>IFERROR(__xludf.DUMMYFUNCTION("""COMPUTED_VALUE"""),101.578)</f>
        <v>101.578</v>
      </c>
      <c r="P1061" s="14">
        <f>IFERROR(__xludf.DUMMYFUNCTION("""COMPUTED_VALUE"""),104.913)</f>
        <v>104.913</v>
      </c>
      <c r="Q1061" s="14">
        <f>IFERROR(__xludf.DUMMYFUNCTION("""COMPUTED_VALUE"""),101.89)</f>
        <v>101.89</v>
      </c>
      <c r="R1061" s="48">
        <f>IFERROR(__xludf.DUMMYFUNCTION("""COMPUTED_VALUE"""),8.19)</f>
        <v>8.19</v>
      </c>
      <c r="S1061" s="48">
        <f>IFERROR(__xludf.DUMMYFUNCTION("""COMPUTED_VALUE"""),8.22)</f>
        <v>8.22</v>
      </c>
      <c r="T1061" s="48">
        <f>IFERROR(__xludf.DUMMYFUNCTION("""COMPUTED_VALUE"""),8.06)</f>
        <v>8.06</v>
      </c>
      <c r="U1061" s="48">
        <f>IFERROR(__xludf.DUMMYFUNCTION("""COMPUTED_VALUE"""),8.15)</f>
        <v>8.15</v>
      </c>
      <c r="V1061" s="48">
        <f>IFERROR(__xludf.DUMMYFUNCTION("""COMPUTED_VALUE"""),8.21)</f>
        <v>8.21</v>
      </c>
      <c r="W1061" s="14">
        <f>IFERROR(__xludf.DUMMYFUNCTION("""COMPUTED_VALUE"""),8.166)</f>
        <v>8.166</v>
      </c>
      <c r="X1061" s="14">
        <f>IFERROR(__xludf.DUMMYFUNCTION("""COMPUTED_VALUE"""),17.3)</f>
        <v>17.3</v>
      </c>
      <c r="Y1061" s="14">
        <f>IFERROR(__xludf.DUMMYFUNCTION("""COMPUTED_VALUE"""),17.4)</f>
        <v>17.4</v>
      </c>
      <c r="Z1061" s="14">
        <f>IFERROR(__xludf.DUMMYFUNCTION("""COMPUTED_VALUE"""),18.3)</f>
        <v>18.3</v>
      </c>
      <c r="AA1061" s="14">
        <f>IFERROR(__xludf.DUMMYFUNCTION("""COMPUTED_VALUE"""),17.7)</f>
        <v>17.7</v>
      </c>
      <c r="AB1061" s="14">
        <f>IFERROR(__xludf.DUMMYFUNCTION("""COMPUTED_VALUE"""),18.1)</f>
        <v>18.1</v>
      </c>
      <c r="AC1061" s="14">
        <f>IFERROR(__xludf.DUMMYFUNCTION("""COMPUTED_VALUE"""),17.76)</f>
        <v>17.76</v>
      </c>
      <c r="AD1061" s="48">
        <f>IFERROR(__xludf.DUMMYFUNCTION("""COMPUTED_VALUE"""),403.0)</f>
        <v>403</v>
      </c>
      <c r="AE1061" s="48">
        <f>IFERROR(__xludf.DUMMYFUNCTION("""COMPUTED_VALUE"""),373.0)</f>
        <v>373</v>
      </c>
      <c r="AF1061" s="48">
        <f>IFERROR(__xludf.DUMMYFUNCTION("""COMPUTED_VALUE"""),409.0)</f>
        <v>409</v>
      </c>
      <c r="AG1061" s="48">
        <f>IFERROR(__xludf.DUMMYFUNCTION("""COMPUTED_VALUE"""),418.0)</f>
        <v>418</v>
      </c>
      <c r="AH1061" s="48">
        <f>IFERROR(__xludf.DUMMYFUNCTION("""COMPUTED_VALUE"""),388.0)</f>
        <v>388</v>
      </c>
      <c r="AI1061" s="14">
        <f>IFERROR(__xludf.DUMMYFUNCTION("""COMPUTED_VALUE"""),398.2)</f>
        <v>398.2</v>
      </c>
      <c r="AJ1061" s="14">
        <f>IFERROR(__xludf.DUMMYFUNCTION("""COMPUTED_VALUE"""),2.66)</f>
        <v>2.66</v>
      </c>
      <c r="AK1061" s="14">
        <f>IFERROR(__xludf.DUMMYFUNCTION("""COMPUTED_VALUE"""),3.47)</f>
        <v>3.47</v>
      </c>
      <c r="AL1061" s="14">
        <f>IFERROR(__xludf.DUMMYFUNCTION("""COMPUTED_VALUE"""),3.62)</f>
        <v>3.62</v>
      </c>
      <c r="AM1061" s="14">
        <f>IFERROR(__xludf.DUMMYFUNCTION("""COMPUTED_VALUE"""),2.74)</f>
        <v>2.74</v>
      </c>
      <c r="AN1061" s="14">
        <f>IFERROR(__xludf.DUMMYFUNCTION("""COMPUTED_VALUE"""),3.43)</f>
        <v>3.43</v>
      </c>
      <c r="AO1061" s="14">
        <f>IFERROR(__xludf.DUMMYFUNCTION("""COMPUTED_VALUE"""),3.184)</f>
        <v>3.184</v>
      </c>
      <c r="AP1061" s="14">
        <f>IFERROR(__xludf.DUMMYFUNCTION("""COMPUTED_VALUE"""),36.0)</f>
        <v>36</v>
      </c>
      <c r="AQ1061" s="14">
        <f>IFERROR(__xludf.DUMMYFUNCTION("""COMPUTED_VALUE"""),70.0)</f>
        <v>70</v>
      </c>
      <c r="AR1061" s="14">
        <f>IFERROR(__xludf.DUMMYFUNCTION("""COMPUTED_VALUE"""),200.0)</f>
        <v>200</v>
      </c>
      <c r="AS1061" s="14">
        <f>IFERROR(__xludf.DUMMYFUNCTION("""COMPUTED_VALUE"""),5.7)</f>
        <v>5.7</v>
      </c>
      <c r="AT1061" s="14">
        <f>IFERROR(__xludf.DUMMYFUNCTION("""COMPUTED_VALUE"""),0.39)</f>
        <v>0.39</v>
      </c>
      <c r="AU1061" s="14">
        <f>IFERROR(__xludf.DUMMYFUNCTION("""COMPUTED_VALUE"""),5940000.0)</f>
        <v>5940000</v>
      </c>
      <c r="AV1061" s="14">
        <f>IFERROR(__xludf.DUMMYFUNCTION("""COMPUTED_VALUE"""),1.14)</f>
        <v>1.14</v>
      </c>
      <c r="AW1061" s="14">
        <f>IFERROR(__xludf.DUMMYFUNCTION("""COMPUTED_VALUE"""),10.4)</f>
        <v>10.4</v>
      </c>
      <c r="AX1061" s="14">
        <f>IFERROR(__xludf.DUMMYFUNCTION("""COMPUTED_VALUE"""),3360000.0)</f>
        <v>3360000</v>
      </c>
      <c r="AY1061" s="14">
        <f>IFERROR(__xludf.DUMMYFUNCTION("""COMPUTED_VALUE"""),1.1)</f>
        <v>1.1</v>
      </c>
      <c r="AZ1061" s="14">
        <f>IFERROR(__xludf.DUMMYFUNCTION("""COMPUTED_VALUE"""),0.396)</f>
        <v>0.396</v>
      </c>
      <c r="BA1061" s="14">
        <f t="shared" si="1"/>
        <v>11.896</v>
      </c>
    </row>
    <row r="1062" ht="14.25" customHeight="1">
      <c r="A1062" s="10" t="str">
        <f>IFERROR(__xludf.DUMMYFUNCTION("""COMPUTED_VALUE"""),"080524DU02")</f>
        <v>080524DU02</v>
      </c>
      <c r="B1062" s="12" t="str">
        <f>IFERROR(__xludf.DUMMYFUNCTION("""COMPUTED_VALUE"""),"QTR-Acapulco")</f>
        <v>QTR-Acapulco</v>
      </c>
      <c r="C1062" s="12"/>
      <c r="D1062" s="12"/>
      <c r="E1062" s="44">
        <f>IFERROR(__xludf.DUMMYFUNCTION("""COMPUTED_VALUE"""),45420.0)</f>
        <v>45420</v>
      </c>
      <c r="F1062" s="12" t="str">
        <f>IFERROR(__xludf.DUMMYFUNCTION("""COMPUTED_VALUE"""),"TIPO I")</f>
        <v>TIPO I</v>
      </c>
      <c r="G1062" s="12" t="str">
        <f>IFERROR(__xludf.DUMMYFUNCTION("""COMPUTED_VALUE"""),"Monitoreo realizado en canal con estructura natural con lecho rocoso y cobertura vegetal de pastizales; durante la toma de muestra se observa residuos sólidos en los costados, espuma y color, se percibe olor.
A las 10:15 se observa cambio en la coloración"&amp;"
Altitud: 2597 msnm")</f>
        <v>Monitoreo realizado en canal con estructura natural con lecho rocoso y cobertura vegetal de pastizales; durante la toma de muestra se observa residuos sólidos en los costados, espuma y color, se percibe olor.
A las 10:15 se observa cambio en la coloración
Altitud: 2597 msnm</v>
      </c>
      <c r="H1062" s="45">
        <f>IFERROR(__xludf.DUMMYFUNCTION("""COMPUTED_VALUE"""),0.4166666666678793)</f>
        <v>0.4166666667</v>
      </c>
      <c r="I1062" s="45">
        <f>IFERROR(__xludf.DUMMYFUNCTION("""COMPUTED_VALUE"""),0.5)</f>
        <v>0.5</v>
      </c>
      <c r="J1062" s="12">
        <f>IFERROR(__xludf.DUMMYFUNCTION("""COMPUTED_VALUE"""),1.3)</f>
        <v>1.3</v>
      </c>
      <c r="K1062" s="12">
        <f>IFERROR(__xludf.DUMMYFUNCTION("""COMPUTED_VALUE"""),0.24)</f>
        <v>0.24</v>
      </c>
      <c r="L1062" s="14">
        <f>IFERROR(__xludf.DUMMYFUNCTION("""COMPUTED_VALUE"""),49.067)</f>
        <v>49.067</v>
      </c>
      <c r="M1062" s="14">
        <f>IFERROR(__xludf.DUMMYFUNCTION("""COMPUTED_VALUE"""),53.021)</f>
        <v>53.021</v>
      </c>
      <c r="N1062" s="14">
        <f>IFERROR(__xludf.DUMMYFUNCTION("""COMPUTED_VALUE"""),56.031)</f>
        <v>56.031</v>
      </c>
      <c r="O1062" s="14">
        <f>IFERROR(__xludf.DUMMYFUNCTION("""COMPUTED_VALUE"""),59.226)</f>
        <v>59.226</v>
      </c>
      <c r="P1062" s="14">
        <f>IFERROR(__xludf.DUMMYFUNCTION("""COMPUTED_VALUE"""),60.921)</f>
        <v>60.921</v>
      </c>
      <c r="Q1062" s="14">
        <f>IFERROR(__xludf.DUMMYFUNCTION("""COMPUTED_VALUE"""),55.653)</f>
        <v>55.653</v>
      </c>
      <c r="R1062" s="48">
        <f>IFERROR(__xludf.DUMMYFUNCTION("""COMPUTED_VALUE"""),7.6)</f>
        <v>7.6</v>
      </c>
      <c r="S1062" s="48">
        <f>IFERROR(__xludf.DUMMYFUNCTION("""COMPUTED_VALUE"""),9.13)</f>
        <v>9.13</v>
      </c>
      <c r="T1062" s="48">
        <f>IFERROR(__xludf.DUMMYFUNCTION("""COMPUTED_VALUE"""),9.74)</f>
        <v>9.74</v>
      </c>
      <c r="U1062" s="48">
        <f>IFERROR(__xludf.DUMMYFUNCTION("""COMPUTED_VALUE"""),9.24)</f>
        <v>9.24</v>
      </c>
      <c r="V1062" s="48">
        <f>IFERROR(__xludf.DUMMYFUNCTION("""COMPUTED_VALUE"""),9.41)</f>
        <v>9.41</v>
      </c>
      <c r="W1062" s="14">
        <f>IFERROR(__xludf.DUMMYFUNCTION("""COMPUTED_VALUE"""),9.024000000000001)</f>
        <v>9.024</v>
      </c>
      <c r="X1062" s="14">
        <f>IFERROR(__xludf.DUMMYFUNCTION("""COMPUTED_VALUE"""),16.7)</f>
        <v>16.7</v>
      </c>
      <c r="Y1062" s="14">
        <f>IFERROR(__xludf.DUMMYFUNCTION("""COMPUTED_VALUE"""),17.0)</f>
        <v>17</v>
      </c>
      <c r="Z1062" s="14">
        <f>IFERROR(__xludf.DUMMYFUNCTION("""COMPUTED_VALUE"""),17.2)</f>
        <v>17.2</v>
      </c>
      <c r="AA1062" s="14">
        <f>IFERROR(__xludf.DUMMYFUNCTION("""COMPUTED_VALUE"""),17.6)</f>
        <v>17.6</v>
      </c>
      <c r="AB1062" s="14">
        <f>IFERROR(__xludf.DUMMYFUNCTION("""COMPUTED_VALUE"""),17.6)</f>
        <v>17.6</v>
      </c>
      <c r="AC1062" s="14">
        <f>IFERROR(__xludf.DUMMYFUNCTION("""COMPUTED_VALUE"""),17.22)</f>
        <v>17.22</v>
      </c>
      <c r="AD1062" s="48">
        <f>IFERROR(__xludf.DUMMYFUNCTION("""COMPUTED_VALUE"""),579.0)</f>
        <v>579</v>
      </c>
      <c r="AE1062" s="48">
        <f>IFERROR(__xludf.DUMMYFUNCTION("""COMPUTED_VALUE"""),608.0)</f>
        <v>608</v>
      </c>
      <c r="AF1062" s="48">
        <f>IFERROR(__xludf.DUMMYFUNCTION("""COMPUTED_VALUE"""),584.0)</f>
        <v>584</v>
      </c>
      <c r="AG1062" s="48">
        <f>IFERROR(__xludf.DUMMYFUNCTION("""COMPUTED_VALUE"""),646.0)</f>
        <v>646</v>
      </c>
      <c r="AH1062" s="48">
        <f>IFERROR(__xludf.DUMMYFUNCTION("""COMPUTED_VALUE"""),670.0)</f>
        <v>670</v>
      </c>
      <c r="AI1062" s="14">
        <f>IFERROR(__xludf.DUMMYFUNCTION("""COMPUTED_VALUE"""),617.4)</f>
        <v>617.4</v>
      </c>
      <c r="AJ1062" s="14">
        <f>IFERROR(__xludf.DUMMYFUNCTION("""COMPUTED_VALUE"""),5.41)</f>
        <v>5.41</v>
      </c>
      <c r="AK1062" s="14">
        <f>IFERROR(__xludf.DUMMYFUNCTION("""COMPUTED_VALUE"""),5.99)</f>
        <v>5.99</v>
      </c>
      <c r="AL1062" s="14">
        <f>IFERROR(__xludf.DUMMYFUNCTION("""COMPUTED_VALUE"""),6.13)</f>
        <v>6.13</v>
      </c>
      <c r="AM1062" s="14">
        <f>IFERROR(__xludf.DUMMYFUNCTION("""COMPUTED_VALUE"""),5.76)</f>
        <v>5.76</v>
      </c>
      <c r="AN1062" s="14">
        <f>IFERROR(__xludf.DUMMYFUNCTION("""COMPUTED_VALUE"""),5.74)</f>
        <v>5.74</v>
      </c>
      <c r="AO1062" s="14">
        <f>IFERROR(__xludf.DUMMYFUNCTION("""COMPUTED_VALUE"""),5.806)</f>
        <v>5.806</v>
      </c>
      <c r="AP1062" s="14">
        <f>IFERROR(__xludf.DUMMYFUNCTION("""COMPUTED_VALUE"""),78.0)</f>
        <v>78</v>
      </c>
      <c r="AQ1062" s="14">
        <f>IFERROR(__xludf.DUMMYFUNCTION("""COMPUTED_VALUE"""),221.0)</f>
        <v>221</v>
      </c>
      <c r="AR1062" s="14">
        <f>IFERROR(__xludf.DUMMYFUNCTION("""COMPUTED_VALUE"""),1357.0)</f>
        <v>1357</v>
      </c>
      <c r="AS1062" s="14">
        <f>IFERROR(__xludf.DUMMYFUNCTION("""COMPUTED_VALUE"""),8.5)</f>
        <v>8.5</v>
      </c>
      <c r="AT1062" s="14">
        <f>IFERROR(__xludf.DUMMYFUNCTION("""COMPUTED_VALUE"""),1.21)</f>
        <v>1.21</v>
      </c>
      <c r="AU1062" s="14">
        <f>IFERROR(__xludf.DUMMYFUNCTION("""COMPUTED_VALUE"""),1.354E7)</f>
        <v>13540000</v>
      </c>
      <c r="AV1062" s="14">
        <f>IFERROR(__xludf.DUMMYFUNCTION("""COMPUTED_VALUE"""),0.85)</f>
        <v>0.85</v>
      </c>
      <c r="AW1062" s="14">
        <f>IFERROR(__xludf.DUMMYFUNCTION("""COMPUTED_VALUE"""),22.7)</f>
        <v>22.7</v>
      </c>
      <c r="AX1062" s="14">
        <f>IFERROR(__xludf.DUMMYFUNCTION("""COMPUTED_VALUE"""),1.201E7)</f>
        <v>12010000</v>
      </c>
      <c r="AY1062" s="14">
        <f>IFERROR(__xludf.DUMMYFUNCTION("""COMPUTED_VALUE"""),0.6)</f>
        <v>0.6</v>
      </c>
      <c r="AZ1062" s="14">
        <f>IFERROR(__xludf.DUMMYFUNCTION("""COMPUTED_VALUE"""),0.161)</f>
        <v>0.161</v>
      </c>
      <c r="BA1062" s="14">
        <f t="shared" si="1"/>
        <v>23.461</v>
      </c>
    </row>
    <row r="1063" ht="14.25" customHeight="1">
      <c r="A1063" s="10" t="str">
        <f>IFERROR(__xludf.DUMMYFUNCTION("""COMPUTED_VALUE"""),"080524WI03")</f>
        <v>080524WI03</v>
      </c>
      <c r="B1063" s="12" t="str">
        <f>IFERROR(__xludf.DUMMYFUNCTION("""COMPUTED_VALUE"""),"QSL-Alfonso López")</f>
        <v>QSL-Alfonso López</v>
      </c>
      <c r="C1063" s="12"/>
      <c r="D1063" s="12"/>
      <c r="E1063" s="44">
        <f>IFERROR(__xludf.DUMMYFUNCTION("""COMPUTED_VALUE"""),45420.0)</f>
        <v>45420</v>
      </c>
      <c r="F1063" s="12" t="str">
        <f>IFERROR(__xludf.DUMMYFUNCTION("""COMPUTED_VALUE"""),"TIPO I")</f>
        <v>TIPO I</v>
      </c>
      <c r="G1063" s="12" t="str">
        <f>IFERROR(__xludf.DUMMYFUNCTION("""COMPUTED_VALUE"""),"Monitoreo realizado cuerpo de agua natural con lecho rocoso-arenoso, presencia de vegetación arbórea; durante la toma de muestra se observan residuos sólidos y color, se percibe olor. 
Altitud: 2745 msnm")</f>
        <v>Monitoreo realizado cuerpo de agua natural con lecho rocoso-arenoso, presencia de vegetación arbórea; durante la toma de muestra se observan residuos sólidos y color, se percibe olor. 
Altitud: 2745 msnm</v>
      </c>
      <c r="H1063" s="45">
        <f>IFERROR(__xludf.DUMMYFUNCTION("""COMPUTED_VALUE"""),0.5833333333321207)</f>
        <v>0.5833333333</v>
      </c>
      <c r="I1063" s="45">
        <f>IFERROR(__xludf.DUMMYFUNCTION("""COMPUTED_VALUE"""),0.6666666666678793)</f>
        <v>0.6666666667</v>
      </c>
      <c r="J1063" s="12">
        <f>IFERROR(__xludf.DUMMYFUNCTION("""COMPUTED_VALUE"""),1.0)</f>
        <v>1</v>
      </c>
      <c r="K1063" s="12">
        <f>IFERROR(__xludf.DUMMYFUNCTION("""COMPUTED_VALUE"""),0.08)</f>
        <v>0.08</v>
      </c>
      <c r="L1063" s="14">
        <f>IFERROR(__xludf.DUMMYFUNCTION("""COMPUTED_VALUE"""),22.193)</f>
        <v>22.193</v>
      </c>
      <c r="M1063" s="14">
        <f>IFERROR(__xludf.DUMMYFUNCTION("""COMPUTED_VALUE"""),22.803)</f>
        <v>22.803</v>
      </c>
      <c r="N1063" s="14">
        <f>IFERROR(__xludf.DUMMYFUNCTION("""COMPUTED_VALUE"""),23.285)</f>
        <v>23.285</v>
      </c>
      <c r="O1063" s="14">
        <f>IFERROR(__xludf.DUMMYFUNCTION("""COMPUTED_VALUE"""),22.917)</f>
        <v>22.917</v>
      </c>
      <c r="P1063" s="14">
        <f>IFERROR(__xludf.DUMMYFUNCTION("""COMPUTED_VALUE"""),23.101)</f>
        <v>23.101</v>
      </c>
      <c r="Q1063" s="14">
        <f>IFERROR(__xludf.DUMMYFUNCTION("""COMPUTED_VALUE"""),22.86)</f>
        <v>22.86</v>
      </c>
      <c r="R1063" s="48">
        <f>IFERROR(__xludf.DUMMYFUNCTION("""COMPUTED_VALUE"""),8.1)</f>
        <v>8.1</v>
      </c>
      <c r="S1063" s="48">
        <f>IFERROR(__xludf.DUMMYFUNCTION("""COMPUTED_VALUE"""),7.28)</f>
        <v>7.28</v>
      </c>
      <c r="T1063" s="48">
        <f>IFERROR(__xludf.DUMMYFUNCTION("""COMPUTED_VALUE"""),7.72)</f>
        <v>7.72</v>
      </c>
      <c r="U1063" s="48">
        <f>IFERROR(__xludf.DUMMYFUNCTION("""COMPUTED_VALUE"""),8.02)</f>
        <v>8.02</v>
      </c>
      <c r="V1063" s="48">
        <f>IFERROR(__xludf.DUMMYFUNCTION("""COMPUTED_VALUE"""),7.84)</f>
        <v>7.84</v>
      </c>
      <c r="W1063" s="14">
        <f>IFERROR(__xludf.DUMMYFUNCTION("""COMPUTED_VALUE"""),7.791999999999999)</f>
        <v>7.792</v>
      </c>
      <c r="X1063" s="14">
        <f>IFERROR(__xludf.DUMMYFUNCTION("""COMPUTED_VALUE"""),15.4)</f>
        <v>15.4</v>
      </c>
      <c r="Y1063" s="14">
        <f>IFERROR(__xludf.DUMMYFUNCTION("""COMPUTED_VALUE"""),15.9)</f>
        <v>15.9</v>
      </c>
      <c r="Z1063" s="14">
        <f>IFERROR(__xludf.DUMMYFUNCTION("""COMPUTED_VALUE"""),16.2)</f>
        <v>16.2</v>
      </c>
      <c r="AA1063" s="14">
        <f>IFERROR(__xludf.DUMMYFUNCTION("""COMPUTED_VALUE"""),15.6)</f>
        <v>15.6</v>
      </c>
      <c r="AB1063" s="14">
        <f>IFERROR(__xludf.DUMMYFUNCTION("""COMPUTED_VALUE"""),16.0)</f>
        <v>16</v>
      </c>
      <c r="AC1063" s="14">
        <f>IFERROR(__xludf.DUMMYFUNCTION("""COMPUTED_VALUE"""),15.819999999999999)</f>
        <v>15.82</v>
      </c>
      <c r="AD1063" s="48">
        <f>IFERROR(__xludf.DUMMYFUNCTION("""COMPUTED_VALUE"""),233.0)</f>
        <v>233</v>
      </c>
      <c r="AE1063" s="48">
        <f>IFERROR(__xludf.DUMMYFUNCTION("""COMPUTED_VALUE"""),245.0)</f>
        <v>245</v>
      </c>
      <c r="AF1063" s="48">
        <f>IFERROR(__xludf.DUMMYFUNCTION("""COMPUTED_VALUE"""),217.0)</f>
        <v>217</v>
      </c>
      <c r="AG1063" s="48">
        <f>IFERROR(__xludf.DUMMYFUNCTION("""COMPUTED_VALUE"""),228.0)</f>
        <v>228</v>
      </c>
      <c r="AH1063" s="48">
        <f>IFERROR(__xludf.DUMMYFUNCTION("""COMPUTED_VALUE"""),218.0)</f>
        <v>218</v>
      </c>
      <c r="AI1063" s="14">
        <f>IFERROR(__xludf.DUMMYFUNCTION("""COMPUTED_VALUE"""),228.2)</f>
        <v>228.2</v>
      </c>
      <c r="AJ1063" s="14">
        <f>IFERROR(__xludf.DUMMYFUNCTION("""COMPUTED_VALUE"""),5.85)</f>
        <v>5.85</v>
      </c>
      <c r="AK1063" s="14">
        <f>IFERROR(__xludf.DUMMYFUNCTION("""COMPUTED_VALUE"""),4.63)</f>
        <v>4.63</v>
      </c>
      <c r="AL1063" s="14">
        <f>IFERROR(__xludf.DUMMYFUNCTION("""COMPUTED_VALUE"""),4.9)</f>
        <v>4.9</v>
      </c>
      <c r="AM1063" s="14">
        <f>IFERROR(__xludf.DUMMYFUNCTION("""COMPUTED_VALUE"""),5.46)</f>
        <v>5.46</v>
      </c>
      <c r="AN1063" s="14">
        <f>IFERROR(__xludf.DUMMYFUNCTION("""COMPUTED_VALUE"""),4.79)</f>
        <v>4.79</v>
      </c>
      <c r="AO1063" s="14">
        <f>IFERROR(__xludf.DUMMYFUNCTION("""COMPUTED_VALUE"""),5.1259999999999994)</f>
        <v>5.126</v>
      </c>
      <c r="AP1063" s="14">
        <f>IFERROR(__xludf.DUMMYFUNCTION("""COMPUTED_VALUE"""),4.0)</f>
        <v>4</v>
      </c>
      <c r="AQ1063" s="14">
        <f>IFERROR(__xludf.DUMMYFUNCTION("""COMPUTED_VALUE"""),16.0)</f>
        <v>16</v>
      </c>
      <c r="AR1063" s="14">
        <f>IFERROR(__xludf.DUMMYFUNCTION("""COMPUTED_VALUE"""),59.0)</f>
        <v>59</v>
      </c>
      <c r="AS1063" s="14">
        <f>IFERROR(__xludf.DUMMYFUNCTION("""COMPUTED_VALUE"""),9.7)</f>
        <v>9.7</v>
      </c>
      <c r="AT1063" s="14">
        <f>IFERROR(__xludf.DUMMYFUNCTION("""COMPUTED_VALUE"""),0.1)</f>
        <v>0.1</v>
      </c>
      <c r="AU1063" s="14">
        <f>IFERROR(__xludf.DUMMYFUNCTION("""COMPUTED_VALUE"""),68300.0)</f>
        <v>68300</v>
      </c>
      <c r="AV1063" s="14">
        <f>IFERROR(__xludf.DUMMYFUNCTION("""COMPUTED_VALUE"""),0.09)</f>
        <v>0.09</v>
      </c>
      <c r="AW1063" s="14">
        <f>IFERROR(__xludf.DUMMYFUNCTION("""COMPUTED_VALUE"""),1.0)</f>
        <v>1</v>
      </c>
      <c r="AX1063" s="14">
        <f>IFERROR(__xludf.DUMMYFUNCTION("""COMPUTED_VALUE"""),29200.0)</f>
        <v>29200</v>
      </c>
      <c r="AY1063" s="14">
        <f>IFERROR(__xludf.DUMMYFUNCTION("""COMPUTED_VALUE"""),2.6)</f>
        <v>2.6</v>
      </c>
      <c r="AZ1063" s="14">
        <f>IFERROR(__xludf.DUMMYFUNCTION("""COMPUTED_VALUE"""),0.049)</f>
        <v>0.049</v>
      </c>
      <c r="BA1063" s="14">
        <f t="shared" si="1"/>
        <v>3.649</v>
      </c>
    </row>
    <row r="1064" ht="14.25" customHeight="1">
      <c r="A1064" s="10" t="str">
        <f>IFERROR(__xludf.DUMMYFUNCTION("""COMPUTED_VALUE"""),"090524FE02")</f>
        <v>090524FE02</v>
      </c>
      <c r="B1064" s="12" t="str">
        <f>IFERROR(__xludf.DUMMYFUNCTION("""COMPUTED_VALUE"""),"QCH-La Orquídea")</f>
        <v>QCH-La Orquídea</v>
      </c>
      <c r="C1064" s="12"/>
      <c r="D1064" s="12"/>
      <c r="E1064" s="44">
        <f>IFERROR(__xludf.DUMMYFUNCTION("""COMPUTED_VALUE"""),45421.0)</f>
        <v>45421</v>
      </c>
      <c r="F1064" s="12" t="str">
        <f>IFERROR(__xludf.DUMMYFUNCTION("""COMPUTED_VALUE"""),"TIPO I")</f>
        <v>TIPO I</v>
      </c>
      <c r="G1064" s="12" t="str">
        <f>IFERROR(__xludf.DUMMYFUNCTION("""COMPUTED_VALUE"""),"Monitoreo realizado en tubería en concreto con diámetro de 1.0 m; durante la toma de muestra se observa color, se percibe olor.
Altitud: 2820 msnm")</f>
        <v>Monitoreo realizado en tubería en concreto con diámetro de 1.0 m; durante la toma de muestra se observa color, se percibe olor.
Altitud: 2820 msnm</v>
      </c>
      <c r="H1064" s="45">
        <f>IFERROR(__xludf.DUMMYFUNCTION("""COMPUTED_VALUE"""),0.5833333333321207)</f>
        <v>0.5833333333</v>
      </c>
      <c r="I1064" s="45">
        <f>IFERROR(__xludf.DUMMYFUNCTION("""COMPUTED_VALUE"""),0.6666666666678793)</f>
        <v>0.6666666667</v>
      </c>
      <c r="J1064" s="12"/>
      <c r="K1064" s="12"/>
      <c r="L1064" s="14">
        <f>IFERROR(__xludf.DUMMYFUNCTION("""COMPUTED_VALUE"""),2.324)</f>
        <v>2.324</v>
      </c>
      <c r="M1064" s="14">
        <f>IFERROR(__xludf.DUMMYFUNCTION("""COMPUTED_VALUE"""),1.106)</f>
        <v>1.106</v>
      </c>
      <c r="N1064" s="14">
        <f>IFERROR(__xludf.DUMMYFUNCTION("""COMPUTED_VALUE"""),1.376)</f>
        <v>1.376</v>
      </c>
      <c r="O1064" s="14">
        <f>IFERROR(__xludf.DUMMYFUNCTION("""COMPUTED_VALUE"""),1.272)</f>
        <v>1.272</v>
      </c>
      <c r="P1064" s="14">
        <f>IFERROR(__xludf.DUMMYFUNCTION("""COMPUTED_VALUE"""),1.527)</f>
        <v>1.527</v>
      </c>
      <c r="Q1064" s="14">
        <f>IFERROR(__xludf.DUMMYFUNCTION("""COMPUTED_VALUE"""),1.521)</f>
        <v>1.521</v>
      </c>
      <c r="R1064" s="48">
        <f>IFERROR(__xludf.DUMMYFUNCTION("""COMPUTED_VALUE"""),7.45)</f>
        <v>7.45</v>
      </c>
      <c r="S1064" s="48">
        <f>IFERROR(__xludf.DUMMYFUNCTION("""COMPUTED_VALUE"""),7.74)</f>
        <v>7.74</v>
      </c>
      <c r="T1064" s="48">
        <f>IFERROR(__xludf.DUMMYFUNCTION("""COMPUTED_VALUE"""),7.73)</f>
        <v>7.73</v>
      </c>
      <c r="U1064" s="48">
        <f>IFERROR(__xludf.DUMMYFUNCTION("""COMPUTED_VALUE"""),7.76)</f>
        <v>7.76</v>
      </c>
      <c r="V1064" s="48">
        <f>IFERROR(__xludf.DUMMYFUNCTION("""COMPUTED_VALUE"""),7.85)</f>
        <v>7.85</v>
      </c>
      <c r="W1064" s="14">
        <f>IFERROR(__xludf.DUMMYFUNCTION("""COMPUTED_VALUE"""),7.706)</f>
        <v>7.706</v>
      </c>
      <c r="X1064" s="14">
        <f>IFERROR(__xludf.DUMMYFUNCTION("""COMPUTED_VALUE"""),16.8)</f>
        <v>16.8</v>
      </c>
      <c r="Y1064" s="14">
        <f>IFERROR(__xludf.DUMMYFUNCTION("""COMPUTED_VALUE"""),16.7)</f>
        <v>16.7</v>
      </c>
      <c r="Z1064" s="14">
        <f>IFERROR(__xludf.DUMMYFUNCTION("""COMPUTED_VALUE"""),16.9)</f>
        <v>16.9</v>
      </c>
      <c r="AA1064" s="14">
        <f>IFERROR(__xludf.DUMMYFUNCTION("""COMPUTED_VALUE"""),17.2)</f>
        <v>17.2</v>
      </c>
      <c r="AB1064" s="14">
        <f>IFERROR(__xludf.DUMMYFUNCTION("""COMPUTED_VALUE"""),17.1)</f>
        <v>17.1</v>
      </c>
      <c r="AC1064" s="14">
        <f>IFERROR(__xludf.DUMMYFUNCTION("""COMPUTED_VALUE"""),16.939999999999998)</f>
        <v>16.94</v>
      </c>
      <c r="AD1064" s="48">
        <f>IFERROR(__xludf.DUMMYFUNCTION("""COMPUTED_VALUE"""),716.0)</f>
        <v>716</v>
      </c>
      <c r="AE1064" s="48">
        <f>IFERROR(__xludf.DUMMYFUNCTION("""COMPUTED_VALUE"""),705.0)</f>
        <v>705</v>
      </c>
      <c r="AF1064" s="48">
        <f>IFERROR(__xludf.DUMMYFUNCTION("""COMPUTED_VALUE"""),780.0)</f>
        <v>780</v>
      </c>
      <c r="AG1064" s="48">
        <f>IFERROR(__xludf.DUMMYFUNCTION("""COMPUTED_VALUE"""),746.0)</f>
        <v>746</v>
      </c>
      <c r="AH1064" s="48">
        <f>IFERROR(__xludf.DUMMYFUNCTION("""COMPUTED_VALUE"""),756.0)</f>
        <v>756</v>
      </c>
      <c r="AI1064" s="14">
        <f>IFERROR(__xludf.DUMMYFUNCTION("""COMPUTED_VALUE"""),740.6)</f>
        <v>740.6</v>
      </c>
      <c r="AJ1064" s="14">
        <f>IFERROR(__xludf.DUMMYFUNCTION("""COMPUTED_VALUE"""),5.85)</f>
        <v>5.85</v>
      </c>
      <c r="AK1064" s="14">
        <f>IFERROR(__xludf.DUMMYFUNCTION("""COMPUTED_VALUE"""),5.42)</f>
        <v>5.42</v>
      </c>
      <c r="AL1064" s="14">
        <f>IFERROR(__xludf.DUMMYFUNCTION("""COMPUTED_VALUE"""),5.1)</f>
        <v>5.1</v>
      </c>
      <c r="AM1064" s="14">
        <f>IFERROR(__xludf.DUMMYFUNCTION("""COMPUTED_VALUE"""),5.41)</f>
        <v>5.41</v>
      </c>
      <c r="AN1064" s="14">
        <f>IFERROR(__xludf.DUMMYFUNCTION("""COMPUTED_VALUE"""),5.16)</f>
        <v>5.16</v>
      </c>
      <c r="AO1064" s="14">
        <f>IFERROR(__xludf.DUMMYFUNCTION("""COMPUTED_VALUE"""),5.388)</f>
        <v>5.388</v>
      </c>
      <c r="AP1064" s="14">
        <f>IFERROR(__xludf.DUMMYFUNCTION("""COMPUTED_VALUE"""),21.0)</f>
        <v>21</v>
      </c>
      <c r="AQ1064" s="14">
        <f>IFERROR(__xludf.DUMMYFUNCTION("""COMPUTED_VALUE"""),44.0)</f>
        <v>44</v>
      </c>
      <c r="AR1064" s="14">
        <f>IFERROR(__xludf.DUMMYFUNCTION("""COMPUTED_VALUE"""),73.0)</f>
        <v>73</v>
      </c>
      <c r="AS1064" s="14">
        <f>IFERROR(__xludf.DUMMYFUNCTION("""COMPUTED_VALUE"""),1.0)</f>
        <v>1</v>
      </c>
      <c r="AT1064" s="14">
        <f>IFERROR(__xludf.DUMMYFUNCTION("""COMPUTED_VALUE"""),0.42)</f>
        <v>0.42</v>
      </c>
      <c r="AU1064" s="14">
        <f>IFERROR(__xludf.DUMMYFUNCTION("""COMPUTED_VALUE"""),1.872E8)</f>
        <v>187200000</v>
      </c>
      <c r="AV1064" s="14">
        <f>IFERROR(__xludf.DUMMYFUNCTION("""COMPUTED_VALUE"""),0.14)</f>
        <v>0.14</v>
      </c>
      <c r="AW1064" s="14">
        <f>IFERROR(__xludf.DUMMYFUNCTION("""COMPUTED_VALUE"""),2.2)</f>
        <v>2.2</v>
      </c>
      <c r="AX1064" s="14">
        <f>IFERROR(__xludf.DUMMYFUNCTION("""COMPUTED_VALUE"""),1.391E8)</f>
        <v>139100000</v>
      </c>
      <c r="AY1064" s="14">
        <f>IFERROR(__xludf.DUMMYFUNCTION("""COMPUTED_VALUE"""),1.6)</f>
        <v>1.6</v>
      </c>
      <c r="AZ1064" s="14">
        <f>IFERROR(__xludf.DUMMYFUNCTION("""COMPUTED_VALUE"""),0.179)</f>
        <v>0.179</v>
      </c>
      <c r="BA1064" s="14">
        <f t="shared" si="1"/>
        <v>3.979</v>
      </c>
    </row>
    <row r="1065" ht="14.25" customHeight="1">
      <c r="A1065" s="10" t="str">
        <f>IFERROR(__xludf.DUMMYFUNCTION("""COMPUTED_VALUE"""),"100524DU01")</f>
        <v>100524DU01</v>
      </c>
      <c r="B1065" s="12" t="str">
        <f>IFERROR(__xludf.DUMMYFUNCTION("""COMPUTED_VALUE"""),"QLI-Villa del Diamante")</f>
        <v>QLI-Villa del Diamante</v>
      </c>
      <c r="C1065" s="12"/>
      <c r="D1065" s="12"/>
      <c r="E1065" s="44">
        <f>IFERROR(__xludf.DUMMYFUNCTION("""COMPUTED_VALUE"""),45422.0)</f>
        <v>45422</v>
      </c>
      <c r="F1065" s="12" t="str">
        <f>IFERROR(__xludf.DUMMYFUNCTION("""COMPUTED_VALUE"""),"TIPO I")</f>
        <v>TIPO I</v>
      </c>
      <c r="G1065" s="12" t="str">
        <f>IFERROR(__xludf.DUMMYFUNCTION("""COMPUTED_VALUE"""),"Monitoreo realizado en lecho con estructura natural rocoso y arenoso y cobertura vegetal arbórea y arbustiva; durante la toma de muestra se observa color y se percibe olor.
Después de la toma de la cuarta alícuota se presentan precipitaciones. 
Altitud: 2"&amp;"635 msnm")</f>
        <v>Monitoreo realizado en lecho con estructura natural rocoso y arenoso y cobertura vegetal arbórea y arbustiva; durante la toma de muestra se observa color y se percibe olor.
Después de la toma de la cuarta alícuota se presentan precipitaciones. 
Altitud: 2635 msnm</v>
      </c>
      <c r="H1065" s="45">
        <f>IFERROR(__xludf.DUMMYFUNCTION("""COMPUTED_VALUE"""),0.25)</f>
        <v>0.25</v>
      </c>
      <c r="I1065" s="45">
        <f>IFERROR(__xludf.DUMMYFUNCTION("""COMPUTED_VALUE"""),0.3333333333321207)</f>
        <v>0.3333333333</v>
      </c>
      <c r="J1065" s="12">
        <f>IFERROR(__xludf.DUMMYFUNCTION("""COMPUTED_VALUE"""),1.9)</f>
        <v>1.9</v>
      </c>
      <c r="K1065" s="12">
        <f>IFERROR(__xludf.DUMMYFUNCTION("""COMPUTED_VALUE"""),0.12)</f>
        <v>0.12</v>
      </c>
      <c r="L1065" s="14">
        <f>IFERROR(__xludf.DUMMYFUNCTION("""COMPUTED_VALUE"""),82.77)</f>
        <v>82.77</v>
      </c>
      <c r="M1065" s="14">
        <f>IFERROR(__xludf.DUMMYFUNCTION("""COMPUTED_VALUE"""),82.645)</f>
        <v>82.645</v>
      </c>
      <c r="N1065" s="14">
        <f>IFERROR(__xludf.DUMMYFUNCTION("""COMPUTED_VALUE"""),83.354)</f>
        <v>83.354</v>
      </c>
      <c r="O1065" s="14">
        <f>IFERROR(__xludf.DUMMYFUNCTION("""COMPUTED_VALUE"""),84.207)</f>
        <v>84.207</v>
      </c>
      <c r="P1065" s="14"/>
      <c r="Q1065" s="14">
        <f>IFERROR(__xludf.DUMMYFUNCTION("""COMPUTED_VALUE"""),83.244)</f>
        <v>83.244</v>
      </c>
      <c r="R1065" s="48">
        <f>IFERROR(__xludf.DUMMYFUNCTION("""COMPUTED_VALUE"""),7.43)</f>
        <v>7.43</v>
      </c>
      <c r="S1065" s="48">
        <f>IFERROR(__xludf.DUMMYFUNCTION("""COMPUTED_VALUE"""),7.5)</f>
        <v>7.5</v>
      </c>
      <c r="T1065" s="48">
        <f>IFERROR(__xludf.DUMMYFUNCTION("""COMPUTED_VALUE"""),7.47)</f>
        <v>7.47</v>
      </c>
      <c r="U1065" s="48">
        <f>IFERROR(__xludf.DUMMYFUNCTION("""COMPUTED_VALUE"""),7.36)</f>
        <v>7.36</v>
      </c>
      <c r="V1065" s="48"/>
      <c r="W1065" s="14">
        <f>IFERROR(__xludf.DUMMYFUNCTION("""COMPUTED_VALUE"""),7.4399999999999995)</f>
        <v>7.44</v>
      </c>
      <c r="X1065" s="14">
        <f>IFERROR(__xludf.DUMMYFUNCTION("""COMPUTED_VALUE"""),15.0)</f>
        <v>15</v>
      </c>
      <c r="Y1065" s="14">
        <f>IFERROR(__xludf.DUMMYFUNCTION("""COMPUTED_VALUE"""),15.4)</f>
        <v>15.4</v>
      </c>
      <c r="Z1065" s="14">
        <f>IFERROR(__xludf.DUMMYFUNCTION("""COMPUTED_VALUE"""),15.5)</f>
        <v>15.5</v>
      </c>
      <c r="AA1065" s="14">
        <f>IFERROR(__xludf.DUMMYFUNCTION("""COMPUTED_VALUE"""),15.5)</f>
        <v>15.5</v>
      </c>
      <c r="AB1065" s="14"/>
      <c r="AC1065" s="14">
        <f>IFERROR(__xludf.DUMMYFUNCTION("""COMPUTED_VALUE"""),15.35)</f>
        <v>15.35</v>
      </c>
      <c r="AD1065" s="48">
        <f>IFERROR(__xludf.DUMMYFUNCTION("""COMPUTED_VALUE"""),404.0)</f>
        <v>404</v>
      </c>
      <c r="AE1065" s="48">
        <f>IFERROR(__xludf.DUMMYFUNCTION("""COMPUTED_VALUE"""),402.0)</f>
        <v>402</v>
      </c>
      <c r="AF1065" s="48">
        <f>IFERROR(__xludf.DUMMYFUNCTION("""COMPUTED_VALUE"""),408.0)</f>
        <v>408</v>
      </c>
      <c r="AG1065" s="48">
        <f>IFERROR(__xludf.DUMMYFUNCTION("""COMPUTED_VALUE"""),407.0)</f>
        <v>407</v>
      </c>
      <c r="AH1065" s="48"/>
      <c r="AI1065" s="14">
        <f>IFERROR(__xludf.DUMMYFUNCTION("""COMPUTED_VALUE"""),405.25)</f>
        <v>405.25</v>
      </c>
      <c r="AJ1065" s="14">
        <f>IFERROR(__xludf.DUMMYFUNCTION("""COMPUTED_VALUE"""),6.13)</f>
        <v>6.13</v>
      </c>
      <c r="AK1065" s="14">
        <f>IFERROR(__xludf.DUMMYFUNCTION("""COMPUTED_VALUE"""),5.99)</f>
        <v>5.99</v>
      </c>
      <c r="AL1065" s="14">
        <f>IFERROR(__xludf.DUMMYFUNCTION("""COMPUTED_VALUE"""),6.01)</f>
        <v>6.01</v>
      </c>
      <c r="AM1065" s="14">
        <f>IFERROR(__xludf.DUMMYFUNCTION("""COMPUTED_VALUE"""),5.93)</f>
        <v>5.93</v>
      </c>
      <c r="AN1065" s="14"/>
      <c r="AO1065" s="14">
        <f>IFERROR(__xludf.DUMMYFUNCTION("""COMPUTED_VALUE"""),6.015000000000001)</f>
        <v>6.015</v>
      </c>
      <c r="AP1065" s="14">
        <f>IFERROR(__xludf.DUMMYFUNCTION("""COMPUTED_VALUE"""),36.0)</f>
        <v>36</v>
      </c>
      <c r="AQ1065" s="14">
        <f>IFERROR(__xludf.DUMMYFUNCTION("""COMPUTED_VALUE"""),62.0)</f>
        <v>62</v>
      </c>
      <c r="AR1065" s="14">
        <f>IFERROR(__xludf.DUMMYFUNCTION("""COMPUTED_VALUE"""),314.0)</f>
        <v>314</v>
      </c>
      <c r="AS1065" s="14">
        <f>IFERROR(__xludf.DUMMYFUNCTION("""COMPUTED_VALUE"""),1.0)</f>
        <v>1</v>
      </c>
      <c r="AT1065" s="14">
        <f>IFERROR(__xludf.DUMMYFUNCTION("""COMPUTED_VALUE"""),0.62)</f>
        <v>0.62</v>
      </c>
      <c r="AU1065" s="14">
        <f>IFERROR(__xludf.DUMMYFUNCTION("""COMPUTED_VALUE"""),629000.0)</f>
        <v>629000</v>
      </c>
      <c r="AV1065" s="14">
        <f>IFERROR(__xludf.DUMMYFUNCTION("""COMPUTED_VALUE"""),0.83)</f>
        <v>0.83</v>
      </c>
      <c r="AW1065" s="14">
        <f>IFERROR(__xludf.DUMMYFUNCTION("""COMPUTED_VALUE"""),5.3)</f>
        <v>5.3</v>
      </c>
      <c r="AX1065" s="14">
        <f>IFERROR(__xludf.DUMMYFUNCTION("""COMPUTED_VALUE"""),323000.0)</f>
        <v>323000</v>
      </c>
      <c r="AY1065" s="14">
        <f>IFERROR(__xludf.DUMMYFUNCTION("""COMPUTED_VALUE"""),1.5)</f>
        <v>1.5</v>
      </c>
      <c r="AZ1065" s="14">
        <f>IFERROR(__xludf.DUMMYFUNCTION("""COMPUTED_VALUE"""),0.396)</f>
        <v>0.396</v>
      </c>
      <c r="BA1065" s="14">
        <f t="shared" si="1"/>
        <v>7.196</v>
      </c>
    </row>
    <row r="1066" ht="14.25" customHeight="1">
      <c r="A1066" s="10" t="str">
        <f>IFERROR(__xludf.DUMMYFUNCTION("""COMPUTED_VALUE"""),"100524FE01")</f>
        <v>100524FE01</v>
      </c>
      <c r="B1066" s="12" t="str">
        <f>IFERROR(__xludf.DUMMYFUNCTION("""COMPUTED_VALUE"""),"QLI-El Satélite")</f>
        <v>QLI-El Satélite</v>
      </c>
      <c r="C1066" s="12"/>
      <c r="D1066" s="12"/>
      <c r="E1066" s="44">
        <f>IFERROR(__xludf.DUMMYFUNCTION("""COMPUTED_VALUE"""),45422.0)</f>
        <v>45422</v>
      </c>
      <c r="F1066" s="12" t="str">
        <f>IFERROR(__xludf.DUMMYFUNCTION("""COMPUTED_VALUE"""),"TIPO I")</f>
        <v>TIPO I</v>
      </c>
      <c r="G1066" s="12" t="str">
        <f>IFERROR(__xludf.DUMMYFUNCTION("""COMPUTED_VALUE"""),"Monitoreo realizado en canal natural rocoso, lodoso, arenoso, presencia de vegetación arbórea en las márgenes del cuerpo de agua; durante la toma de muestra se observa color y se percibe olor. 
En la quinta alícuota se presentan lluvias fuertes, por lo cu"&amp;"al no se realiza toma de muestra. 
Altitud: 2580 msnm")</f>
        <v>Monitoreo realizado en canal natural rocoso, lodoso, arenoso, presencia de vegetación arbórea en las márgenes del cuerpo de agua; durante la toma de muestra se observa color y se percibe olor. 
En la quinta alícuota se presentan lluvias fuertes, por lo cual no se realiza toma de muestra. 
Altitud: 2580 msnm</v>
      </c>
      <c r="H1066" s="45">
        <f>IFERROR(__xludf.DUMMYFUNCTION("""COMPUTED_VALUE"""),0.25)</f>
        <v>0.25</v>
      </c>
      <c r="I1066" s="45">
        <f>IFERROR(__xludf.DUMMYFUNCTION("""COMPUTED_VALUE"""),0.3333333333321207)</f>
        <v>0.3333333333</v>
      </c>
      <c r="J1066" s="12">
        <f>IFERROR(__xludf.DUMMYFUNCTION("""COMPUTED_VALUE"""),2.8)</f>
        <v>2.8</v>
      </c>
      <c r="K1066" s="12">
        <f>IFERROR(__xludf.DUMMYFUNCTION("""COMPUTED_VALUE"""),0.25)</f>
        <v>0.25</v>
      </c>
      <c r="L1066" s="14">
        <f>IFERROR(__xludf.DUMMYFUNCTION("""COMPUTED_VALUE"""),355.627)</f>
        <v>355.627</v>
      </c>
      <c r="M1066" s="14">
        <f>IFERROR(__xludf.DUMMYFUNCTION("""COMPUTED_VALUE"""),358.247)</f>
        <v>358.247</v>
      </c>
      <c r="N1066" s="14">
        <f>IFERROR(__xludf.DUMMYFUNCTION("""COMPUTED_VALUE"""),360.215)</f>
        <v>360.215</v>
      </c>
      <c r="O1066" s="14">
        <f>IFERROR(__xludf.DUMMYFUNCTION("""COMPUTED_VALUE"""),374.251)</f>
        <v>374.251</v>
      </c>
      <c r="P1066" s="14"/>
      <c r="Q1066" s="14">
        <f>IFERROR(__xludf.DUMMYFUNCTION("""COMPUTED_VALUE"""),362.085)</f>
        <v>362.085</v>
      </c>
      <c r="R1066" s="48">
        <f>IFERROR(__xludf.DUMMYFUNCTION("""COMPUTED_VALUE"""),8.0)</f>
        <v>8</v>
      </c>
      <c r="S1066" s="48">
        <f>IFERROR(__xludf.DUMMYFUNCTION("""COMPUTED_VALUE"""),8.09)</f>
        <v>8.09</v>
      </c>
      <c r="T1066" s="48">
        <f>IFERROR(__xludf.DUMMYFUNCTION("""COMPUTED_VALUE"""),7.97)</f>
        <v>7.97</v>
      </c>
      <c r="U1066" s="48">
        <f>IFERROR(__xludf.DUMMYFUNCTION("""COMPUTED_VALUE"""),7.88)</f>
        <v>7.88</v>
      </c>
      <c r="V1066" s="48"/>
      <c r="W1066" s="14">
        <f>IFERROR(__xludf.DUMMYFUNCTION("""COMPUTED_VALUE"""),7.984999999999999)</f>
        <v>7.985</v>
      </c>
      <c r="X1066" s="14">
        <f>IFERROR(__xludf.DUMMYFUNCTION("""COMPUTED_VALUE"""),16.9)</f>
        <v>16.9</v>
      </c>
      <c r="Y1066" s="14">
        <f>IFERROR(__xludf.DUMMYFUNCTION("""COMPUTED_VALUE"""),16.8)</f>
        <v>16.8</v>
      </c>
      <c r="Z1066" s="14">
        <f>IFERROR(__xludf.DUMMYFUNCTION("""COMPUTED_VALUE"""),16.3)</f>
        <v>16.3</v>
      </c>
      <c r="AA1066" s="14">
        <f>IFERROR(__xludf.DUMMYFUNCTION("""COMPUTED_VALUE"""),16.8)</f>
        <v>16.8</v>
      </c>
      <c r="AB1066" s="14"/>
      <c r="AC1066" s="14">
        <f>IFERROR(__xludf.DUMMYFUNCTION("""COMPUTED_VALUE"""),16.7)</f>
        <v>16.7</v>
      </c>
      <c r="AD1066" s="48">
        <f>IFERROR(__xludf.DUMMYFUNCTION("""COMPUTED_VALUE"""),349.0)</f>
        <v>349</v>
      </c>
      <c r="AE1066" s="48">
        <f>IFERROR(__xludf.DUMMYFUNCTION("""COMPUTED_VALUE"""),337.0)</f>
        <v>337</v>
      </c>
      <c r="AF1066" s="48">
        <f>IFERROR(__xludf.DUMMYFUNCTION("""COMPUTED_VALUE"""),352.0)</f>
        <v>352</v>
      </c>
      <c r="AG1066" s="48">
        <f>IFERROR(__xludf.DUMMYFUNCTION("""COMPUTED_VALUE"""),341.0)</f>
        <v>341</v>
      </c>
      <c r="AH1066" s="48"/>
      <c r="AI1066" s="14">
        <f>IFERROR(__xludf.DUMMYFUNCTION("""COMPUTED_VALUE"""),344.75)</f>
        <v>344.75</v>
      </c>
      <c r="AJ1066" s="14">
        <f>IFERROR(__xludf.DUMMYFUNCTION("""COMPUTED_VALUE"""),5.71)</f>
        <v>5.71</v>
      </c>
      <c r="AK1066" s="14">
        <f>IFERROR(__xludf.DUMMYFUNCTION("""COMPUTED_VALUE"""),4.73)</f>
        <v>4.73</v>
      </c>
      <c r="AL1066" s="14">
        <f>IFERROR(__xludf.DUMMYFUNCTION("""COMPUTED_VALUE"""),5.16)</f>
        <v>5.16</v>
      </c>
      <c r="AM1066" s="14">
        <f>IFERROR(__xludf.DUMMYFUNCTION("""COMPUTED_VALUE"""),4.36)</f>
        <v>4.36</v>
      </c>
      <c r="AN1066" s="14"/>
      <c r="AO1066" s="14">
        <f>IFERROR(__xludf.DUMMYFUNCTION("""COMPUTED_VALUE"""),4.99)</f>
        <v>4.99</v>
      </c>
      <c r="AP1066" s="14">
        <f>IFERROR(__xludf.DUMMYFUNCTION("""COMPUTED_VALUE"""),42.0)</f>
        <v>42</v>
      </c>
      <c r="AQ1066" s="14">
        <f>IFERROR(__xludf.DUMMYFUNCTION("""COMPUTED_VALUE"""),70.0)</f>
        <v>70</v>
      </c>
      <c r="AR1066" s="14">
        <f>IFERROR(__xludf.DUMMYFUNCTION("""COMPUTED_VALUE"""),406.0)</f>
        <v>406</v>
      </c>
      <c r="AS1066" s="14">
        <f>IFERROR(__xludf.DUMMYFUNCTION("""COMPUTED_VALUE"""),5.9)</f>
        <v>5.9</v>
      </c>
      <c r="AT1066" s="14">
        <f>IFERROR(__xludf.DUMMYFUNCTION("""COMPUTED_VALUE"""),0.85)</f>
        <v>0.85</v>
      </c>
      <c r="AU1066" s="14">
        <f>IFERROR(__xludf.DUMMYFUNCTION("""COMPUTED_VALUE"""),1.043E7)</f>
        <v>10430000</v>
      </c>
      <c r="AV1066" s="14">
        <f>IFERROR(__xludf.DUMMYFUNCTION("""COMPUTED_VALUE"""),1.26)</f>
        <v>1.26</v>
      </c>
      <c r="AW1066" s="14">
        <f>IFERROR(__xludf.DUMMYFUNCTION("""COMPUTED_VALUE"""),9.0)</f>
        <v>9</v>
      </c>
      <c r="AX1066" s="14">
        <f>IFERROR(__xludf.DUMMYFUNCTION("""COMPUTED_VALUE"""),6830000.0)</f>
        <v>6830000</v>
      </c>
      <c r="AY1066" s="14">
        <f>IFERROR(__xludf.DUMMYFUNCTION("""COMPUTED_VALUE"""),0.6)</f>
        <v>0.6</v>
      </c>
      <c r="AZ1066" s="14">
        <f>IFERROR(__xludf.DUMMYFUNCTION("""COMPUTED_VALUE"""),0.098)</f>
        <v>0.098</v>
      </c>
      <c r="BA1066" s="14">
        <f t="shared" si="1"/>
        <v>9.698</v>
      </c>
    </row>
    <row r="1067" ht="14.25" customHeight="1">
      <c r="A1067" s="10" t="str">
        <f>IFERROR(__xludf.DUMMYFUNCTION("""COMPUTED_VALUE"""),"230524LA01")</f>
        <v>230524LA01</v>
      </c>
      <c r="B1067" s="12" t="str">
        <f>IFERROR(__xludf.DUMMYFUNCTION("""COMPUTED_VALUE"""),"CRN-Entre Ríos")</f>
        <v>CRN-Entre Ríos</v>
      </c>
      <c r="C1067" s="12"/>
      <c r="D1067" s="12"/>
      <c r="E1067" s="44">
        <f>IFERROR(__xludf.DUMMYFUNCTION("""COMPUTED_VALUE"""),45435.0)</f>
        <v>45435</v>
      </c>
      <c r="F1067" s="12" t="str">
        <f>IFERROR(__xludf.DUMMYFUNCTION("""COMPUTED_VALUE"""),"TIPO I")</f>
        <v>TIPO I</v>
      </c>
      <c r="G1067" s="12" t="str">
        <f>IFERROR(__xludf.DUMMYFUNCTION("""COMPUTED_VALUE"""),"Canal en concreto, durante el monitoreo se percibe olor, se observa color y material flotante.
Altitud: 2557 msnm. ")</f>
        <v>Canal en concreto, durante el monitoreo se percibe olor, se observa color y material flotante.
Altitud: 2557 msnm. </v>
      </c>
      <c r="H1067" s="45">
        <f>IFERROR(__xludf.DUMMYFUNCTION("""COMPUTED_VALUE"""),0.25)</f>
        <v>0.25</v>
      </c>
      <c r="I1067" s="45">
        <f>IFERROR(__xludf.DUMMYFUNCTION("""COMPUTED_VALUE"""),0.3333333333321207)</f>
        <v>0.3333333333</v>
      </c>
      <c r="J1067" s="12">
        <f>IFERROR(__xludf.DUMMYFUNCTION("""COMPUTED_VALUE"""),6.9)</f>
        <v>6.9</v>
      </c>
      <c r="K1067" s="12">
        <f>IFERROR(__xludf.DUMMYFUNCTION("""COMPUTED_VALUE"""),0.2)</f>
        <v>0.2</v>
      </c>
      <c r="L1067" s="14">
        <f>IFERROR(__xludf.DUMMYFUNCTION("""COMPUTED_VALUE"""),179.872)</f>
        <v>179.872</v>
      </c>
      <c r="M1067" s="14">
        <f>IFERROR(__xludf.DUMMYFUNCTION("""COMPUTED_VALUE"""),210.496)</f>
        <v>210.496</v>
      </c>
      <c r="N1067" s="14">
        <f>IFERROR(__xludf.DUMMYFUNCTION("""COMPUTED_VALUE"""),213.975)</f>
        <v>213.975</v>
      </c>
      <c r="O1067" s="14">
        <f>IFERROR(__xludf.DUMMYFUNCTION("""COMPUTED_VALUE"""),309.268)</f>
        <v>309.268</v>
      </c>
      <c r="P1067" s="14">
        <f>IFERROR(__xludf.DUMMYFUNCTION("""COMPUTED_VALUE"""),316.858)</f>
        <v>316.858</v>
      </c>
      <c r="Q1067" s="14">
        <f>IFERROR(__xludf.DUMMYFUNCTION("""COMPUTED_VALUE"""),246.094)</f>
        <v>246.094</v>
      </c>
      <c r="R1067" s="48">
        <f>IFERROR(__xludf.DUMMYFUNCTION("""COMPUTED_VALUE"""),6.31)</f>
        <v>6.31</v>
      </c>
      <c r="S1067" s="48">
        <f>IFERROR(__xludf.DUMMYFUNCTION("""COMPUTED_VALUE"""),6.36)</f>
        <v>6.36</v>
      </c>
      <c r="T1067" s="48">
        <f>IFERROR(__xludf.DUMMYFUNCTION("""COMPUTED_VALUE"""),6.65)</f>
        <v>6.65</v>
      </c>
      <c r="U1067" s="48">
        <f>IFERROR(__xludf.DUMMYFUNCTION("""COMPUTED_VALUE"""),7.09)</f>
        <v>7.09</v>
      </c>
      <c r="V1067" s="48">
        <f>IFERROR(__xludf.DUMMYFUNCTION("""COMPUTED_VALUE"""),7.4)</f>
        <v>7.4</v>
      </c>
      <c r="W1067" s="14">
        <f>IFERROR(__xludf.DUMMYFUNCTION("""COMPUTED_VALUE"""),6.7620000000000005)</f>
        <v>6.762</v>
      </c>
      <c r="X1067" s="14">
        <f>IFERROR(__xludf.DUMMYFUNCTION("""COMPUTED_VALUE"""),18.0)</f>
        <v>18</v>
      </c>
      <c r="Y1067" s="14">
        <f>IFERROR(__xludf.DUMMYFUNCTION("""COMPUTED_VALUE"""),17.8)</f>
        <v>17.8</v>
      </c>
      <c r="Z1067" s="14">
        <f>IFERROR(__xludf.DUMMYFUNCTION("""COMPUTED_VALUE"""),18.4)</f>
        <v>18.4</v>
      </c>
      <c r="AA1067" s="14">
        <f>IFERROR(__xludf.DUMMYFUNCTION("""COMPUTED_VALUE"""),18.7)</f>
        <v>18.7</v>
      </c>
      <c r="AB1067" s="14">
        <f>IFERROR(__xludf.DUMMYFUNCTION("""COMPUTED_VALUE"""),19.7)</f>
        <v>19.7</v>
      </c>
      <c r="AC1067" s="14">
        <f>IFERROR(__xludf.DUMMYFUNCTION("""COMPUTED_VALUE"""),18.52)</f>
        <v>18.52</v>
      </c>
      <c r="AD1067" s="48">
        <f>IFERROR(__xludf.DUMMYFUNCTION("""COMPUTED_VALUE"""),376.0)</f>
        <v>376</v>
      </c>
      <c r="AE1067" s="48">
        <f>IFERROR(__xludf.DUMMYFUNCTION("""COMPUTED_VALUE"""),372.0)</f>
        <v>372</v>
      </c>
      <c r="AF1067" s="48">
        <f>IFERROR(__xludf.DUMMYFUNCTION("""COMPUTED_VALUE"""),402.0)</f>
        <v>402</v>
      </c>
      <c r="AG1067" s="48">
        <f>IFERROR(__xludf.DUMMYFUNCTION("""COMPUTED_VALUE"""),477.0)</f>
        <v>477</v>
      </c>
      <c r="AH1067" s="48">
        <f>IFERROR(__xludf.DUMMYFUNCTION("""COMPUTED_VALUE"""),638.0)</f>
        <v>638</v>
      </c>
      <c r="AI1067" s="14">
        <f>IFERROR(__xludf.DUMMYFUNCTION("""COMPUTED_VALUE"""),453.0)</f>
        <v>453</v>
      </c>
      <c r="AJ1067" s="14">
        <f>IFERROR(__xludf.DUMMYFUNCTION("""COMPUTED_VALUE"""),1.48)</f>
        <v>1.48</v>
      </c>
      <c r="AK1067" s="14">
        <f>IFERROR(__xludf.DUMMYFUNCTION("""COMPUTED_VALUE"""),1.67)</f>
        <v>1.67</v>
      </c>
      <c r="AL1067" s="14">
        <f>IFERROR(__xludf.DUMMYFUNCTION("""COMPUTED_VALUE"""),1.52)</f>
        <v>1.52</v>
      </c>
      <c r="AM1067" s="14">
        <f>IFERROR(__xludf.DUMMYFUNCTION("""COMPUTED_VALUE"""),1.33)</f>
        <v>1.33</v>
      </c>
      <c r="AN1067" s="14">
        <f>IFERROR(__xludf.DUMMYFUNCTION("""COMPUTED_VALUE"""),0.97)</f>
        <v>0.97</v>
      </c>
      <c r="AO1067" s="14">
        <f>IFERROR(__xludf.DUMMYFUNCTION("""COMPUTED_VALUE"""),1.394)</f>
        <v>1.394</v>
      </c>
      <c r="AP1067" s="14">
        <f>IFERROR(__xludf.DUMMYFUNCTION("""COMPUTED_VALUE"""),110.0)</f>
        <v>110</v>
      </c>
      <c r="AQ1067" s="14">
        <f>IFERROR(__xludf.DUMMYFUNCTION("""COMPUTED_VALUE"""),225.0)</f>
        <v>225</v>
      </c>
      <c r="AR1067" s="14">
        <f>IFERROR(__xludf.DUMMYFUNCTION("""COMPUTED_VALUE"""),94.0)</f>
        <v>94</v>
      </c>
      <c r="AS1067" s="14">
        <f>IFERROR(__xludf.DUMMYFUNCTION("""COMPUTED_VALUE"""),29.0)</f>
        <v>29</v>
      </c>
      <c r="AT1067" s="14">
        <f>IFERROR(__xludf.DUMMYFUNCTION("""COMPUTED_VALUE"""),2.29)</f>
        <v>2.29</v>
      </c>
      <c r="AU1067" s="14">
        <f>IFERROR(__xludf.DUMMYFUNCTION("""COMPUTED_VALUE"""),7800000.0)</f>
        <v>7800000</v>
      </c>
      <c r="AV1067" s="14">
        <f>IFERROR(__xludf.DUMMYFUNCTION("""COMPUTED_VALUE"""),2.43)</f>
        <v>2.43</v>
      </c>
      <c r="AW1067" s="14">
        <f>IFERROR(__xludf.DUMMYFUNCTION("""COMPUTED_VALUE"""),23.8)</f>
        <v>23.8</v>
      </c>
      <c r="AX1067" s="14">
        <f>IFERROR(__xludf.DUMMYFUNCTION("""COMPUTED_VALUE"""),5940000.0)</f>
        <v>5940000</v>
      </c>
      <c r="AY1067" s="14">
        <f>IFERROR(__xludf.DUMMYFUNCTION("""COMPUTED_VALUE"""),0.6)</f>
        <v>0.6</v>
      </c>
      <c r="AZ1067" s="14">
        <f>IFERROR(__xludf.DUMMYFUNCTION("""COMPUTED_VALUE"""),0.007)</f>
        <v>0.007</v>
      </c>
      <c r="BA1067" s="14">
        <f t="shared" si="1"/>
        <v>24.407</v>
      </c>
    </row>
    <row r="1068" ht="14.25" customHeight="1">
      <c r="A1068" s="10" t="str">
        <f>IFERROR(__xludf.DUMMYFUNCTION("""COMPUTED_VALUE"""),"230524AN02")</f>
        <v>230524AN02</v>
      </c>
      <c r="B1068" s="12" t="str">
        <f>IFERROR(__xludf.DUMMYFUNCTION("""COMPUTED_VALUE"""),"CRN-Quebrada Chicó")</f>
        <v>CRN-Quebrada Chicó</v>
      </c>
      <c r="C1068" s="12"/>
      <c r="D1068" s="12"/>
      <c r="E1068" s="44">
        <f>IFERROR(__xludf.DUMMYFUNCTION("""COMPUTED_VALUE"""),45435.0)</f>
        <v>45435</v>
      </c>
      <c r="F1068" s="12" t="str">
        <f>IFERROR(__xludf.DUMMYFUNCTION("""COMPUTED_VALUE"""),"TIPO I")</f>
        <v>TIPO I</v>
      </c>
      <c r="G1068" s="12" t="str">
        <f>IFERROR(__xludf.DUMMYFUNCTION("""COMPUTED_VALUE"""),"Salida del vertimiento, tubería en concreto, durante el monitoreo no se observa color ni se percibe olor. 
Altitud: 2619 msnm. ")</f>
        <v>Salida del vertimiento, tubería en concreto, durante el monitoreo no se observa color ni se percibe olor. 
Altitud: 2619 msnm. </v>
      </c>
      <c r="H1068" s="45">
        <f>IFERROR(__xludf.DUMMYFUNCTION("""COMPUTED_VALUE"""),0.4166666666678793)</f>
        <v>0.4166666667</v>
      </c>
      <c r="I1068" s="45">
        <f>IFERROR(__xludf.DUMMYFUNCTION("""COMPUTED_VALUE"""),0.5)</f>
        <v>0.5</v>
      </c>
      <c r="J1068" s="12"/>
      <c r="K1068" s="12"/>
      <c r="L1068" s="14">
        <f>IFERROR(__xludf.DUMMYFUNCTION("""COMPUTED_VALUE"""),1.237)</f>
        <v>1.237</v>
      </c>
      <c r="M1068" s="14">
        <f>IFERROR(__xludf.DUMMYFUNCTION("""COMPUTED_VALUE"""),1.368)</f>
        <v>1.368</v>
      </c>
      <c r="N1068" s="14">
        <f>IFERROR(__xludf.DUMMYFUNCTION("""COMPUTED_VALUE"""),1.881)</f>
        <v>1.881</v>
      </c>
      <c r="O1068" s="14">
        <f>IFERROR(__xludf.DUMMYFUNCTION("""COMPUTED_VALUE"""),1.844)</f>
        <v>1.844</v>
      </c>
      <c r="P1068" s="14">
        <f>IFERROR(__xludf.DUMMYFUNCTION("""COMPUTED_VALUE"""),1.764)</f>
        <v>1.764</v>
      </c>
      <c r="Q1068" s="14">
        <f>IFERROR(__xludf.DUMMYFUNCTION("""COMPUTED_VALUE"""),1.619)</f>
        <v>1.619</v>
      </c>
      <c r="R1068" s="48">
        <f>IFERROR(__xludf.DUMMYFUNCTION("""COMPUTED_VALUE"""),7.44)</f>
        <v>7.44</v>
      </c>
      <c r="S1068" s="48">
        <f>IFERROR(__xludf.DUMMYFUNCTION("""COMPUTED_VALUE"""),7.12)</f>
        <v>7.12</v>
      </c>
      <c r="T1068" s="48">
        <f>IFERROR(__xludf.DUMMYFUNCTION("""COMPUTED_VALUE"""),7.57)</f>
        <v>7.57</v>
      </c>
      <c r="U1068" s="48">
        <f>IFERROR(__xludf.DUMMYFUNCTION("""COMPUTED_VALUE"""),7.48)</f>
        <v>7.48</v>
      </c>
      <c r="V1068" s="48">
        <f>IFERROR(__xludf.DUMMYFUNCTION("""COMPUTED_VALUE"""),7.39)</f>
        <v>7.39</v>
      </c>
      <c r="W1068" s="14">
        <f>IFERROR(__xludf.DUMMYFUNCTION("""COMPUTED_VALUE"""),7.4)</f>
        <v>7.4</v>
      </c>
      <c r="X1068" s="14">
        <f>IFERROR(__xludf.DUMMYFUNCTION("""COMPUTED_VALUE"""),17.0)</f>
        <v>17</v>
      </c>
      <c r="Y1068" s="14">
        <f>IFERROR(__xludf.DUMMYFUNCTION("""COMPUTED_VALUE"""),16.7)</f>
        <v>16.7</v>
      </c>
      <c r="Z1068" s="14">
        <f>IFERROR(__xludf.DUMMYFUNCTION("""COMPUTED_VALUE"""),17.0)</f>
        <v>17</v>
      </c>
      <c r="AA1068" s="14">
        <f>IFERROR(__xludf.DUMMYFUNCTION("""COMPUTED_VALUE"""),16.8)</f>
        <v>16.8</v>
      </c>
      <c r="AB1068" s="14">
        <f>IFERROR(__xludf.DUMMYFUNCTION("""COMPUTED_VALUE"""),16.7)</f>
        <v>16.7</v>
      </c>
      <c r="AC1068" s="14">
        <f>IFERROR(__xludf.DUMMYFUNCTION("""COMPUTED_VALUE"""),16.84)</f>
        <v>16.84</v>
      </c>
      <c r="AD1068" s="48">
        <f>IFERROR(__xludf.DUMMYFUNCTION("""COMPUTED_VALUE"""),104.1)</f>
        <v>104.1</v>
      </c>
      <c r="AE1068" s="48">
        <f>IFERROR(__xludf.DUMMYFUNCTION("""COMPUTED_VALUE"""),76.1)</f>
        <v>76.1</v>
      </c>
      <c r="AF1068" s="48">
        <f>IFERROR(__xludf.DUMMYFUNCTION("""COMPUTED_VALUE"""),90.7)</f>
        <v>90.7</v>
      </c>
      <c r="AG1068" s="48">
        <f>IFERROR(__xludf.DUMMYFUNCTION("""COMPUTED_VALUE"""),91.8)</f>
        <v>91.8</v>
      </c>
      <c r="AH1068" s="48">
        <f>IFERROR(__xludf.DUMMYFUNCTION("""COMPUTED_VALUE"""),85.8)</f>
        <v>85.8</v>
      </c>
      <c r="AI1068" s="14">
        <f>IFERROR(__xludf.DUMMYFUNCTION("""COMPUTED_VALUE"""),89.7)</f>
        <v>89.7</v>
      </c>
      <c r="AJ1068" s="14">
        <f>IFERROR(__xludf.DUMMYFUNCTION("""COMPUTED_VALUE"""),5.52)</f>
        <v>5.52</v>
      </c>
      <c r="AK1068" s="14">
        <f>IFERROR(__xludf.DUMMYFUNCTION("""COMPUTED_VALUE"""),5.36)</f>
        <v>5.36</v>
      </c>
      <c r="AL1068" s="14">
        <f>IFERROR(__xludf.DUMMYFUNCTION("""COMPUTED_VALUE"""),5.77)</f>
        <v>5.77</v>
      </c>
      <c r="AM1068" s="14">
        <f>IFERROR(__xludf.DUMMYFUNCTION("""COMPUTED_VALUE"""),5.7)</f>
        <v>5.7</v>
      </c>
      <c r="AN1068" s="14">
        <f>IFERROR(__xludf.DUMMYFUNCTION("""COMPUTED_VALUE"""),5.13)</f>
        <v>5.13</v>
      </c>
      <c r="AO1068" s="14">
        <f>IFERROR(__xludf.DUMMYFUNCTION("""COMPUTED_VALUE"""),5.4959999999999996)</f>
        <v>5.496</v>
      </c>
      <c r="AP1068" s="14">
        <f>IFERROR(__xludf.DUMMYFUNCTION("""COMPUTED_VALUE"""),10.0)</f>
        <v>10</v>
      </c>
      <c r="AQ1068" s="14">
        <f>IFERROR(__xludf.DUMMYFUNCTION("""COMPUTED_VALUE"""),36.0)</f>
        <v>36</v>
      </c>
      <c r="AR1068" s="14">
        <f>IFERROR(__xludf.DUMMYFUNCTION("""COMPUTED_VALUE"""),9.0)</f>
        <v>9</v>
      </c>
      <c r="AS1068" s="14">
        <f>IFERROR(__xludf.DUMMYFUNCTION("""COMPUTED_VALUE"""),9.6)</f>
        <v>9.6</v>
      </c>
      <c r="AT1068" s="14">
        <f>IFERROR(__xludf.DUMMYFUNCTION("""COMPUTED_VALUE"""),0.78)</f>
        <v>0.78</v>
      </c>
      <c r="AU1068" s="14">
        <f>IFERROR(__xludf.DUMMYFUNCTION("""COMPUTED_VALUE"""),168600.0)</f>
        <v>168600</v>
      </c>
      <c r="AV1068" s="14">
        <f>IFERROR(__xludf.DUMMYFUNCTION("""COMPUTED_VALUE"""),0.34)</f>
        <v>0.34</v>
      </c>
      <c r="AW1068" s="14">
        <f>IFERROR(__xludf.DUMMYFUNCTION("""COMPUTED_VALUE"""),2.9)</f>
        <v>2.9</v>
      </c>
      <c r="AX1068" s="14">
        <f>IFERROR(__xludf.DUMMYFUNCTION("""COMPUTED_VALUE"""),151300.0)</f>
        <v>151300</v>
      </c>
      <c r="AY1068" s="14">
        <f>IFERROR(__xludf.DUMMYFUNCTION("""COMPUTED_VALUE"""),1.6)</f>
        <v>1.6</v>
      </c>
      <c r="AZ1068" s="14">
        <f>IFERROR(__xludf.DUMMYFUNCTION("""COMPUTED_VALUE"""),0.089)</f>
        <v>0.089</v>
      </c>
      <c r="BA1068" s="14">
        <f t="shared" si="1"/>
        <v>4.589</v>
      </c>
    </row>
    <row r="1069" ht="14.25" customHeight="1">
      <c r="A1069" s="10" t="str">
        <f>IFERROR(__xludf.DUMMYFUNCTION("""COMPUTED_VALUE"""),"160524DU01")</f>
        <v>160524DU01</v>
      </c>
      <c r="B1069" s="12" t="str">
        <f>IFERROR(__xludf.DUMMYFUNCTION("""COMPUTED_VALUE"""),"HCO-Los Lagartos")</f>
        <v>HCO-Los Lagartos</v>
      </c>
      <c r="C1069" s="12"/>
      <c r="D1069" s="12"/>
      <c r="E1069" s="44">
        <f>IFERROR(__xludf.DUMMYFUNCTION("""COMPUTED_VALUE"""),45428.0)</f>
        <v>45428</v>
      </c>
      <c r="F1069" s="12" t="str">
        <f>IFERROR(__xludf.DUMMYFUNCTION("""COMPUTED_VALUE"""),"TIPO I")</f>
        <v>TIPO I</v>
      </c>
      <c r="G1069" s="12" t="str">
        <f>IFERROR(__xludf.DUMMYFUNCTION("""COMPUTED_VALUE"""),"Monitoreo realizado en canal artificial con estructura en concreto, durante la toma de muestra se observa color y se percibe olor. 
Altitud: 2559 msnm")</f>
        <v>Monitoreo realizado en canal artificial con estructura en concreto, durante la toma de muestra se observa color y se percibe olor. 
Altitud: 2559 msnm</v>
      </c>
      <c r="H1069" s="45">
        <f>IFERROR(__xludf.DUMMYFUNCTION("""COMPUTED_VALUE"""),0.25)</f>
        <v>0.25</v>
      </c>
      <c r="I1069" s="45">
        <f>IFERROR(__xludf.DUMMYFUNCTION("""COMPUTED_VALUE"""),0.3333333333321207)</f>
        <v>0.3333333333</v>
      </c>
      <c r="J1069" s="12">
        <f>IFERROR(__xludf.DUMMYFUNCTION("""COMPUTED_VALUE"""),6.3)</f>
        <v>6.3</v>
      </c>
      <c r="K1069" s="12">
        <f>IFERROR(__xludf.DUMMYFUNCTION("""COMPUTED_VALUE"""),0.59)</f>
        <v>0.59</v>
      </c>
      <c r="L1069" s="14">
        <f>IFERROR(__xludf.DUMMYFUNCTION("""COMPUTED_VALUE"""),633.988)</f>
        <v>633.988</v>
      </c>
      <c r="M1069" s="14">
        <f>IFERROR(__xludf.DUMMYFUNCTION("""COMPUTED_VALUE"""),619.892)</f>
        <v>619.892</v>
      </c>
      <c r="N1069" s="14">
        <f>IFERROR(__xludf.DUMMYFUNCTION("""COMPUTED_VALUE"""),607.127)</f>
        <v>607.127</v>
      </c>
      <c r="O1069" s="14">
        <f>IFERROR(__xludf.DUMMYFUNCTION("""COMPUTED_VALUE"""),601.153)</f>
        <v>601.153</v>
      </c>
      <c r="P1069" s="14">
        <f>IFERROR(__xludf.DUMMYFUNCTION("""COMPUTED_VALUE"""),605.068)</f>
        <v>605.068</v>
      </c>
      <c r="Q1069" s="14">
        <f>IFERROR(__xludf.DUMMYFUNCTION("""COMPUTED_VALUE"""),613.445)</f>
        <v>613.445</v>
      </c>
      <c r="R1069" s="48">
        <f>IFERROR(__xludf.DUMMYFUNCTION("""COMPUTED_VALUE"""),6.42)</f>
        <v>6.42</v>
      </c>
      <c r="S1069" s="48">
        <f>IFERROR(__xludf.DUMMYFUNCTION("""COMPUTED_VALUE"""),6.35)</f>
        <v>6.35</v>
      </c>
      <c r="T1069" s="48">
        <f>IFERROR(__xludf.DUMMYFUNCTION("""COMPUTED_VALUE"""),6.44)</f>
        <v>6.44</v>
      </c>
      <c r="U1069" s="48">
        <f>IFERROR(__xludf.DUMMYFUNCTION("""COMPUTED_VALUE"""),6.57)</f>
        <v>6.57</v>
      </c>
      <c r="V1069" s="48">
        <f>IFERROR(__xludf.DUMMYFUNCTION("""COMPUTED_VALUE"""),6.5)</f>
        <v>6.5</v>
      </c>
      <c r="W1069" s="14">
        <f>IFERROR(__xludf.DUMMYFUNCTION("""COMPUTED_VALUE"""),6.456)</f>
        <v>6.456</v>
      </c>
      <c r="X1069" s="14">
        <f>IFERROR(__xludf.DUMMYFUNCTION("""COMPUTED_VALUE"""),19.2)</f>
        <v>19.2</v>
      </c>
      <c r="Y1069" s="14">
        <f>IFERROR(__xludf.DUMMYFUNCTION("""COMPUTED_VALUE"""),19.1)</f>
        <v>19.1</v>
      </c>
      <c r="Z1069" s="14">
        <f>IFERROR(__xludf.DUMMYFUNCTION("""COMPUTED_VALUE"""),19.0)</f>
        <v>19</v>
      </c>
      <c r="AA1069" s="14">
        <f>IFERROR(__xludf.DUMMYFUNCTION("""COMPUTED_VALUE"""),18.9)</f>
        <v>18.9</v>
      </c>
      <c r="AB1069" s="14">
        <f>IFERROR(__xludf.DUMMYFUNCTION("""COMPUTED_VALUE"""),18.7)</f>
        <v>18.7</v>
      </c>
      <c r="AC1069" s="14">
        <f>IFERROR(__xludf.DUMMYFUNCTION("""COMPUTED_VALUE"""),18.979999999999997)</f>
        <v>18.98</v>
      </c>
      <c r="AD1069" s="48">
        <f>IFERROR(__xludf.DUMMYFUNCTION("""COMPUTED_VALUE"""),372.0)</f>
        <v>372</v>
      </c>
      <c r="AE1069" s="48">
        <f>IFERROR(__xludf.DUMMYFUNCTION("""COMPUTED_VALUE"""),362.0)</f>
        <v>362</v>
      </c>
      <c r="AF1069" s="48">
        <f>IFERROR(__xludf.DUMMYFUNCTION("""COMPUTED_VALUE"""),362.0)</f>
        <v>362</v>
      </c>
      <c r="AG1069" s="48">
        <f>IFERROR(__xludf.DUMMYFUNCTION("""COMPUTED_VALUE"""),365.0)</f>
        <v>365</v>
      </c>
      <c r="AH1069" s="48">
        <f>IFERROR(__xludf.DUMMYFUNCTION("""COMPUTED_VALUE"""),363.0)</f>
        <v>363</v>
      </c>
      <c r="AI1069" s="14">
        <f>IFERROR(__xludf.DUMMYFUNCTION("""COMPUTED_VALUE"""),364.8)</f>
        <v>364.8</v>
      </c>
      <c r="AJ1069" s="14">
        <f>IFERROR(__xludf.DUMMYFUNCTION("""COMPUTED_VALUE"""),1.21)</f>
        <v>1.21</v>
      </c>
      <c r="AK1069" s="14">
        <f>IFERROR(__xludf.DUMMYFUNCTION("""COMPUTED_VALUE"""),1.29)</f>
        <v>1.29</v>
      </c>
      <c r="AL1069" s="14">
        <f>IFERROR(__xludf.DUMMYFUNCTION("""COMPUTED_VALUE"""),1.23)</f>
        <v>1.23</v>
      </c>
      <c r="AM1069" s="14">
        <f>IFERROR(__xludf.DUMMYFUNCTION("""COMPUTED_VALUE"""),1.18)</f>
        <v>1.18</v>
      </c>
      <c r="AN1069" s="14">
        <f>IFERROR(__xludf.DUMMYFUNCTION("""COMPUTED_VALUE"""),1.14)</f>
        <v>1.14</v>
      </c>
      <c r="AO1069" s="14">
        <f>IFERROR(__xludf.DUMMYFUNCTION("""COMPUTED_VALUE"""),1.21)</f>
        <v>1.21</v>
      </c>
      <c r="AP1069" s="14">
        <f>IFERROR(__xludf.DUMMYFUNCTION("""COMPUTED_VALUE"""),28.0)</f>
        <v>28</v>
      </c>
      <c r="AQ1069" s="14">
        <f>IFERROR(__xludf.DUMMYFUNCTION("""COMPUTED_VALUE"""),40.0)</f>
        <v>40</v>
      </c>
      <c r="AR1069" s="14">
        <f>IFERROR(__xludf.DUMMYFUNCTION("""COMPUTED_VALUE"""),24.0)</f>
        <v>24</v>
      </c>
      <c r="AS1069" s="14">
        <f>IFERROR(__xludf.DUMMYFUNCTION("""COMPUTED_VALUE"""),12.9)</f>
        <v>12.9</v>
      </c>
      <c r="AT1069" s="14">
        <f>IFERROR(__xludf.DUMMYFUNCTION("""COMPUTED_VALUE"""),1.63)</f>
        <v>1.63</v>
      </c>
      <c r="AU1069" s="14">
        <f>IFERROR(__xludf.DUMMYFUNCTION("""COMPUTED_VALUE"""),1372000.0)</f>
        <v>1372000</v>
      </c>
      <c r="AV1069" s="14">
        <f>IFERROR(__xludf.DUMMYFUNCTION("""COMPUTED_VALUE"""),1.6)</f>
        <v>1.6</v>
      </c>
      <c r="AW1069" s="14">
        <f>IFERROR(__xludf.DUMMYFUNCTION("""COMPUTED_VALUE"""),9.8)</f>
        <v>9.8</v>
      </c>
      <c r="AX1069" s="14">
        <f>IFERROR(__xludf.DUMMYFUNCTION("""COMPUTED_VALUE"""),1223000.0)</f>
        <v>1223000</v>
      </c>
      <c r="AY1069" s="14">
        <f>IFERROR(__xludf.DUMMYFUNCTION("""COMPUTED_VALUE"""),0.6)</f>
        <v>0.6</v>
      </c>
      <c r="AZ1069" s="14">
        <f>IFERROR(__xludf.DUMMYFUNCTION("""COMPUTED_VALUE"""),0.007)</f>
        <v>0.007</v>
      </c>
      <c r="BA1069" s="14">
        <f t="shared" si="1"/>
        <v>10.407</v>
      </c>
    </row>
    <row r="1070" ht="14.25" customHeight="1">
      <c r="A1070" s="10" t="str">
        <f>IFERROR(__xludf.DUMMYFUNCTION("""COMPUTED_VALUE"""),"230524LA02")</f>
        <v>230524LA02</v>
      </c>
      <c r="B1070" s="12" t="str">
        <f>IFERROR(__xludf.DUMMYFUNCTION("""COMPUTED_VALUE"""),"CRN-El Virrey")</f>
        <v>CRN-El Virrey</v>
      </c>
      <c r="C1070" s="12"/>
      <c r="D1070" s="12"/>
      <c r="E1070" s="44">
        <f>IFERROR(__xludf.DUMMYFUNCTION("""COMPUTED_VALUE"""),45435.0)</f>
        <v>45435</v>
      </c>
      <c r="F1070" s="12" t="str">
        <f>IFERROR(__xludf.DUMMYFUNCTION("""COMPUTED_VALUE"""),"TIPO I")</f>
        <v>TIPO I</v>
      </c>
      <c r="G1070" s="12" t="str">
        <f>IFERROR(__xludf.DUMMYFUNCTION("""COMPUTED_VALUE"""),"Monitoreo realizado en canal con estructura en mampostería, durante la toma de muestra se percibe olor y se observa color. 
Altitud: 2579 msnm")</f>
        <v>Monitoreo realizado en canal con estructura en mampostería, durante la toma de muestra se percibe olor y se observa color. 
Altitud: 2579 msnm</v>
      </c>
      <c r="H1070" s="45">
        <f>IFERROR(__xludf.DUMMYFUNCTION("""COMPUTED_VALUE"""),0.4166666666678793)</f>
        <v>0.4166666667</v>
      </c>
      <c r="I1070" s="45">
        <f>IFERROR(__xludf.DUMMYFUNCTION("""COMPUTED_VALUE"""),0.5)</f>
        <v>0.5</v>
      </c>
      <c r="J1070" s="12">
        <f>IFERROR(__xludf.DUMMYFUNCTION("""COMPUTED_VALUE"""),2.25)</f>
        <v>2.25</v>
      </c>
      <c r="K1070" s="12">
        <f>IFERROR(__xludf.DUMMYFUNCTION("""COMPUTED_VALUE"""),0.2)</f>
        <v>0.2</v>
      </c>
      <c r="L1070" s="14">
        <f>IFERROR(__xludf.DUMMYFUNCTION("""COMPUTED_VALUE"""),74.008)</f>
        <v>74.008</v>
      </c>
      <c r="M1070" s="14">
        <f>IFERROR(__xludf.DUMMYFUNCTION("""COMPUTED_VALUE"""),74.841)</f>
        <v>74.841</v>
      </c>
      <c r="N1070" s="14">
        <f>IFERROR(__xludf.DUMMYFUNCTION("""COMPUTED_VALUE"""),76.404)</f>
        <v>76.404</v>
      </c>
      <c r="O1070" s="14">
        <f>IFERROR(__xludf.DUMMYFUNCTION("""COMPUTED_VALUE"""),76.204)</f>
        <v>76.204</v>
      </c>
      <c r="P1070" s="14">
        <f>IFERROR(__xludf.DUMMYFUNCTION("""COMPUTED_VALUE"""),73.905)</f>
        <v>73.905</v>
      </c>
      <c r="Q1070" s="14">
        <f>IFERROR(__xludf.DUMMYFUNCTION("""COMPUTED_VALUE"""),75.072)</f>
        <v>75.072</v>
      </c>
      <c r="R1070" s="48">
        <f>IFERROR(__xludf.DUMMYFUNCTION("""COMPUTED_VALUE"""),6.92)</f>
        <v>6.92</v>
      </c>
      <c r="S1070" s="48">
        <f>IFERROR(__xludf.DUMMYFUNCTION("""COMPUTED_VALUE"""),6.76)</f>
        <v>6.76</v>
      </c>
      <c r="T1070" s="48">
        <f>IFERROR(__xludf.DUMMYFUNCTION("""COMPUTED_VALUE"""),6.82)</f>
        <v>6.82</v>
      </c>
      <c r="U1070" s="48">
        <f>IFERROR(__xludf.DUMMYFUNCTION("""COMPUTED_VALUE"""),6.83)</f>
        <v>6.83</v>
      </c>
      <c r="V1070" s="48">
        <f>IFERROR(__xludf.DUMMYFUNCTION("""COMPUTED_VALUE"""),6.68)</f>
        <v>6.68</v>
      </c>
      <c r="W1070" s="14">
        <f>IFERROR(__xludf.DUMMYFUNCTION("""COMPUTED_VALUE"""),6.802)</f>
        <v>6.802</v>
      </c>
      <c r="X1070" s="14">
        <f>IFERROR(__xludf.DUMMYFUNCTION("""COMPUTED_VALUE"""),19.9)</f>
        <v>19.9</v>
      </c>
      <c r="Y1070" s="14">
        <f>IFERROR(__xludf.DUMMYFUNCTION("""COMPUTED_VALUE"""),20.5)</f>
        <v>20.5</v>
      </c>
      <c r="Z1070" s="14">
        <f>IFERROR(__xludf.DUMMYFUNCTION("""COMPUTED_VALUE"""),20.1)</f>
        <v>20.1</v>
      </c>
      <c r="AA1070" s="14">
        <f>IFERROR(__xludf.DUMMYFUNCTION("""COMPUTED_VALUE"""),20.4)</f>
        <v>20.4</v>
      </c>
      <c r="AB1070" s="14">
        <f>IFERROR(__xludf.DUMMYFUNCTION("""COMPUTED_VALUE"""),20.8)</f>
        <v>20.8</v>
      </c>
      <c r="AC1070" s="14">
        <f>IFERROR(__xludf.DUMMYFUNCTION("""COMPUTED_VALUE"""),20.34)</f>
        <v>20.34</v>
      </c>
      <c r="AD1070" s="48">
        <f>IFERROR(__xludf.DUMMYFUNCTION("""COMPUTED_VALUE"""),444.0)</f>
        <v>444</v>
      </c>
      <c r="AE1070" s="48">
        <f>IFERROR(__xludf.DUMMYFUNCTION("""COMPUTED_VALUE"""),459.0)</f>
        <v>459</v>
      </c>
      <c r="AF1070" s="48">
        <f>IFERROR(__xludf.DUMMYFUNCTION("""COMPUTED_VALUE"""),462.0)</f>
        <v>462</v>
      </c>
      <c r="AG1070" s="48">
        <f>IFERROR(__xludf.DUMMYFUNCTION("""COMPUTED_VALUE"""),459.0)</f>
        <v>459</v>
      </c>
      <c r="AH1070" s="48">
        <f>IFERROR(__xludf.DUMMYFUNCTION("""COMPUTED_VALUE"""),465.0)</f>
        <v>465</v>
      </c>
      <c r="AI1070" s="14">
        <f>IFERROR(__xludf.DUMMYFUNCTION("""COMPUTED_VALUE"""),457.8)</f>
        <v>457.8</v>
      </c>
      <c r="AJ1070" s="14">
        <f>IFERROR(__xludf.DUMMYFUNCTION("""COMPUTED_VALUE"""),1.12)</f>
        <v>1.12</v>
      </c>
      <c r="AK1070" s="14">
        <f>IFERROR(__xludf.DUMMYFUNCTION("""COMPUTED_VALUE"""),1.34)</f>
        <v>1.34</v>
      </c>
      <c r="AL1070" s="14">
        <f>IFERROR(__xludf.DUMMYFUNCTION("""COMPUTED_VALUE"""),1.06)</f>
        <v>1.06</v>
      </c>
      <c r="AM1070" s="14">
        <f>IFERROR(__xludf.DUMMYFUNCTION("""COMPUTED_VALUE"""),1.51)</f>
        <v>1.51</v>
      </c>
      <c r="AN1070" s="14">
        <f>IFERROR(__xludf.DUMMYFUNCTION("""COMPUTED_VALUE"""),1.34)</f>
        <v>1.34</v>
      </c>
      <c r="AO1070" s="14">
        <f>IFERROR(__xludf.DUMMYFUNCTION("""COMPUTED_VALUE"""),1.274)</f>
        <v>1.274</v>
      </c>
      <c r="AP1070" s="14">
        <f>IFERROR(__xludf.DUMMYFUNCTION("""COMPUTED_VALUE"""),110.0)</f>
        <v>110</v>
      </c>
      <c r="AQ1070" s="14">
        <f>IFERROR(__xludf.DUMMYFUNCTION("""COMPUTED_VALUE"""),281.0)</f>
        <v>281</v>
      </c>
      <c r="AR1070" s="14">
        <f>IFERROR(__xludf.DUMMYFUNCTION("""COMPUTED_VALUE"""),139.0)</f>
        <v>139</v>
      </c>
      <c r="AS1070" s="14">
        <f>IFERROR(__xludf.DUMMYFUNCTION("""COMPUTED_VALUE"""),43.0)</f>
        <v>43</v>
      </c>
      <c r="AT1070" s="14">
        <f>IFERROR(__xludf.DUMMYFUNCTION("""COMPUTED_VALUE"""),0.22)</f>
        <v>0.22</v>
      </c>
      <c r="AU1070" s="14">
        <f>IFERROR(__xludf.DUMMYFUNCTION("""COMPUTED_VALUE"""),1.153E7)</f>
        <v>11530000</v>
      </c>
      <c r="AV1070" s="14">
        <f>IFERROR(__xludf.DUMMYFUNCTION("""COMPUTED_VALUE"""),2.7)</f>
        <v>2.7</v>
      </c>
      <c r="AW1070" s="14">
        <f>IFERROR(__xludf.DUMMYFUNCTION("""COMPUTED_VALUE"""),34.7)</f>
        <v>34.7</v>
      </c>
      <c r="AX1070" s="14">
        <f>IFERROR(__xludf.DUMMYFUNCTION("""COMPUTED_VALUE"""),6820000.0)</f>
        <v>6820000</v>
      </c>
      <c r="AY1070" s="14">
        <f>IFERROR(__xludf.DUMMYFUNCTION("""COMPUTED_VALUE"""),1.3)</f>
        <v>1.3</v>
      </c>
      <c r="AZ1070" s="14">
        <f>IFERROR(__xludf.DUMMYFUNCTION("""COMPUTED_VALUE"""),0.007)</f>
        <v>0.007</v>
      </c>
      <c r="BA1070" s="14">
        <f t="shared" si="1"/>
        <v>36.007</v>
      </c>
    </row>
    <row r="1071" ht="14.25" customHeight="1">
      <c r="A1071" s="10" t="str">
        <f>IFERROR(__xludf.DUMMYFUNCTION("""COMPUTED_VALUE"""),"230524AN01")</f>
        <v>230524AN01</v>
      </c>
      <c r="B1071" s="12" t="str">
        <f>IFERROR(__xludf.DUMMYFUNCTION("""COMPUTED_VALUE"""),"CRN-La Castellana")</f>
        <v>CRN-La Castellana</v>
      </c>
      <c r="C1071" s="12"/>
      <c r="D1071" s="12"/>
      <c r="E1071" s="44">
        <f>IFERROR(__xludf.DUMMYFUNCTION("""COMPUTED_VALUE"""),45435.0)</f>
        <v>45435</v>
      </c>
      <c r="F1071" s="12" t="str">
        <f>IFERROR(__xludf.DUMMYFUNCTION("""COMPUTED_VALUE"""),"TIPO I")</f>
        <v>TIPO I</v>
      </c>
      <c r="G1071" s="12" t="str">
        <f>IFERROR(__xludf.DUMMYFUNCTION("""COMPUTED_VALUE"""),"Monitoreo realizado en canal con estructura en concreto, lecho rocoso y arenoso. Durante la toma de muestra se observa material flotante y color, se percibe olor; después de la 3 alícuota se registra aumento del caudal. 
Altitud: 2552 msnm")</f>
        <v>Monitoreo realizado en canal con estructura en concreto, lecho rocoso y arenoso. Durante la toma de muestra se observa material flotante y color, se percibe olor; después de la 3 alícuota se registra aumento del caudal. 
Altitud: 2552 msnm</v>
      </c>
      <c r="H1071" s="45">
        <f>IFERROR(__xludf.DUMMYFUNCTION("""COMPUTED_VALUE"""),0.25)</f>
        <v>0.25</v>
      </c>
      <c r="I1071" s="45">
        <f>IFERROR(__xludf.DUMMYFUNCTION("""COMPUTED_VALUE"""),0.3333333333321207)</f>
        <v>0.3333333333</v>
      </c>
      <c r="J1071" s="12">
        <f>IFERROR(__xludf.DUMMYFUNCTION("""COMPUTED_VALUE"""),5.6)</f>
        <v>5.6</v>
      </c>
      <c r="K1071" s="12">
        <f>IFERROR(__xludf.DUMMYFUNCTION("""COMPUTED_VALUE"""),0.2)</f>
        <v>0.2</v>
      </c>
      <c r="L1071" s="14">
        <f>IFERROR(__xludf.DUMMYFUNCTION("""COMPUTED_VALUE"""),178.67)</f>
        <v>178.67</v>
      </c>
      <c r="M1071" s="14">
        <f>IFERROR(__xludf.DUMMYFUNCTION("""COMPUTED_VALUE"""),184.462)</f>
        <v>184.462</v>
      </c>
      <c r="N1071" s="14">
        <f>IFERROR(__xludf.DUMMYFUNCTION("""COMPUTED_VALUE"""),185.805)</f>
        <v>185.805</v>
      </c>
      <c r="O1071" s="14">
        <f>IFERROR(__xludf.DUMMYFUNCTION("""COMPUTED_VALUE"""),247.881)</f>
        <v>247.881</v>
      </c>
      <c r="P1071" s="14">
        <f>IFERROR(__xludf.DUMMYFUNCTION("""COMPUTED_VALUE"""),258.461)</f>
        <v>258.461</v>
      </c>
      <c r="Q1071" s="14">
        <f>IFERROR(__xludf.DUMMYFUNCTION("""COMPUTED_VALUE"""),211.056)</f>
        <v>211.056</v>
      </c>
      <c r="R1071" s="48">
        <f>IFERROR(__xludf.DUMMYFUNCTION("""COMPUTED_VALUE"""),7.71)</f>
        <v>7.71</v>
      </c>
      <c r="S1071" s="48">
        <f>IFERROR(__xludf.DUMMYFUNCTION("""COMPUTED_VALUE"""),7.8)</f>
        <v>7.8</v>
      </c>
      <c r="T1071" s="48">
        <f>IFERROR(__xludf.DUMMYFUNCTION("""COMPUTED_VALUE"""),8.3)</f>
        <v>8.3</v>
      </c>
      <c r="U1071" s="48">
        <f>IFERROR(__xludf.DUMMYFUNCTION("""COMPUTED_VALUE"""),8.5)</f>
        <v>8.5</v>
      </c>
      <c r="V1071" s="48">
        <f>IFERROR(__xludf.DUMMYFUNCTION("""COMPUTED_VALUE"""),8.62)</f>
        <v>8.62</v>
      </c>
      <c r="W1071" s="14">
        <f>IFERROR(__xludf.DUMMYFUNCTION("""COMPUTED_VALUE"""),8.186)</f>
        <v>8.186</v>
      </c>
      <c r="X1071" s="14">
        <f>IFERROR(__xludf.DUMMYFUNCTION("""COMPUTED_VALUE"""),18.2)</f>
        <v>18.2</v>
      </c>
      <c r="Y1071" s="14">
        <f>IFERROR(__xludf.DUMMYFUNCTION("""COMPUTED_VALUE"""),17.8)</f>
        <v>17.8</v>
      </c>
      <c r="Z1071" s="14">
        <f>IFERROR(__xludf.DUMMYFUNCTION("""COMPUTED_VALUE"""),18.4)</f>
        <v>18.4</v>
      </c>
      <c r="AA1071" s="14">
        <f>IFERROR(__xludf.DUMMYFUNCTION("""COMPUTED_VALUE"""),18.5)</f>
        <v>18.5</v>
      </c>
      <c r="AB1071" s="14">
        <f>IFERROR(__xludf.DUMMYFUNCTION("""COMPUTED_VALUE"""),19.6)</f>
        <v>19.6</v>
      </c>
      <c r="AC1071" s="14">
        <f>IFERROR(__xludf.DUMMYFUNCTION("""COMPUTED_VALUE"""),18.5)</f>
        <v>18.5</v>
      </c>
      <c r="AD1071" s="48">
        <f>IFERROR(__xludf.DUMMYFUNCTION("""COMPUTED_VALUE"""),302.0)</f>
        <v>302</v>
      </c>
      <c r="AE1071" s="48">
        <f>IFERROR(__xludf.DUMMYFUNCTION("""COMPUTED_VALUE"""),336.0)</f>
        <v>336</v>
      </c>
      <c r="AF1071" s="48">
        <f>IFERROR(__xludf.DUMMYFUNCTION("""COMPUTED_VALUE"""),445.0)</f>
        <v>445</v>
      </c>
      <c r="AG1071" s="48">
        <f>IFERROR(__xludf.DUMMYFUNCTION("""COMPUTED_VALUE"""),541.0)</f>
        <v>541</v>
      </c>
      <c r="AH1071" s="48">
        <f>IFERROR(__xludf.DUMMYFUNCTION("""COMPUTED_VALUE"""),615.0)</f>
        <v>615</v>
      </c>
      <c r="AI1071" s="14">
        <f>IFERROR(__xludf.DUMMYFUNCTION("""COMPUTED_VALUE"""),447.8)</f>
        <v>447.8</v>
      </c>
      <c r="AJ1071" s="14">
        <f>IFERROR(__xludf.DUMMYFUNCTION("""COMPUTED_VALUE"""),1.32)</f>
        <v>1.32</v>
      </c>
      <c r="AK1071" s="14">
        <f>IFERROR(__xludf.DUMMYFUNCTION("""COMPUTED_VALUE"""),1.03)</f>
        <v>1.03</v>
      </c>
      <c r="AL1071" s="14">
        <f>IFERROR(__xludf.DUMMYFUNCTION("""COMPUTED_VALUE"""),1.13)</f>
        <v>1.13</v>
      </c>
      <c r="AM1071" s="14">
        <f>IFERROR(__xludf.DUMMYFUNCTION("""COMPUTED_VALUE"""),0.94)</f>
        <v>0.94</v>
      </c>
      <c r="AN1071" s="14">
        <f>IFERROR(__xludf.DUMMYFUNCTION("""COMPUTED_VALUE"""),0.73)</f>
        <v>0.73</v>
      </c>
      <c r="AO1071" s="14">
        <f>IFERROR(__xludf.DUMMYFUNCTION("""COMPUTED_VALUE"""),1.03)</f>
        <v>1.03</v>
      </c>
      <c r="AP1071" s="14">
        <f>IFERROR(__xludf.DUMMYFUNCTION("""COMPUTED_VALUE"""),78.0)</f>
        <v>78</v>
      </c>
      <c r="AQ1071" s="14">
        <f>IFERROR(__xludf.DUMMYFUNCTION("""COMPUTED_VALUE"""),169.0)</f>
        <v>169</v>
      </c>
      <c r="AR1071" s="14">
        <f>IFERROR(__xludf.DUMMYFUNCTION("""COMPUTED_VALUE"""),134.0)</f>
        <v>134</v>
      </c>
      <c r="AS1071" s="14">
        <f>IFERROR(__xludf.DUMMYFUNCTION("""COMPUTED_VALUE"""),18.0)</f>
        <v>18</v>
      </c>
      <c r="AT1071" s="14">
        <f>IFERROR(__xludf.DUMMYFUNCTION("""COMPUTED_VALUE"""),4.43)</f>
        <v>4.43</v>
      </c>
      <c r="AU1071" s="14">
        <f>IFERROR(__xludf.DUMMYFUNCTION("""COMPUTED_VALUE"""),1.391E7)</f>
        <v>13910000</v>
      </c>
      <c r="AV1071" s="14">
        <f>IFERROR(__xludf.DUMMYFUNCTION("""COMPUTED_VALUE"""),3.45)</f>
        <v>3.45</v>
      </c>
      <c r="AW1071" s="14">
        <f>IFERROR(__xludf.DUMMYFUNCTION("""COMPUTED_VALUE"""),33.0)</f>
        <v>33</v>
      </c>
      <c r="AX1071" s="14">
        <f>IFERROR(__xludf.DUMMYFUNCTION("""COMPUTED_VALUE"""),8010000.0)</f>
        <v>8010000</v>
      </c>
      <c r="AY1071" s="14">
        <f>IFERROR(__xludf.DUMMYFUNCTION("""COMPUTED_VALUE"""),0.6)</f>
        <v>0.6</v>
      </c>
      <c r="AZ1071" s="14">
        <f>IFERROR(__xludf.DUMMYFUNCTION("""COMPUTED_VALUE"""),0.007)</f>
        <v>0.007</v>
      </c>
      <c r="BA1071" s="14">
        <f t="shared" si="1"/>
        <v>33.607</v>
      </c>
    </row>
    <row r="1072" ht="14.25" customHeight="1">
      <c r="A1072" s="10" t="str">
        <f>IFERROR(__xludf.DUMMYFUNCTION("""COMPUTED_VALUE"""),"270524FE03")</f>
        <v>270524FE03</v>
      </c>
      <c r="B1072" s="12" t="str">
        <f>IFERROR(__xludf.DUMMYFUNCTION("""COMPUTED_VALUE"""),"QLI-El Satélite")</f>
        <v>QLI-El Satélite</v>
      </c>
      <c r="C1072" s="12"/>
      <c r="D1072" s="12"/>
      <c r="E1072" s="44">
        <f>IFERROR(__xludf.DUMMYFUNCTION("""COMPUTED_VALUE"""),45439.0)</f>
        <v>45439</v>
      </c>
      <c r="F1072" s="12" t="str">
        <f>IFERROR(__xludf.DUMMYFUNCTION("""COMPUTED_VALUE"""),"TIPO I")</f>
        <v>TIPO I</v>
      </c>
      <c r="G1072" s="12" t="str">
        <f>IFERROR(__xludf.DUMMYFUNCTION("""COMPUTED_VALUE"""),"Durante el desarrollo del monitoreo se observa color y se percibe olor. 
Altitud 2570msnm. ")</f>
        <v>Durante el desarrollo del monitoreo se observa color y se percibe olor. 
Altitud 2570msnm. </v>
      </c>
      <c r="H1072" s="45">
        <f>IFERROR(__xludf.DUMMYFUNCTION("""COMPUTED_VALUE"""),0.5833333333321207)</f>
        <v>0.5833333333</v>
      </c>
      <c r="I1072" s="45">
        <f>IFERROR(__xludf.DUMMYFUNCTION("""COMPUTED_VALUE"""),0.6666666666678793)</f>
        <v>0.6666666667</v>
      </c>
      <c r="J1072" s="12"/>
      <c r="K1072" s="12"/>
      <c r="L1072" s="14">
        <f>IFERROR(__xludf.DUMMYFUNCTION("""COMPUTED_VALUE"""),156.932)</f>
        <v>156.932</v>
      </c>
      <c r="M1072" s="14">
        <f>IFERROR(__xludf.DUMMYFUNCTION("""COMPUTED_VALUE"""),157.411)</f>
        <v>157.411</v>
      </c>
      <c r="N1072" s="14">
        <f>IFERROR(__xludf.DUMMYFUNCTION("""COMPUTED_VALUE"""),159.161)</f>
        <v>159.161</v>
      </c>
      <c r="O1072" s="14">
        <f>IFERROR(__xludf.DUMMYFUNCTION("""COMPUTED_VALUE"""),157.565)</f>
        <v>157.565</v>
      </c>
      <c r="P1072" s="14">
        <f>IFERROR(__xludf.DUMMYFUNCTION("""COMPUTED_VALUE"""),160.542)</f>
        <v>160.542</v>
      </c>
      <c r="Q1072" s="14">
        <f>IFERROR(__xludf.DUMMYFUNCTION("""COMPUTED_VALUE"""),158.322)</f>
        <v>158.322</v>
      </c>
      <c r="R1072" s="48">
        <f>IFERROR(__xludf.DUMMYFUNCTION("""COMPUTED_VALUE"""),7.9)</f>
        <v>7.9</v>
      </c>
      <c r="S1072" s="48">
        <f>IFERROR(__xludf.DUMMYFUNCTION("""COMPUTED_VALUE"""),7.68)</f>
        <v>7.68</v>
      </c>
      <c r="T1072" s="48">
        <f>IFERROR(__xludf.DUMMYFUNCTION("""COMPUTED_VALUE"""),7.8)</f>
        <v>7.8</v>
      </c>
      <c r="U1072" s="48">
        <f>IFERROR(__xludf.DUMMYFUNCTION("""COMPUTED_VALUE"""),7.92)</f>
        <v>7.92</v>
      </c>
      <c r="V1072" s="48">
        <f>IFERROR(__xludf.DUMMYFUNCTION("""COMPUTED_VALUE"""),7.79)</f>
        <v>7.79</v>
      </c>
      <c r="W1072" s="14">
        <f>IFERROR(__xludf.DUMMYFUNCTION("""COMPUTED_VALUE"""),7.818)</f>
        <v>7.818</v>
      </c>
      <c r="X1072" s="14">
        <f>IFERROR(__xludf.DUMMYFUNCTION("""COMPUTED_VALUE"""),20.4)</f>
        <v>20.4</v>
      </c>
      <c r="Y1072" s="14">
        <f>IFERROR(__xludf.DUMMYFUNCTION("""COMPUTED_VALUE"""),19.7)</f>
        <v>19.7</v>
      </c>
      <c r="Z1072" s="14">
        <f>IFERROR(__xludf.DUMMYFUNCTION("""COMPUTED_VALUE"""),20.0)</f>
        <v>20</v>
      </c>
      <c r="AA1072" s="14">
        <f>IFERROR(__xludf.DUMMYFUNCTION("""COMPUTED_VALUE"""),20.5)</f>
        <v>20.5</v>
      </c>
      <c r="AB1072" s="14">
        <f>IFERROR(__xludf.DUMMYFUNCTION("""COMPUTED_VALUE"""),20.6)</f>
        <v>20.6</v>
      </c>
      <c r="AC1072" s="14">
        <f>IFERROR(__xludf.DUMMYFUNCTION("""COMPUTED_VALUE"""),20.24)</f>
        <v>20.24</v>
      </c>
      <c r="AD1072" s="48">
        <f>IFERROR(__xludf.DUMMYFUNCTION("""COMPUTED_VALUE"""),639.0)</f>
        <v>639</v>
      </c>
      <c r="AE1072" s="48">
        <f>IFERROR(__xludf.DUMMYFUNCTION("""COMPUTED_VALUE"""),641.0)</f>
        <v>641</v>
      </c>
      <c r="AF1072" s="48">
        <f>IFERROR(__xludf.DUMMYFUNCTION("""COMPUTED_VALUE"""),586.0)</f>
        <v>586</v>
      </c>
      <c r="AG1072" s="48">
        <f>IFERROR(__xludf.DUMMYFUNCTION("""COMPUTED_VALUE"""),632.0)</f>
        <v>632</v>
      </c>
      <c r="AH1072" s="48">
        <f>IFERROR(__xludf.DUMMYFUNCTION("""COMPUTED_VALUE"""),584.0)</f>
        <v>584</v>
      </c>
      <c r="AI1072" s="14">
        <f>IFERROR(__xludf.DUMMYFUNCTION("""COMPUTED_VALUE"""),616.4)</f>
        <v>616.4</v>
      </c>
      <c r="AJ1072" s="14">
        <f>IFERROR(__xludf.DUMMYFUNCTION("""COMPUTED_VALUE"""),3.13)</f>
        <v>3.13</v>
      </c>
      <c r="AK1072" s="14">
        <f>IFERROR(__xludf.DUMMYFUNCTION("""COMPUTED_VALUE"""),2.66)</f>
        <v>2.66</v>
      </c>
      <c r="AL1072" s="14">
        <f>IFERROR(__xludf.DUMMYFUNCTION("""COMPUTED_VALUE"""),2.77)</f>
        <v>2.77</v>
      </c>
      <c r="AM1072" s="14">
        <f>IFERROR(__xludf.DUMMYFUNCTION("""COMPUTED_VALUE"""),2.84)</f>
        <v>2.84</v>
      </c>
      <c r="AN1072" s="14">
        <f>IFERROR(__xludf.DUMMYFUNCTION("""COMPUTED_VALUE"""),3.0)</f>
        <v>3</v>
      </c>
      <c r="AO1072" s="14">
        <f>IFERROR(__xludf.DUMMYFUNCTION("""COMPUTED_VALUE"""),2.88)</f>
        <v>2.88</v>
      </c>
      <c r="AP1072" s="14">
        <f>IFERROR(__xludf.DUMMYFUNCTION("""COMPUTED_VALUE"""),68.0)</f>
        <v>68</v>
      </c>
      <c r="AQ1072" s="14">
        <f>IFERROR(__xludf.DUMMYFUNCTION("""COMPUTED_VALUE"""),193.0)</f>
        <v>193</v>
      </c>
      <c r="AR1072" s="14">
        <f>IFERROR(__xludf.DUMMYFUNCTION("""COMPUTED_VALUE"""),88.0)</f>
        <v>88</v>
      </c>
      <c r="AS1072" s="14">
        <f>IFERROR(__xludf.DUMMYFUNCTION("""COMPUTED_VALUE"""),18.0)</f>
        <v>18</v>
      </c>
      <c r="AT1072" s="14">
        <f>IFERROR(__xludf.DUMMYFUNCTION("""COMPUTED_VALUE"""),1.27)</f>
        <v>1.27</v>
      </c>
      <c r="AU1072" s="14">
        <f>IFERROR(__xludf.DUMMYFUNCTION("""COMPUTED_VALUE"""),1.679E7)</f>
        <v>16790000</v>
      </c>
      <c r="AV1072" s="14">
        <f>IFERROR(__xludf.DUMMYFUNCTION("""COMPUTED_VALUE"""),2.82)</f>
        <v>2.82</v>
      </c>
      <c r="AW1072" s="14">
        <f>IFERROR(__xludf.DUMMYFUNCTION("""COMPUTED_VALUE"""),34.7)</f>
        <v>34.7</v>
      </c>
      <c r="AX1072" s="14">
        <f>IFERROR(__xludf.DUMMYFUNCTION("""COMPUTED_VALUE"""),1.211E7)</f>
        <v>12110000</v>
      </c>
      <c r="AY1072" s="14">
        <f>IFERROR(__xludf.DUMMYFUNCTION("""COMPUTED_VALUE"""),0.7)</f>
        <v>0.7</v>
      </c>
      <c r="AZ1072" s="14">
        <f>IFERROR(__xludf.DUMMYFUNCTION("""COMPUTED_VALUE"""),0.007)</f>
        <v>0.007</v>
      </c>
      <c r="BA1072" s="14">
        <f t="shared" si="1"/>
        <v>35.407</v>
      </c>
    </row>
    <row r="1073" ht="14.25" customHeight="1">
      <c r="A1073" s="10" t="str">
        <f>IFERROR(__xludf.DUMMYFUNCTION("""COMPUTED_VALUE"""),"280524FM01")</f>
        <v>280524FM01</v>
      </c>
      <c r="B1073" s="12" t="str">
        <f>IFERROR(__xludf.DUMMYFUNCTION("""COMPUTED_VALUE"""),"QZA-Molinos")</f>
        <v>QZA-Molinos</v>
      </c>
      <c r="C1073" s="12"/>
      <c r="D1073" s="12"/>
      <c r="E1073" s="44">
        <f>IFERROR(__xludf.DUMMYFUNCTION("""COMPUTED_VALUE"""),45440.0)</f>
        <v>45440</v>
      </c>
      <c r="F1073" s="12" t="str">
        <f>IFERROR(__xludf.DUMMYFUNCTION("""COMPUTED_VALUE"""),"TIPO I")</f>
        <v>TIPO I</v>
      </c>
      <c r="G1073" s="12" t="str">
        <f>IFERROR(__xludf.DUMMYFUNCTION("""COMPUTED_VALUE"""),"Durante el monitoreo se percibe olor y se observa color. Aguas abajo del punto de monitoreo se encuentran realizando obras. 
Altitud 2583msnm")</f>
        <v>Durante el monitoreo se percibe olor y se observa color. Aguas abajo del punto de monitoreo se encuentran realizando obras. 
Altitud 2583msnm</v>
      </c>
      <c r="H1073" s="45">
        <f>IFERROR(__xludf.DUMMYFUNCTION("""COMPUTED_VALUE"""),0.25)</f>
        <v>0.25</v>
      </c>
      <c r="I1073" s="45">
        <f>IFERROR(__xludf.DUMMYFUNCTION("""COMPUTED_VALUE"""),0.3333333333321207)</f>
        <v>0.3333333333</v>
      </c>
      <c r="J1073" s="12">
        <f>IFERROR(__xludf.DUMMYFUNCTION("""COMPUTED_VALUE"""),3.9)</f>
        <v>3.9</v>
      </c>
      <c r="K1073" s="12">
        <f>IFERROR(__xludf.DUMMYFUNCTION("""COMPUTED_VALUE"""),0.35)</f>
        <v>0.35</v>
      </c>
      <c r="L1073" s="14">
        <f>IFERROR(__xludf.DUMMYFUNCTION("""COMPUTED_VALUE"""),271.089)</f>
        <v>271.089</v>
      </c>
      <c r="M1073" s="14">
        <f>IFERROR(__xludf.DUMMYFUNCTION("""COMPUTED_VALUE"""),274.709)</f>
        <v>274.709</v>
      </c>
      <c r="N1073" s="14">
        <f>IFERROR(__xludf.DUMMYFUNCTION("""COMPUTED_VALUE"""),278.8)</f>
        <v>278.8</v>
      </c>
      <c r="O1073" s="14">
        <f>IFERROR(__xludf.DUMMYFUNCTION("""COMPUTED_VALUE"""),279.568)</f>
        <v>279.568</v>
      </c>
      <c r="P1073" s="14">
        <f>IFERROR(__xludf.DUMMYFUNCTION("""COMPUTED_VALUE"""),282.906)</f>
        <v>282.906</v>
      </c>
      <c r="Q1073" s="14">
        <f>IFERROR(__xludf.DUMMYFUNCTION("""COMPUTED_VALUE"""),277.414)</f>
        <v>277.414</v>
      </c>
      <c r="R1073" s="48">
        <f>IFERROR(__xludf.DUMMYFUNCTION("""COMPUTED_VALUE"""),6.9)</f>
        <v>6.9</v>
      </c>
      <c r="S1073" s="48">
        <f>IFERROR(__xludf.DUMMYFUNCTION("""COMPUTED_VALUE"""),6.95)</f>
        <v>6.95</v>
      </c>
      <c r="T1073" s="48">
        <f>IFERROR(__xludf.DUMMYFUNCTION("""COMPUTED_VALUE"""),7.05)</f>
        <v>7.05</v>
      </c>
      <c r="U1073" s="48">
        <f>IFERROR(__xludf.DUMMYFUNCTION("""COMPUTED_VALUE"""),7.08)</f>
        <v>7.08</v>
      </c>
      <c r="V1073" s="48">
        <f>IFERROR(__xludf.DUMMYFUNCTION("""COMPUTED_VALUE"""),7.14)</f>
        <v>7.14</v>
      </c>
      <c r="W1073" s="14">
        <f>IFERROR(__xludf.DUMMYFUNCTION("""COMPUTED_VALUE"""),7.024000000000001)</f>
        <v>7.024</v>
      </c>
      <c r="X1073" s="14">
        <f>IFERROR(__xludf.DUMMYFUNCTION("""COMPUTED_VALUE"""),15.2)</f>
        <v>15.2</v>
      </c>
      <c r="Y1073" s="14">
        <f>IFERROR(__xludf.DUMMYFUNCTION("""COMPUTED_VALUE"""),15.3)</f>
        <v>15.3</v>
      </c>
      <c r="Z1073" s="14">
        <f>IFERROR(__xludf.DUMMYFUNCTION("""COMPUTED_VALUE"""),15.4)</f>
        <v>15.4</v>
      </c>
      <c r="AA1073" s="14">
        <f>IFERROR(__xludf.DUMMYFUNCTION("""COMPUTED_VALUE"""),15.6)</f>
        <v>15.6</v>
      </c>
      <c r="AB1073" s="14">
        <f>IFERROR(__xludf.DUMMYFUNCTION("""COMPUTED_VALUE"""),15.8)</f>
        <v>15.8</v>
      </c>
      <c r="AC1073" s="14">
        <f>IFERROR(__xludf.DUMMYFUNCTION("""COMPUTED_VALUE"""),15.459999999999999)</f>
        <v>15.46</v>
      </c>
      <c r="AD1073" s="48">
        <f>IFERROR(__xludf.DUMMYFUNCTION("""COMPUTED_VALUE"""),335.0)</f>
        <v>335</v>
      </c>
      <c r="AE1073" s="48">
        <f>IFERROR(__xludf.DUMMYFUNCTION("""COMPUTED_VALUE"""),342.0)</f>
        <v>342</v>
      </c>
      <c r="AF1073" s="48">
        <f>IFERROR(__xludf.DUMMYFUNCTION("""COMPUTED_VALUE"""),348.0)</f>
        <v>348</v>
      </c>
      <c r="AG1073" s="48">
        <f>IFERROR(__xludf.DUMMYFUNCTION("""COMPUTED_VALUE"""),382.0)</f>
        <v>382</v>
      </c>
      <c r="AH1073" s="48">
        <f>IFERROR(__xludf.DUMMYFUNCTION("""COMPUTED_VALUE"""),434.0)</f>
        <v>434</v>
      </c>
      <c r="AI1073" s="14">
        <f>IFERROR(__xludf.DUMMYFUNCTION("""COMPUTED_VALUE"""),368.2)</f>
        <v>368.2</v>
      </c>
      <c r="AJ1073" s="14">
        <f>IFERROR(__xludf.DUMMYFUNCTION("""COMPUTED_VALUE"""),3.46)</f>
        <v>3.46</v>
      </c>
      <c r="AK1073" s="14">
        <f>IFERROR(__xludf.DUMMYFUNCTION("""COMPUTED_VALUE"""),3.85)</f>
        <v>3.85</v>
      </c>
      <c r="AL1073" s="14">
        <f>IFERROR(__xludf.DUMMYFUNCTION("""COMPUTED_VALUE"""),3.27)</f>
        <v>3.27</v>
      </c>
      <c r="AM1073" s="14">
        <f>IFERROR(__xludf.DUMMYFUNCTION("""COMPUTED_VALUE"""),3.29)</f>
        <v>3.29</v>
      </c>
      <c r="AN1073" s="14">
        <f>IFERROR(__xludf.DUMMYFUNCTION("""COMPUTED_VALUE"""),3.31)</f>
        <v>3.31</v>
      </c>
      <c r="AO1073" s="14">
        <f>IFERROR(__xludf.DUMMYFUNCTION("""COMPUTED_VALUE"""),3.436)</f>
        <v>3.436</v>
      </c>
      <c r="AP1073" s="14">
        <f>IFERROR(__xludf.DUMMYFUNCTION("""COMPUTED_VALUE"""),21.0)</f>
        <v>21</v>
      </c>
      <c r="AQ1073" s="14">
        <f>IFERROR(__xludf.DUMMYFUNCTION("""COMPUTED_VALUE"""),78.0)</f>
        <v>78</v>
      </c>
      <c r="AR1073" s="14">
        <f>IFERROR(__xludf.DUMMYFUNCTION("""COMPUTED_VALUE"""),34.0)</f>
        <v>34</v>
      </c>
      <c r="AS1073" s="14">
        <f>IFERROR(__xludf.DUMMYFUNCTION("""COMPUTED_VALUE"""),7.0)</f>
        <v>7</v>
      </c>
      <c r="AT1073" s="14">
        <f>IFERROR(__xludf.DUMMYFUNCTION("""COMPUTED_VALUE"""),1.34)</f>
        <v>1.34</v>
      </c>
      <c r="AU1073" s="14">
        <f>IFERROR(__xludf.DUMMYFUNCTION("""COMPUTED_VALUE"""),2062000.0)</f>
        <v>2062000</v>
      </c>
      <c r="AV1073" s="14">
        <f>IFERROR(__xludf.DUMMYFUNCTION("""COMPUTED_VALUE"""),1.93)</f>
        <v>1.93</v>
      </c>
      <c r="AW1073" s="14">
        <f>IFERROR(__xludf.DUMMYFUNCTION("""COMPUTED_VALUE"""),12.9)</f>
        <v>12.9</v>
      </c>
      <c r="AX1073" s="14">
        <f>IFERROR(__xludf.DUMMYFUNCTION("""COMPUTED_VALUE"""),1903000.0)</f>
        <v>1903000</v>
      </c>
      <c r="AY1073" s="14">
        <f>IFERROR(__xludf.DUMMYFUNCTION("""COMPUTED_VALUE"""),0.6)</f>
        <v>0.6</v>
      </c>
      <c r="AZ1073" s="14">
        <f>IFERROR(__xludf.DUMMYFUNCTION("""COMPUTED_VALUE"""),0.007)</f>
        <v>0.007</v>
      </c>
      <c r="BA1073" s="14">
        <f t="shared" si="1"/>
        <v>13.507</v>
      </c>
    </row>
    <row r="1074" ht="14.25" customHeight="1">
      <c r="A1074" s="10" t="str">
        <f>IFERROR(__xludf.DUMMYFUNCTION("""COMPUTED_VALUE"""),"280524FE02")</f>
        <v>280524FE02</v>
      </c>
      <c r="B1074" s="12" t="str">
        <f>IFERROR(__xludf.DUMMYFUNCTION("""COMPUTED_VALUE"""),"QZA-Entre Nubes")</f>
        <v>QZA-Entre Nubes</v>
      </c>
      <c r="C1074" s="12"/>
      <c r="D1074" s="12"/>
      <c r="E1074" s="44">
        <f>IFERROR(__xludf.DUMMYFUNCTION("""COMPUTED_VALUE"""),45440.0)</f>
        <v>45440</v>
      </c>
      <c r="F1074" s="12" t="str">
        <f>IFERROR(__xludf.DUMMYFUNCTION("""COMPUTED_VALUE"""),"TIPO I")</f>
        <v>TIPO I</v>
      </c>
      <c r="G1074" s="12" t="str">
        <f>IFERROR(__xludf.DUMMYFUNCTION("""COMPUTED_VALUE"""),"Durante el desarrollo del monitoreo se observa color, residuos sólidos y se percibe olor. 
Altitud 2660msnm. ")</f>
        <v>Durante el desarrollo del monitoreo se observa color, residuos sólidos y se percibe olor. 
Altitud 2660msnm. </v>
      </c>
      <c r="H1074" s="45">
        <f>IFERROR(__xludf.DUMMYFUNCTION("""COMPUTED_VALUE"""),0.5)</f>
        <v>0.5</v>
      </c>
      <c r="I1074" s="45">
        <f>IFERROR(__xludf.DUMMYFUNCTION("""COMPUTED_VALUE"""),0.5833333333321207)</f>
        <v>0.5833333333</v>
      </c>
      <c r="J1074" s="12">
        <f>IFERROR(__xludf.DUMMYFUNCTION("""COMPUTED_VALUE"""),4.8)</f>
        <v>4.8</v>
      </c>
      <c r="K1074" s="12">
        <f>IFERROR(__xludf.DUMMYFUNCTION("""COMPUTED_VALUE"""),0.11)</f>
        <v>0.11</v>
      </c>
      <c r="L1074" s="14">
        <f>IFERROR(__xludf.DUMMYFUNCTION("""COMPUTED_VALUE"""),198.998)</f>
        <v>198.998</v>
      </c>
      <c r="M1074" s="14">
        <f>IFERROR(__xludf.DUMMYFUNCTION("""COMPUTED_VALUE"""),203.812)</f>
        <v>203.812</v>
      </c>
      <c r="N1074" s="14">
        <f>IFERROR(__xludf.DUMMYFUNCTION("""COMPUTED_VALUE"""),204.844)</f>
        <v>204.844</v>
      </c>
      <c r="O1074" s="14">
        <f>IFERROR(__xludf.DUMMYFUNCTION("""COMPUTED_VALUE"""),204.93)</f>
        <v>204.93</v>
      </c>
      <c r="P1074" s="14">
        <f>IFERROR(__xludf.DUMMYFUNCTION("""COMPUTED_VALUE"""),208.395)</f>
        <v>208.395</v>
      </c>
      <c r="Q1074" s="14">
        <f>IFERROR(__xludf.DUMMYFUNCTION("""COMPUTED_VALUE"""),204.196)</f>
        <v>204.196</v>
      </c>
      <c r="R1074" s="48">
        <f>IFERROR(__xludf.DUMMYFUNCTION("""COMPUTED_VALUE"""),7.99)</f>
        <v>7.99</v>
      </c>
      <c r="S1074" s="48">
        <f>IFERROR(__xludf.DUMMYFUNCTION("""COMPUTED_VALUE"""),7.8)</f>
        <v>7.8</v>
      </c>
      <c r="T1074" s="48">
        <f>IFERROR(__xludf.DUMMYFUNCTION("""COMPUTED_VALUE"""),7.94)</f>
        <v>7.94</v>
      </c>
      <c r="U1074" s="48">
        <f>IFERROR(__xludf.DUMMYFUNCTION("""COMPUTED_VALUE"""),7.88)</f>
        <v>7.88</v>
      </c>
      <c r="V1074" s="48">
        <f>IFERROR(__xludf.DUMMYFUNCTION("""COMPUTED_VALUE"""),7.35)</f>
        <v>7.35</v>
      </c>
      <c r="W1074" s="14">
        <f>IFERROR(__xludf.DUMMYFUNCTION("""COMPUTED_VALUE"""),7.792)</f>
        <v>7.792</v>
      </c>
      <c r="X1074" s="14">
        <f>IFERROR(__xludf.DUMMYFUNCTION("""COMPUTED_VALUE"""),18.5)</f>
        <v>18.5</v>
      </c>
      <c r="Y1074" s="14">
        <f>IFERROR(__xludf.DUMMYFUNCTION("""COMPUTED_VALUE"""),18.2)</f>
        <v>18.2</v>
      </c>
      <c r="Z1074" s="14">
        <f>IFERROR(__xludf.DUMMYFUNCTION("""COMPUTED_VALUE"""),18.3)</f>
        <v>18.3</v>
      </c>
      <c r="AA1074" s="14">
        <f>IFERROR(__xludf.DUMMYFUNCTION("""COMPUTED_VALUE"""),18.2)</f>
        <v>18.2</v>
      </c>
      <c r="AB1074" s="14">
        <f>IFERROR(__xludf.DUMMYFUNCTION("""COMPUTED_VALUE"""),18.1)</f>
        <v>18.1</v>
      </c>
      <c r="AC1074" s="14">
        <f>IFERROR(__xludf.DUMMYFUNCTION("""COMPUTED_VALUE"""),18.26)</f>
        <v>18.26</v>
      </c>
      <c r="AD1074" s="48">
        <f>IFERROR(__xludf.DUMMYFUNCTION("""COMPUTED_VALUE"""),557.0)</f>
        <v>557</v>
      </c>
      <c r="AE1074" s="48">
        <f>IFERROR(__xludf.DUMMYFUNCTION("""COMPUTED_VALUE"""),576.0)</f>
        <v>576</v>
      </c>
      <c r="AF1074" s="48">
        <f>IFERROR(__xludf.DUMMYFUNCTION("""COMPUTED_VALUE"""),539.0)</f>
        <v>539</v>
      </c>
      <c r="AG1074" s="48">
        <f>IFERROR(__xludf.DUMMYFUNCTION("""COMPUTED_VALUE"""),542.0)</f>
        <v>542</v>
      </c>
      <c r="AH1074" s="48">
        <f>IFERROR(__xludf.DUMMYFUNCTION("""COMPUTED_VALUE"""),518.0)</f>
        <v>518</v>
      </c>
      <c r="AI1074" s="14">
        <f>IFERROR(__xludf.DUMMYFUNCTION("""COMPUTED_VALUE"""),546.4)</f>
        <v>546.4</v>
      </c>
      <c r="AJ1074" s="14">
        <f>IFERROR(__xludf.DUMMYFUNCTION("""COMPUTED_VALUE"""),3.68)</f>
        <v>3.68</v>
      </c>
      <c r="AK1074" s="14">
        <f>IFERROR(__xludf.DUMMYFUNCTION("""COMPUTED_VALUE"""),3.12)</f>
        <v>3.12</v>
      </c>
      <c r="AL1074" s="14">
        <f>IFERROR(__xludf.DUMMYFUNCTION("""COMPUTED_VALUE"""),3.46)</f>
        <v>3.46</v>
      </c>
      <c r="AM1074" s="14">
        <f>IFERROR(__xludf.DUMMYFUNCTION("""COMPUTED_VALUE"""),3.18)</f>
        <v>3.18</v>
      </c>
      <c r="AN1074" s="14">
        <f>IFERROR(__xludf.DUMMYFUNCTION("""COMPUTED_VALUE"""),3.65)</f>
        <v>3.65</v>
      </c>
      <c r="AO1074" s="14">
        <f>IFERROR(__xludf.DUMMYFUNCTION("""COMPUTED_VALUE"""),3.418)</f>
        <v>3.418</v>
      </c>
      <c r="AP1074" s="14">
        <f>IFERROR(__xludf.DUMMYFUNCTION("""COMPUTED_VALUE"""),94.0)</f>
        <v>94</v>
      </c>
      <c r="AQ1074" s="14">
        <f>IFERROR(__xludf.DUMMYFUNCTION("""COMPUTED_VALUE"""),209.0)</f>
        <v>209</v>
      </c>
      <c r="AR1074" s="14">
        <f>IFERROR(__xludf.DUMMYFUNCTION("""COMPUTED_VALUE"""),123.0)</f>
        <v>123</v>
      </c>
      <c r="AS1074" s="14">
        <f>IFERROR(__xludf.DUMMYFUNCTION("""COMPUTED_VALUE"""),12.9)</f>
        <v>12.9</v>
      </c>
      <c r="AT1074" s="14">
        <f>IFERROR(__xludf.DUMMYFUNCTION("""COMPUTED_VALUE"""),3.51)</f>
        <v>3.51</v>
      </c>
      <c r="AU1074" s="14">
        <f>IFERROR(__xludf.DUMMYFUNCTION("""COMPUTED_VALUE"""),1.198E7)</f>
        <v>11980000</v>
      </c>
      <c r="AV1074" s="14">
        <f>IFERROR(__xludf.DUMMYFUNCTION("""COMPUTED_VALUE"""),3.99)</f>
        <v>3.99</v>
      </c>
      <c r="AW1074" s="14">
        <f>IFERROR(__xludf.DUMMYFUNCTION("""COMPUTED_VALUE"""),28.0)</f>
        <v>28</v>
      </c>
      <c r="AX1074" s="14">
        <f>IFERROR(__xludf.DUMMYFUNCTION("""COMPUTED_VALUE"""),7120000.0)</f>
        <v>7120000</v>
      </c>
      <c r="AY1074" s="14">
        <f>IFERROR(__xludf.DUMMYFUNCTION("""COMPUTED_VALUE"""),0.7)</f>
        <v>0.7</v>
      </c>
      <c r="AZ1074" s="14">
        <f>IFERROR(__xludf.DUMMYFUNCTION("""COMPUTED_VALUE"""),0.007)</f>
        <v>0.007</v>
      </c>
      <c r="BA1074" s="14">
        <f t="shared" si="1"/>
        <v>28.707</v>
      </c>
    </row>
    <row r="1075" ht="14.25" customHeight="1">
      <c r="A1075" s="10" t="str">
        <f>IFERROR(__xludf.DUMMYFUNCTION("""COMPUTED_VALUE"""),"270524FE02")</f>
        <v>270524FE02</v>
      </c>
      <c r="B1075" s="12" t="str">
        <f>IFERROR(__xludf.DUMMYFUNCTION("""COMPUTED_VALUE"""),"QLI-San Francisco")</f>
        <v>QLI-San Francisco</v>
      </c>
      <c r="C1075" s="12"/>
      <c r="D1075" s="12"/>
      <c r="E1075" s="44">
        <f>IFERROR(__xludf.DUMMYFUNCTION("""COMPUTED_VALUE"""),45439.0)</f>
        <v>45439</v>
      </c>
      <c r="F1075" s="12" t="str">
        <f>IFERROR(__xludf.DUMMYFUNCTION("""COMPUTED_VALUE"""),"TIPO I")</f>
        <v>TIPO I</v>
      </c>
      <c r="G1075" s="12" t="str">
        <f>IFERROR(__xludf.DUMMYFUNCTION("""COMPUTED_VALUE"""),"Monitoreo realizado en canal natural con lecho rocoso, areno y vegetación arbórea; Durante la toma de muestra se observa color y se percibe olor.
Altitud: 2593 msnm")</f>
        <v>Monitoreo realizado en canal natural con lecho rocoso, areno y vegetación arbórea; Durante la toma de muestra se observa color y se percibe olor.
Altitud: 2593 msnm</v>
      </c>
      <c r="H1075" s="45">
        <f>IFERROR(__xludf.DUMMYFUNCTION("""COMPUTED_VALUE"""),0.4166666666678793)</f>
        <v>0.4166666667</v>
      </c>
      <c r="I1075" s="45">
        <f>IFERROR(__xludf.DUMMYFUNCTION("""COMPUTED_VALUE"""),0.5)</f>
        <v>0.5</v>
      </c>
      <c r="J1075" s="12">
        <f>IFERROR(__xludf.DUMMYFUNCTION("""COMPUTED_VALUE"""),1.6)</f>
        <v>1.6</v>
      </c>
      <c r="K1075" s="12">
        <f>IFERROR(__xludf.DUMMYFUNCTION("""COMPUTED_VALUE"""),0.14)</f>
        <v>0.14</v>
      </c>
      <c r="L1075" s="14">
        <f>IFERROR(__xludf.DUMMYFUNCTION("""COMPUTED_VALUE"""),43.016)</f>
        <v>43.016</v>
      </c>
      <c r="M1075" s="14">
        <f>IFERROR(__xludf.DUMMYFUNCTION("""COMPUTED_VALUE"""),43.355)</f>
        <v>43.355</v>
      </c>
      <c r="N1075" s="14">
        <f>IFERROR(__xludf.DUMMYFUNCTION("""COMPUTED_VALUE"""),43.522)</f>
        <v>43.522</v>
      </c>
      <c r="O1075" s="14">
        <f>IFERROR(__xludf.DUMMYFUNCTION("""COMPUTED_VALUE"""),43.169)</f>
        <v>43.169</v>
      </c>
      <c r="P1075" s="14">
        <f>IFERROR(__xludf.DUMMYFUNCTION("""COMPUTED_VALUE"""),44.232)</f>
        <v>44.232</v>
      </c>
      <c r="Q1075" s="14">
        <f>IFERROR(__xludf.DUMMYFUNCTION("""COMPUTED_VALUE"""),43.459)</f>
        <v>43.459</v>
      </c>
      <c r="R1075" s="48">
        <f>IFERROR(__xludf.DUMMYFUNCTION("""COMPUTED_VALUE"""),8.07)</f>
        <v>8.07</v>
      </c>
      <c r="S1075" s="48">
        <f>IFERROR(__xludf.DUMMYFUNCTION("""COMPUTED_VALUE"""),7.96)</f>
        <v>7.96</v>
      </c>
      <c r="T1075" s="48">
        <f>IFERROR(__xludf.DUMMYFUNCTION("""COMPUTED_VALUE"""),7.8)</f>
        <v>7.8</v>
      </c>
      <c r="U1075" s="48">
        <f>IFERROR(__xludf.DUMMYFUNCTION("""COMPUTED_VALUE"""),7.99)</f>
        <v>7.99</v>
      </c>
      <c r="V1075" s="48">
        <f>IFERROR(__xludf.DUMMYFUNCTION("""COMPUTED_VALUE"""),8.11)</f>
        <v>8.11</v>
      </c>
      <c r="W1075" s="14">
        <f>IFERROR(__xludf.DUMMYFUNCTION("""COMPUTED_VALUE"""),7.986)</f>
        <v>7.986</v>
      </c>
      <c r="X1075" s="14">
        <f>IFERROR(__xludf.DUMMYFUNCTION("""COMPUTED_VALUE"""),16.9)</f>
        <v>16.9</v>
      </c>
      <c r="Y1075" s="14">
        <f>IFERROR(__xludf.DUMMYFUNCTION("""COMPUTED_VALUE"""),16.8)</f>
        <v>16.8</v>
      </c>
      <c r="Z1075" s="14">
        <f>IFERROR(__xludf.DUMMYFUNCTION("""COMPUTED_VALUE"""),17.1)</f>
        <v>17.1</v>
      </c>
      <c r="AA1075" s="14">
        <f>IFERROR(__xludf.DUMMYFUNCTION("""COMPUTED_VALUE"""),17.4)</f>
        <v>17.4</v>
      </c>
      <c r="AB1075" s="14">
        <f>IFERROR(__xludf.DUMMYFUNCTION("""COMPUTED_VALUE"""),17.8)</f>
        <v>17.8</v>
      </c>
      <c r="AC1075" s="14">
        <f>IFERROR(__xludf.DUMMYFUNCTION("""COMPUTED_VALUE"""),17.2)</f>
        <v>17.2</v>
      </c>
      <c r="AD1075" s="48">
        <f>IFERROR(__xludf.DUMMYFUNCTION("""COMPUTED_VALUE"""),409.0)</f>
        <v>409</v>
      </c>
      <c r="AE1075" s="48">
        <f>IFERROR(__xludf.DUMMYFUNCTION("""COMPUTED_VALUE"""),377.0)</f>
        <v>377</v>
      </c>
      <c r="AF1075" s="48">
        <f>IFERROR(__xludf.DUMMYFUNCTION("""COMPUTED_VALUE"""),414.0)</f>
        <v>414</v>
      </c>
      <c r="AG1075" s="48">
        <f>IFERROR(__xludf.DUMMYFUNCTION("""COMPUTED_VALUE"""),382.0)</f>
        <v>382</v>
      </c>
      <c r="AH1075" s="48">
        <f>IFERROR(__xludf.DUMMYFUNCTION("""COMPUTED_VALUE"""),411.0)</f>
        <v>411</v>
      </c>
      <c r="AI1075" s="14">
        <f>IFERROR(__xludf.DUMMYFUNCTION("""COMPUTED_VALUE"""),398.6)</f>
        <v>398.6</v>
      </c>
      <c r="AJ1075" s="14">
        <f>IFERROR(__xludf.DUMMYFUNCTION("""COMPUTED_VALUE"""),3.83)</f>
        <v>3.83</v>
      </c>
      <c r="AK1075" s="14">
        <f>IFERROR(__xludf.DUMMYFUNCTION("""COMPUTED_VALUE"""),4.07)</f>
        <v>4.07</v>
      </c>
      <c r="AL1075" s="14">
        <f>IFERROR(__xludf.DUMMYFUNCTION("""COMPUTED_VALUE"""),4.0)</f>
        <v>4</v>
      </c>
      <c r="AM1075" s="14">
        <f>IFERROR(__xludf.DUMMYFUNCTION("""COMPUTED_VALUE"""),3.69)</f>
        <v>3.69</v>
      </c>
      <c r="AN1075" s="14">
        <f>IFERROR(__xludf.DUMMYFUNCTION("""COMPUTED_VALUE"""),3.43)</f>
        <v>3.43</v>
      </c>
      <c r="AO1075" s="14">
        <f>IFERROR(__xludf.DUMMYFUNCTION("""COMPUTED_VALUE"""),3.804)</f>
        <v>3.804</v>
      </c>
      <c r="AP1075" s="14">
        <f>IFERROR(__xludf.DUMMYFUNCTION("""COMPUTED_VALUE"""),15.0)</f>
        <v>15</v>
      </c>
      <c r="AQ1075" s="14">
        <f>IFERROR(__xludf.DUMMYFUNCTION("""COMPUTED_VALUE"""),61.0)</f>
        <v>61</v>
      </c>
      <c r="AR1075" s="14">
        <f>IFERROR(__xludf.DUMMYFUNCTION("""COMPUTED_VALUE"""),33.0)</f>
        <v>33</v>
      </c>
      <c r="AS1075" s="14">
        <f>IFERROR(__xludf.DUMMYFUNCTION("""COMPUTED_VALUE"""),11.0)</f>
        <v>11</v>
      </c>
      <c r="AT1075" s="14">
        <f>IFERROR(__xludf.DUMMYFUNCTION("""COMPUTED_VALUE"""),0.31)</f>
        <v>0.31</v>
      </c>
      <c r="AU1075" s="14">
        <f>IFERROR(__xludf.DUMMYFUNCTION("""COMPUTED_VALUE"""),1187000.0)</f>
        <v>1187000</v>
      </c>
      <c r="AV1075" s="14">
        <f>IFERROR(__xludf.DUMMYFUNCTION("""COMPUTED_VALUE"""),2.15)</f>
        <v>2.15</v>
      </c>
      <c r="AW1075" s="14">
        <f>IFERROR(__xludf.DUMMYFUNCTION("""COMPUTED_VALUE"""),14.0)</f>
        <v>14</v>
      </c>
      <c r="AX1075" s="14">
        <f>IFERROR(__xludf.DUMMYFUNCTION("""COMPUTED_VALUE"""),932000.0)</f>
        <v>932000</v>
      </c>
      <c r="AY1075" s="14">
        <f>IFERROR(__xludf.DUMMYFUNCTION("""COMPUTED_VALUE"""),1.7)</f>
        <v>1.7</v>
      </c>
      <c r="AZ1075" s="14">
        <f>IFERROR(__xludf.DUMMYFUNCTION("""COMPUTED_VALUE"""),0.652)</f>
        <v>0.652</v>
      </c>
      <c r="BA1075" s="14">
        <f t="shared" si="1"/>
        <v>16.352</v>
      </c>
    </row>
    <row r="1076" ht="14.25" customHeight="1">
      <c r="A1076" s="10" t="str">
        <f>IFERROR(__xludf.DUMMYFUNCTION("""COMPUTED_VALUE"""),"280524FE01")</f>
        <v>280524FE01</v>
      </c>
      <c r="B1076" s="12" t="str">
        <f>IFERROR(__xludf.DUMMYFUNCTION("""COMPUTED_VALUE"""),"QZA-Meissen")</f>
        <v>QZA-Meissen</v>
      </c>
      <c r="C1076" s="12"/>
      <c r="D1076" s="12"/>
      <c r="E1076" s="44">
        <f>IFERROR(__xludf.DUMMYFUNCTION("""COMPUTED_VALUE"""),45440.0)</f>
        <v>45440</v>
      </c>
      <c r="F1076" s="12" t="str">
        <f>IFERROR(__xludf.DUMMYFUNCTION("""COMPUTED_VALUE"""),"TIPO I")</f>
        <v>TIPO I</v>
      </c>
      <c r="G1076" s="12" t="str">
        <f>IFERROR(__xludf.DUMMYFUNCTION("""COMPUTED_VALUE"""),"Monitoreo realizado en canal con estructura en concreto con lecho rocoso y lodos, vegetación arbórea; Durante la toma de muestra se observa material flotante, residuos sólidos, color y se percibe olor. 
Altitud: 2564 msnm")</f>
        <v>Monitoreo realizado en canal con estructura en concreto con lecho rocoso y lodos, vegetación arbórea; Durante la toma de muestra se observa material flotante, residuos sólidos, color y se percibe olor. 
Altitud: 2564 msnm</v>
      </c>
      <c r="H1076" s="45">
        <f>IFERROR(__xludf.DUMMYFUNCTION("""COMPUTED_VALUE"""),0.3333333333321207)</f>
        <v>0.3333333333</v>
      </c>
      <c r="I1076" s="45">
        <f>IFERROR(__xludf.DUMMYFUNCTION("""COMPUTED_VALUE"""),0.4166666666678793)</f>
        <v>0.4166666667</v>
      </c>
      <c r="J1076" s="12">
        <f>IFERROR(__xludf.DUMMYFUNCTION("""COMPUTED_VALUE"""),12.0)</f>
        <v>12</v>
      </c>
      <c r="K1076" s="12">
        <f>IFERROR(__xludf.DUMMYFUNCTION("""COMPUTED_VALUE"""),0.1)</f>
        <v>0.1</v>
      </c>
      <c r="L1076" s="14">
        <f>IFERROR(__xludf.DUMMYFUNCTION("""COMPUTED_VALUE"""),538.8)</f>
        <v>538.8</v>
      </c>
      <c r="M1076" s="14">
        <f>IFERROR(__xludf.DUMMYFUNCTION("""COMPUTED_VALUE"""),540.164)</f>
        <v>540.164</v>
      </c>
      <c r="N1076" s="14">
        <f>IFERROR(__xludf.DUMMYFUNCTION("""COMPUTED_VALUE"""),536.137)</f>
        <v>536.137</v>
      </c>
      <c r="O1076" s="14">
        <f>IFERROR(__xludf.DUMMYFUNCTION("""COMPUTED_VALUE"""),537.6)</f>
        <v>537.6</v>
      </c>
      <c r="P1076" s="14">
        <f>IFERROR(__xludf.DUMMYFUNCTION("""COMPUTED_VALUE"""),540.197)</f>
        <v>540.197</v>
      </c>
      <c r="Q1076" s="14">
        <f>IFERROR(__xludf.DUMMYFUNCTION("""COMPUTED_VALUE"""),538.58)</f>
        <v>538.58</v>
      </c>
      <c r="R1076" s="48">
        <f>IFERROR(__xludf.DUMMYFUNCTION("""COMPUTED_VALUE"""),7.75)</f>
        <v>7.75</v>
      </c>
      <c r="S1076" s="48">
        <f>IFERROR(__xludf.DUMMYFUNCTION("""COMPUTED_VALUE"""),7.93)</f>
        <v>7.93</v>
      </c>
      <c r="T1076" s="48">
        <f>IFERROR(__xludf.DUMMYFUNCTION("""COMPUTED_VALUE"""),7.89)</f>
        <v>7.89</v>
      </c>
      <c r="U1076" s="48">
        <f>IFERROR(__xludf.DUMMYFUNCTION("""COMPUTED_VALUE"""),7.61)</f>
        <v>7.61</v>
      </c>
      <c r="V1076" s="48">
        <f>IFERROR(__xludf.DUMMYFUNCTION("""COMPUTED_VALUE"""),7.8)</f>
        <v>7.8</v>
      </c>
      <c r="W1076" s="14">
        <f>IFERROR(__xludf.DUMMYFUNCTION("""COMPUTED_VALUE"""),7.795999999999999)</f>
        <v>7.796</v>
      </c>
      <c r="X1076" s="14">
        <f>IFERROR(__xludf.DUMMYFUNCTION("""COMPUTED_VALUE"""),18.2)</f>
        <v>18.2</v>
      </c>
      <c r="Y1076" s="14">
        <f>IFERROR(__xludf.DUMMYFUNCTION("""COMPUTED_VALUE"""),18.3)</f>
        <v>18.3</v>
      </c>
      <c r="Z1076" s="14">
        <f>IFERROR(__xludf.DUMMYFUNCTION("""COMPUTED_VALUE"""),20.0)</f>
        <v>20</v>
      </c>
      <c r="AA1076" s="14">
        <f>IFERROR(__xludf.DUMMYFUNCTION("""COMPUTED_VALUE"""),19.5)</f>
        <v>19.5</v>
      </c>
      <c r="AB1076" s="14">
        <f>IFERROR(__xludf.DUMMYFUNCTION("""COMPUTED_VALUE"""),19.3)</f>
        <v>19.3</v>
      </c>
      <c r="AC1076" s="14">
        <f>IFERROR(__xludf.DUMMYFUNCTION("""COMPUTED_VALUE"""),19.06)</f>
        <v>19.06</v>
      </c>
      <c r="AD1076" s="48">
        <f>IFERROR(__xludf.DUMMYFUNCTION("""COMPUTED_VALUE"""),455.0)</f>
        <v>455</v>
      </c>
      <c r="AE1076" s="48">
        <f>IFERROR(__xludf.DUMMYFUNCTION("""COMPUTED_VALUE"""),445.0)</f>
        <v>445</v>
      </c>
      <c r="AF1076" s="48">
        <f>IFERROR(__xludf.DUMMYFUNCTION("""COMPUTED_VALUE"""),451.0)</f>
        <v>451</v>
      </c>
      <c r="AG1076" s="48">
        <f>IFERROR(__xludf.DUMMYFUNCTION("""COMPUTED_VALUE"""),408.0)</f>
        <v>408</v>
      </c>
      <c r="AH1076" s="48">
        <f>IFERROR(__xludf.DUMMYFUNCTION("""COMPUTED_VALUE"""),419.0)</f>
        <v>419</v>
      </c>
      <c r="AI1076" s="14">
        <f>IFERROR(__xludf.DUMMYFUNCTION("""COMPUTED_VALUE"""),435.6)</f>
        <v>435.6</v>
      </c>
      <c r="AJ1076" s="14">
        <f>IFERROR(__xludf.DUMMYFUNCTION("""COMPUTED_VALUE"""),1.38)</f>
        <v>1.38</v>
      </c>
      <c r="AK1076" s="14">
        <f>IFERROR(__xludf.DUMMYFUNCTION("""COMPUTED_VALUE"""),1.29)</f>
        <v>1.29</v>
      </c>
      <c r="AL1076" s="14">
        <f>IFERROR(__xludf.DUMMYFUNCTION("""COMPUTED_VALUE"""),1.3)</f>
        <v>1.3</v>
      </c>
      <c r="AM1076" s="14">
        <f>IFERROR(__xludf.DUMMYFUNCTION("""COMPUTED_VALUE"""),1.57)</f>
        <v>1.57</v>
      </c>
      <c r="AN1076" s="14">
        <f>IFERROR(__xludf.DUMMYFUNCTION("""COMPUTED_VALUE"""),1.47)</f>
        <v>1.47</v>
      </c>
      <c r="AO1076" s="14">
        <f>IFERROR(__xludf.DUMMYFUNCTION("""COMPUTED_VALUE"""),1.402)</f>
        <v>1.402</v>
      </c>
      <c r="AP1076" s="14">
        <f>IFERROR(__xludf.DUMMYFUNCTION("""COMPUTED_VALUE"""),42.0)</f>
        <v>42</v>
      </c>
      <c r="AQ1076" s="14">
        <f>IFERROR(__xludf.DUMMYFUNCTION("""COMPUTED_VALUE"""),119.0)</f>
        <v>119</v>
      </c>
      <c r="AR1076" s="14">
        <f>IFERROR(__xludf.DUMMYFUNCTION("""COMPUTED_VALUE"""),42.0)</f>
        <v>42</v>
      </c>
      <c r="AS1076" s="14">
        <f>IFERROR(__xludf.DUMMYFUNCTION("""COMPUTED_VALUE"""),14.8)</f>
        <v>14.8</v>
      </c>
      <c r="AT1076" s="14">
        <f>IFERROR(__xludf.DUMMYFUNCTION("""COMPUTED_VALUE"""),0.66)</f>
        <v>0.66</v>
      </c>
      <c r="AU1076" s="14">
        <f>IFERROR(__xludf.DUMMYFUNCTION("""COMPUTED_VALUE"""),1.059E7)</f>
        <v>10590000</v>
      </c>
      <c r="AV1076" s="14">
        <f>IFERROR(__xludf.DUMMYFUNCTION("""COMPUTED_VALUE"""),3.18)</f>
        <v>3.18</v>
      </c>
      <c r="AW1076" s="14">
        <f>IFERROR(__xludf.DUMMYFUNCTION("""COMPUTED_VALUE"""),28.0)</f>
        <v>28</v>
      </c>
      <c r="AX1076" s="14">
        <f>IFERROR(__xludf.DUMMYFUNCTION("""COMPUTED_VALUE"""),4390000.0)</f>
        <v>4390000</v>
      </c>
      <c r="AY1076" s="14">
        <f>IFERROR(__xludf.DUMMYFUNCTION("""COMPUTED_VALUE"""),0.6)</f>
        <v>0.6</v>
      </c>
      <c r="AZ1076" s="14">
        <f>IFERROR(__xludf.DUMMYFUNCTION("""COMPUTED_VALUE"""),0.007)</f>
        <v>0.007</v>
      </c>
      <c r="BA1076" s="14">
        <f t="shared" si="1"/>
        <v>28.607</v>
      </c>
    </row>
    <row r="1077" ht="14.25" customHeight="1">
      <c r="A1077" s="10" t="str">
        <f>IFERROR(__xludf.DUMMYFUNCTION("""COMPUTED_VALUE"""),"270524WI02")</f>
        <v>270524WI02</v>
      </c>
      <c r="B1077" s="12" t="str">
        <f>IFERROR(__xludf.DUMMYFUNCTION("""COMPUTED_VALUE"""),"QLI-Bella Flor")</f>
        <v>QLI-Bella Flor</v>
      </c>
      <c r="C1077" s="12"/>
      <c r="D1077" s="12"/>
      <c r="E1077" s="44">
        <f>IFERROR(__xludf.DUMMYFUNCTION("""COMPUTED_VALUE"""),45439.0)</f>
        <v>45439</v>
      </c>
      <c r="F1077" s="12" t="str">
        <f>IFERROR(__xludf.DUMMYFUNCTION("""COMPUTED_VALUE"""),"TIPO I")</f>
        <v>TIPO I</v>
      </c>
      <c r="G1077" s="12" t="str">
        <f>IFERROR(__xludf.DUMMYFUNCTION("""COMPUTED_VALUE"""),"Monitoreo realizado en canal con lecho natural rocoso y arenoso; durante la toma de muestra se observa color y residuos sólidos en el lecho  los costados del  canal, se percibe olor. 
Altitud: 2799 msnm")</f>
        <v>Monitoreo realizado en canal con lecho natural rocoso y arenoso; durante la toma de muestra se observa color y residuos sólidos en el lecho  los costados del  canal, se percibe olor. 
Altitud: 2799 msnm</v>
      </c>
      <c r="H1077" s="45">
        <f>IFERROR(__xludf.DUMMYFUNCTION("""COMPUTED_VALUE"""),0.5)</f>
        <v>0.5</v>
      </c>
      <c r="I1077" s="45">
        <f>IFERROR(__xludf.DUMMYFUNCTION("""COMPUTED_VALUE"""),0.5833333333321207)</f>
        <v>0.5833333333</v>
      </c>
      <c r="J1077" s="12">
        <f>IFERROR(__xludf.DUMMYFUNCTION("""COMPUTED_VALUE"""),0.5)</f>
        <v>0.5</v>
      </c>
      <c r="K1077" s="12">
        <f>IFERROR(__xludf.DUMMYFUNCTION("""COMPUTED_VALUE"""),0.12)</f>
        <v>0.12</v>
      </c>
      <c r="L1077" s="14">
        <f>IFERROR(__xludf.DUMMYFUNCTION("""COMPUTED_VALUE"""),20.622)</f>
        <v>20.622</v>
      </c>
      <c r="M1077" s="14">
        <f>IFERROR(__xludf.DUMMYFUNCTION("""COMPUTED_VALUE"""),22.923)</f>
        <v>22.923</v>
      </c>
      <c r="N1077" s="14">
        <f>IFERROR(__xludf.DUMMYFUNCTION("""COMPUTED_VALUE"""),22.659)</f>
        <v>22.659</v>
      </c>
      <c r="O1077" s="14">
        <f>IFERROR(__xludf.DUMMYFUNCTION("""COMPUTED_VALUE"""),23.29)</f>
        <v>23.29</v>
      </c>
      <c r="P1077" s="14">
        <f>IFERROR(__xludf.DUMMYFUNCTION("""COMPUTED_VALUE"""),22.997)</f>
        <v>22.997</v>
      </c>
      <c r="Q1077" s="14">
        <f>IFERROR(__xludf.DUMMYFUNCTION("""COMPUTED_VALUE"""),22.498)</f>
        <v>22.498</v>
      </c>
      <c r="R1077" s="48">
        <f>IFERROR(__xludf.DUMMYFUNCTION("""COMPUTED_VALUE"""),7.24)</f>
        <v>7.24</v>
      </c>
      <c r="S1077" s="48">
        <f>IFERROR(__xludf.DUMMYFUNCTION("""COMPUTED_VALUE"""),7.22)</f>
        <v>7.22</v>
      </c>
      <c r="T1077" s="48">
        <f>IFERROR(__xludf.DUMMYFUNCTION("""COMPUTED_VALUE"""),7.23)</f>
        <v>7.23</v>
      </c>
      <c r="U1077" s="48">
        <f>IFERROR(__xludf.DUMMYFUNCTION("""COMPUTED_VALUE"""),7.19)</f>
        <v>7.19</v>
      </c>
      <c r="V1077" s="48">
        <f>IFERROR(__xludf.DUMMYFUNCTION("""COMPUTED_VALUE"""),7.21)</f>
        <v>7.21</v>
      </c>
      <c r="W1077" s="14">
        <f>IFERROR(__xludf.DUMMYFUNCTION("""COMPUTED_VALUE"""),7.218000000000001)</f>
        <v>7.218</v>
      </c>
      <c r="X1077" s="14">
        <f>IFERROR(__xludf.DUMMYFUNCTION("""COMPUTED_VALUE"""),17.2)</f>
        <v>17.2</v>
      </c>
      <c r="Y1077" s="14">
        <f>IFERROR(__xludf.DUMMYFUNCTION("""COMPUTED_VALUE"""),17.2)</f>
        <v>17.2</v>
      </c>
      <c r="Z1077" s="14">
        <f>IFERROR(__xludf.DUMMYFUNCTION("""COMPUTED_VALUE"""),16.9)</f>
        <v>16.9</v>
      </c>
      <c r="AA1077" s="14">
        <f>IFERROR(__xludf.DUMMYFUNCTION("""COMPUTED_VALUE"""),16.7)</f>
        <v>16.7</v>
      </c>
      <c r="AB1077" s="14">
        <f>IFERROR(__xludf.DUMMYFUNCTION("""COMPUTED_VALUE"""),17.0)</f>
        <v>17</v>
      </c>
      <c r="AC1077" s="14">
        <f>IFERROR(__xludf.DUMMYFUNCTION("""COMPUTED_VALUE"""),17.0)</f>
        <v>17</v>
      </c>
      <c r="AD1077" s="48">
        <f>IFERROR(__xludf.DUMMYFUNCTION("""COMPUTED_VALUE"""),430.0)</f>
        <v>430</v>
      </c>
      <c r="AE1077" s="48">
        <f>IFERROR(__xludf.DUMMYFUNCTION("""COMPUTED_VALUE"""),432.0)</f>
        <v>432</v>
      </c>
      <c r="AF1077" s="48">
        <f>IFERROR(__xludf.DUMMYFUNCTION("""COMPUTED_VALUE"""),438.0)</f>
        <v>438</v>
      </c>
      <c r="AG1077" s="48">
        <f>IFERROR(__xludf.DUMMYFUNCTION("""COMPUTED_VALUE"""),432.0)</f>
        <v>432</v>
      </c>
      <c r="AH1077" s="48">
        <f>IFERROR(__xludf.DUMMYFUNCTION("""COMPUTED_VALUE"""),434.0)</f>
        <v>434</v>
      </c>
      <c r="AI1077" s="14">
        <f>IFERROR(__xludf.DUMMYFUNCTION("""COMPUTED_VALUE"""),433.2)</f>
        <v>433.2</v>
      </c>
      <c r="AJ1077" s="14">
        <f>IFERROR(__xludf.DUMMYFUNCTION("""COMPUTED_VALUE"""),5.86)</f>
        <v>5.86</v>
      </c>
      <c r="AK1077" s="14">
        <f>IFERROR(__xludf.DUMMYFUNCTION("""COMPUTED_VALUE"""),5.65)</f>
        <v>5.65</v>
      </c>
      <c r="AL1077" s="14">
        <f>IFERROR(__xludf.DUMMYFUNCTION("""COMPUTED_VALUE"""),5.21)</f>
        <v>5.21</v>
      </c>
      <c r="AM1077" s="14">
        <f>IFERROR(__xludf.DUMMYFUNCTION("""COMPUTED_VALUE"""),5.43)</f>
        <v>5.43</v>
      </c>
      <c r="AN1077" s="14">
        <f>IFERROR(__xludf.DUMMYFUNCTION("""COMPUTED_VALUE"""),5.58)</f>
        <v>5.58</v>
      </c>
      <c r="AO1077" s="14">
        <f>IFERROR(__xludf.DUMMYFUNCTION("""COMPUTED_VALUE"""),5.546000000000001)</f>
        <v>5.546</v>
      </c>
      <c r="AP1077" s="14">
        <f>IFERROR(__xludf.DUMMYFUNCTION("""COMPUTED_VALUE"""),19.0)</f>
        <v>19</v>
      </c>
      <c r="AQ1077" s="14">
        <f>IFERROR(__xludf.DUMMYFUNCTION("""COMPUTED_VALUE"""),107.0)</f>
        <v>107</v>
      </c>
      <c r="AR1077" s="14">
        <f>IFERROR(__xludf.DUMMYFUNCTION("""COMPUTED_VALUE"""),72.0)</f>
        <v>72</v>
      </c>
      <c r="AS1077" s="14">
        <f>IFERROR(__xludf.DUMMYFUNCTION("""COMPUTED_VALUE"""),13.8)</f>
        <v>13.8</v>
      </c>
      <c r="AT1077" s="14">
        <f>IFERROR(__xludf.DUMMYFUNCTION("""COMPUTED_VALUE"""),0.29)</f>
        <v>0.29</v>
      </c>
      <c r="AU1077" s="14">
        <f>IFERROR(__xludf.DUMMYFUNCTION("""COMPUTED_VALUE"""),1.819E7)</f>
        <v>18190000</v>
      </c>
      <c r="AV1077" s="14">
        <f>IFERROR(__xludf.DUMMYFUNCTION("""COMPUTED_VALUE"""),1.97)</f>
        <v>1.97</v>
      </c>
      <c r="AW1077" s="14">
        <f>IFERROR(__xludf.DUMMYFUNCTION("""COMPUTED_VALUE"""),16.0)</f>
        <v>16</v>
      </c>
      <c r="AX1077" s="14">
        <f>IFERROR(__xludf.DUMMYFUNCTION("""COMPUTED_VALUE"""),1.731E7)</f>
        <v>17310000</v>
      </c>
      <c r="AY1077" s="14">
        <f>IFERROR(__xludf.DUMMYFUNCTION("""COMPUTED_VALUE"""),0.7)</f>
        <v>0.7</v>
      </c>
      <c r="AZ1077" s="14">
        <f>IFERROR(__xludf.DUMMYFUNCTION("""COMPUTED_VALUE"""),0.007)</f>
        <v>0.007</v>
      </c>
      <c r="BA1077" s="14">
        <f t="shared" si="1"/>
        <v>16.707</v>
      </c>
    </row>
    <row r="1078" ht="14.25" customHeight="1">
      <c r="A1078" s="10" t="str">
        <f>IFERROR(__xludf.DUMMYFUNCTION("""COMPUTED_VALUE"""),"280524FM02")</f>
        <v>280524FM02</v>
      </c>
      <c r="B1078" s="12" t="str">
        <f>IFERROR(__xludf.DUMMYFUNCTION("""COMPUTED_VALUE"""),"QZA-Quindio")</f>
        <v>QZA-Quindio</v>
      </c>
      <c r="C1078" s="12"/>
      <c r="D1078" s="12"/>
      <c r="E1078" s="44">
        <f>IFERROR(__xludf.DUMMYFUNCTION("""COMPUTED_VALUE"""),45440.0)</f>
        <v>45440</v>
      </c>
      <c r="F1078" s="12" t="str">
        <f>IFERROR(__xludf.DUMMYFUNCTION("""COMPUTED_VALUE"""),"TIPO I")</f>
        <v>TIPO I</v>
      </c>
      <c r="G1078" s="12" t="str">
        <f>IFERROR(__xludf.DUMMYFUNCTION("""COMPUTED_VALUE"""),"Monitoreo realizado durante la toma de muestra no se observa color ni se percibe olor.  
Altitud: 2943 msnm")</f>
        <v>Monitoreo realizado durante la toma de muestra no se observa color ni se percibe olor.  
Altitud: 2943 msnm</v>
      </c>
      <c r="H1078" s="45">
        <f>IFERROR(__xludf.DUMMYFUNCTION("""COMPUTED_VALUE"""),0.4166666666678793)</f>
        <v>0.4166666667</v>
      </c>
      <c r="I1078" s="45">
        <f>IFERROR(__xludf.DUMMYFUNCTION("""COMPUTED_VALUE"""),0.5)</f>
        <v>0.5</v>
      </c>
      <c r="J1078" s="12">
        <f>IFERROR(__xludf.DUMMYFUNCTION("""COMPUTED_VALUE"""),0.52)</f>
        <v>0.52</v>
      </c>
      <c r="K1078" s="12">
        <f>IFERROR(__xludf.DUMMYFUNCTION("""COMPUTED_VALUE"""),0.1)</f>
        <v>0.1</v>
      </c>
      <c r="L1078" s="14">
        <f>IFERROR(__xludf.DUMMYFUNCTION("""COMPUTED_VALUE"""),18.22)</f>
        <v>18.22</v>
      </c>
      <c r="M1078" s="14">
        <f>IFERROR(__xludf.DUMMYFUNCTION("""COMPUTED_VALUE"""),17.416)</f>
        <v>17.416</v>
      </c>
      <c r="N1078" s="14">
        <f>IFERROR(__xludf.DUMMYFUNCTION("""COMPUTED_VALUE"""),17.628)</f>
        <v>17.628</v>
      </c>
      <c r="O1078" s="14">
        <f>IFERROR(__xludf.DUMMYFUNCTION("""COMPUTED_VALUE"""),18.391)</f>
        <v>18.391</v>
      </c>
      <c r="P1078" s="14">
        <f>IFERROR(__xludf.DUMMYFUNCTION("""COMPUTED_VALUE"""),18.509)</f>
        <v>18.509</v>
      </c>
      <c r="Q1078" s="14">
        <f>IFERROR(__xludf.DUMMYFUNCTION("""COMPUTED_VALUE"""),18.033)</f>
        <v>18.033</v>
      </c>
      <c r="R1078" s="48">
        <f>IFERROR(__xludf.DUMMYFUNCTION("""COMPUTED_VALUE"""),6.16)</f>
        <v>6.16</v>
      </c>
      <c r="S1078" s="48">
        <f>IFERROR(__xludf.DUMMYFUNCTION("""COMPUTED_VALUE"""),6.26)</f>
        <v>6.26</v>
      </c>
      <c r="T1078" s="48">
        <f>IFERROR(__xludf.DUMMYFUNCTION("""COMPUTED_VALUE"""),6.56)</f>
        <v>6.56</v>
      </c>
      <c r="U1078" s="48">
        <f>IFERROR(__xludf.DUMMYFUNCTION("""COMPUTED_VALUE"""),6.05)</f>
        <v>6.05</v>
      </c>
      <c r="V1078" s="48">
        <f>IFERROR(__xludf.DUMMYFUNCTION("""COMPUTED_VALUE"""),6.14)</f>
        <v>6.14</v>
      </c>
      <c r="W1078" s="14">
        <f>IFERROR(__xludf.DUMMYFUNCTION("""COMPUTED_VALUE"""),6.234)</f>
        <v>6.234</v>
      </c>
      <c r="X1078" s="14">
        <f>IFERROR(__xludf.DUMMYFUNCTION("""COMPUTED_VALUE"""),12.6)</f>
        <v>12.6</v>
      </c>
      <c r="Y1078" s="14">
        <f>IFERROR(__xludf.DUMMYFUNCTION("""COMPUTED_VALUE"""),12.4)</f>
        <v>12.4</v>
      </c>
      <c r="Z1078" s="14">
        <f>IFERROR(__xludf.DUMMYFUNCTION("""COMPUTED_VALUE"""),12.7)</f>
        <v>12.7</v>
      </c>
      <c r="AA1078" s="14">
        <f>IFERROR(__xludf.DUMMYFUNCTION("""COMPUTED_VALUE"""),12.7)</f>
        <v>12.7</v>
      </c>
      <c r="AB1078" s="14">
        <f>IFERROR(__xludf.DUMMYFUNCTION("""COMPUTED_VALUE"""),12.9)</f>
        <v>12.9</v>
      </c>
      <c r="AC1078" s="14">
        <f>IFERROR(__xludf.DUMMYFUNCTION("""COMPUTED_VALUE"""),12.66)</f>
        <v>12.66</v>
      </c>
      <c r="AD1078" s="48">
        <f>IFERROR(__xludf.DUMMYFUNCTION("""COMPUTED_VALUE"""),33.3)</f>
        <v>33.3</v>
      </c>
      <c r="AE1078" s="48">
        <f>IFERROR(__xludf.DUMMYFUNCTION("""COMPUTED_VALUE"""),27.6)</f>
        <v>27.6</v>
      </c>
      <c r="AF1078" s="48">
        <f>IFERROR(__xludf.DUMMYFUNCTION("""COMPUTED_VALUE"""),27.4)</f>
        <v>27.4</v>
      </c>
      <c r="AG1078" s="48">
        <f>IFERROR(__xludf.DUMMYFUNCTION("""COMPUTED_VALUE"""),37.3)</f>
        <v>37.3</v>
      </c>
      <c r="AH1078" s="48">
        <f>IFERROR(__xludf.DUMMYFUNCTION("""COMPUTED_VALUE"""),30.0)</f>
        <v>30</v>
      </c>
      <c r="AI1078" s="14">
        <f>IFERROR(__xludf.DUMMYFUNCTION("""COMPUTED_VALUE"""),31.119999999999997)</f>
        <v>31.12</v>
      </c>
      <c r="AJ1078" s="14">
        <f>IFERROR(__xludf.DUMMYFUNCTION("""COMPUTED_VALUE"""),6.41)</f>
        <v>6.41</v>
      </c>
      <c r="AK1078" s="14">
        <f>IFERROR(__xludf.DUMMYFUNCTION("""COMPUTED_VALUE"""),6.65)</f>
        <v>6.65</v>
      </c>
      <c r="AL1078" s="14">
        <f>IFERROR(__xludf.DUMMYFUNCTION("""COMPUTED_VALUE"""),6.03)</f>
        <v>6.03</v>
      </c>
      <c r="AM1078" s="14">
        <f>IFERROR(__xludf.DUMMYFUNCTION("""COMPUTED_VALUE"""),6.31)</f>
        <v>6.31</v>
      </c>
      <c r="AN1078" s="14">
        <f>IFERROR(__xludf.DUMMYFUNCTION("""COMPUTED_VALUE"""),6.32)</f>
        <v>6.32</v>
      </c>
      <c r="AO1078" s="14">
        <f>IFERROR(__xludf.DUMMYFUNCTION("""COMPUTED_VALUE"""),6.343999999999999)</f>
        <v>6.344</v>
      </c>
      <c r="AP1078" s="14">
        <f>IFERROR(__xludf.DUMMYFUNCTION("""COMPUTED_VALUE"""),2.0)</f>
        <v>2</v>
      </c>
      <c r="AQ1078" s="14">
        <f>IFERROR(__xludf.DUMMYFUNCTION("""COMPUTED_VALUE"""),11.0)</f>
        <v>11</v>
      </c>
      <c r="AR1078" s="14">
        <f>IFERROR(__xludf.DUMMYFUNCTION("""COMPUTED_VALUE"""),5.0)</f>
        <v>5</v>
      </c>
      <c r="AS1078" s="14">
        <f>IFERROR(__xludf.DUMMYFUNCTION("""COMPUTED_VALUE"""),6.0)</f>
        <v>6</v>
      </c>
      <c r="AT1078" s="14">
        <f>IFERROR(__xludf.DUMMYFUNCTION("""COMPUTED_VALUE"""),0.07)</f>
        <v>0.07</v>
      </c>
      <c r="AU1078" s="14">
        <f>IFERROR(__xludf.DUMMYFUNCTION("""COMPUTED_VALUE"""),2051.0)</f>
        <v>2051</v>
      </c>
      <c r="AV1078" s="14">
        <f>IFERROR(__xludf.DUMMYFUNCTION("""COMPUTED_VALUE"""),0.05)</f>
        <v>0.05</v>
      </c>
      <c r="AW1078" s="14">
        <f>IFERROR(__xludf.DUMMYFUNCTION("""COMPUTED_VALUE"""),1.0)</f>
        <v>1</v>
      </c>
      <c r="AX1078" s="14">
        <f>IFERROR(__xludf.DUMMYFUNCTION("""COMPUTED_VALUE"""),1686.0)</f>
        <v>1686</v>
      </c>
      <c r="AY1078" s="14">
        <f>IFERROR(__xludf.DUMMYFUNCTION("""COMPUTED_VALUE"""),0.6)</f>
        <v>0.6</v>
      </c>
      <c r="AZ1078" s="14">
        <f>IFERROR(__xludf.DUMMYFUNCTION("""COMPUTED_VALUE"""),0.007)</f>
        <v>0.007</v>
      </c>
      <c r="BA1078" s="14">
        <f t="shared" si="1"/>
        <v>1.607</v>
      </c>
    </row>
    <row r="1079" ht="14.25" customHeight="1">
      <c r="A1079" s="10" t="str">
        <f>IFERROR(__xludf.DUMMYFUNCTION("""COMPUTED_VALUE"""),"270524WI01")</f>
        <v>270524WI01</v>
      </c>
      <c r="B1079" s="12" t="str">
        <f>IFERROR(__xludf.DUMMYFUNCTION("""COMPUTED_VALUE"""),"QLI-Villa del Diamante")</f>
        <v>QLI-Villa del Diamante</v>
      </c>
      <c r="C1079" s="12"/>
      <c r="D1079" s="12"/>
      <c r="E1079" s="44">
        <f>IFERROR(__xludf.DUMMYFUNCTION("""COMPUTED_VALUE"""),45439.0)</f>
        <v>45439</v>
      </c>
      <c r="F1079" s="12" t="str">
        <f>IFERROR(__xludf.DUMMYFUNCTION("""COMPUTED_VALUE"""),"TIPO I")</f>
        <v>TIPO I</v>
      </c>
      <c r="G1079" s="12" t="str">
        <f>IFERROR(__xludf.DUMMYFUNCTION("""COMPUTED_VALUE"""),"Toma de muestra en lecho natural rocoso, durante el monitoreo se observa color y se percibe olor. 
Altitud: 2636 msnm. ")</f>
        <v>Toma de muestra en lecho natural rocoso, durante el monitoreo se observa color y se percibe olor. 
Altitud: 2636 msnm. </v>
      </c>
      <c r="H1079" s="45">
        <f>IFERROR(__xludf.DUMMYFUNCTION("""COMPUTED_VALUE"""),0.3333333333321207)</f>
        <v>0.3333333333</v>
      </c>
      <c r="I1079" s="45">
        <f>IFERROR(__xludf.DUMMYFUNCTION("""COMPUTED_VALUE"""),0.4166666666678793)</f>
        <v>0.4166666667</v>
      </c>
      <c r="J1079" s="12">
        <f>IFERROR(__xludf.DUMMYFUNCTION("""COMPUTED_VALUE"""),1.9)</f>
        <v>1.9</v>
      </c>
      <c r="K1079" s="12">
        <f>IFERROR(__xludf.DUMMYFUNCTION("""COMPUTED_VALUE"""),0.07)</f>
        <v>0.07</v>
      </c>
      <c r="L1079" s="14">
        <f>IFERROR(__xludf.DUMMYFUNCTION("""COMPUTED_VALUE"""),35.518)</f>
        <v>35.518</v>
      </c>
      <c r="M1079" s="14">
        <f>IFERROR(__xludf.DUMMYFUNCTION("""COMPUTED_VALUE"""),36.209)</f>
        <v>36.209</v>
      </c>
      <c r="N1079" s="14">
        <f>IFERROR(__xludf.DUMMYFUNCTION("""COMPUTED_VALUE"""),36.883)</f>
        <v>36.883</v>
      </c>
      <c r="O1079" s="14">
        <f>IFERROR(__xludf.DUMMYFUNCTION("""COMPUTED_VALUE"""),37.213)</f>
        <v>37.213</v>
      </c>
      <c r="P1079" s="14">
        <f>IFERROR(__xludf.DUMMYFUNCTION("""COMPUTED_VALUE"""),36.916)</f>
        <v>36.916</v>
      </c>
      <c r="Q1079" s="14">
        <f>IFERROR(__xludf.DUMMYFUNCTION("""COMPUTED_VALUE"""),36.548)</f>
        <v>36.548</v>
      </c>
      <c r="R1079" s="48">
        <f>IFERROR(__xludf.DUMMYFUNCTION("""COMPUTED_VALUE"""),7.45)</f>
        <v>7.45</v>
      </c>
      <c r="S1079" s="48">
        <f>IFERROR(__xludf.DUMMYFUNCTION("""COMPUTED_VALUE"""),7.33)</f>
        <v>7.33</v>
      </c>
      <c r="T1079" s="48">
        <f>IFERROR(__xludf.DUMMYFUNCTION("""COMPUTED_VALUE"""),7.23)</f>
        <v>7.23</v>
      </c>
      <c r="U1079" s="48">
        <f>IFERROR(__xludf.DUMMYFUNCTION("""COMPUTED_VALUE"""),7.35)</f>
        <v>7.35</v>
      </c>
      <c r="V1079" s="48">
        <f>IFERROR(__xludf.DUMMYFUNCTION("""COMPUTED_VALUE"""),7.4)</f>
        <v>7.4</v>
      </c>
      <c r="W1079" s="14">
        <f>IFERROR(__xludf.DUMMYFUNCTION("""COMPUTED_VALUE"""),7.351999999999999)</f>
        <v>7.352</v>
      </c>
      <c r="X1079" s="14">
        <f>IFERROR(__xludf.DUMMYFUNCTION("""COMPUTED_VALUE"""),15.2)</f>
        <v>15.2</v>
      </c>
      <c r="Y1079" s="14">
        <f>IFERROR(__xludf.DUMMYFUNCTION("""COMPUTED_VALUE"""),15.2)</f>
        <v>15.2</v>
      </c>
      <c r="Z1079" s="14">
        <f>IFERROR(__xludf.DUMMYFUNCTION("""COMPUTED_VALUE"""),15.1)</f>
        <v>15.1</v>
      </c>
      <c r="AA1079" s="14">
        <f>IFERROR(__xludf.DUMMYFUNCTION("""COMPUTED_VALUE"""),15.3)</f>
        <v>15.3</v>
      </c>
      <c r="AB1079" s="14">
        <f>IFERROR(__xludf.DUMMYFUNCTION("""COMPUTED_VALUE"""),15.4)</f>
        <v>15.4</v>
      </c>
      <c r="AC1079" s="14">
        <f>IFERROR(__xludf.DUMMYFUNCTION("""COMPUTED_VALUE"""),15.24)</f>
        <v>15.24</v>
      </c>
      <c r="AD1079" s="48">
        <f>IFERROR(__xludf.DUMMYFUNCTION("""COMPUTED_VALUE"""),327.0)</f>
        <v>327</v>
      </c>
      <c r="AE1079" s="48">
        <f>IFERROR(__xludf.DUMMYFUNCTION("""COMPUTED_VALUE"""),322.0)</f>
        <v>322</v>
      </c>
      <c r="AF1079" s="48">
        <f>IFERROR(__xludf.DUMMYFUNCTION("""COMPUTED_VALUE"""),290.0)</f>
        <v>290</v>
      </c>
      <c r="AG1079" s="48">
        <f>IFERROR(__xludf.DUMMYFUNCTION("""COMPUTED_VALUE"""),295.0)</f>
        <v>295</v>
      </c>
      <c r="AH1079" s="48">
        <f>IFERROR(__xludf.DUMMYFUNCTION("""COMPUTED_VALUE"""),303.0)</f>
        <v>303</v>
      </c>
      <c r="AI1079" s="14">
        <f>IFERROR(__xludf.DUMMYFUNCTION("""COMPUTED_VALUE"""),307.4)</f>
        <v>307.4</v>
      </c>
      <c r="AJ1079" s="14">
        <f>IFERROR(__xludf.DUMMYFUNCTION("""COMPUTED_VALUE"""),6.92)</f>
        <v>6.92</v>
      </c>
      <c r="AK1079" s="14">
        <f>IFERROR(__xludf.DUMMYFUNCTION("""COMPUTED_VALUE"""),6.69)</f>
        <v>6.69</v>
      </c>
      <c r="AL1079" s="14">
        <f>IFERROR(__xludf.DUMMYFUNCTION("""COMPUTED_VALUE"""),6.73)</f>
        <v>6.73</v>
      </c>
      <c r="AM1079" s="14">
        <f>IFERROR(__xludf.DUMMYFUNCTION("""COMPUTED_VALUE"""),6.77)</f>
        <v>6.77</v>
      </c>
      <c r="AN1079" s="14">
        <f>IFERROR(__xludf.DUMMYFUNCTION("""COMPUTED_VALUE"""),6.69)</f>
        <v>6.69</v>
      </c>
      <c r="AO1079" s="14">
        <f>IFERROR(__xludf.DUMMYFUNCTION("""COMPUTED_VALUE"""),6.76)</f>
        <v>6.76</v>
      </c>
      <c r="AP1079" s="14">
        <f>IFERROR(__xludf.DUMMYFUNCTION("""COMPUTED_VALUE"""),10.0)</f>
        <v>10</v>
      </c>
      <c r="AQ1079" s="14">
        <f>IFERROR(__xludf.DUMMYFUNCTION("""COMPUTED_VALUE"""),50.0)</f>
        <v>50</v>
      </c>
      <c r="AR1079" s="14">
        <f>IFERROR(__xludf.DUMMYFUNCTION("""COMPUTED_VALUE"""),173.0)</f>
        <v>173</v>
      </c>
      <c r="AS1079" s="14">
        <f>IFERROR(__xludf.DUMMYFUNCTION("""COMPUTED_VALUE"""),1.0)</f>
        <v>1</v>
      </c>
      <c r="AT1079" s="14">
        <f>IFERROR(__xludf.DUMMYFUNCTION("""COMPUTED_VALUE"""),0.17)</f>
        <v>0.17</v>
      </c>
      <c r="AU1079" s="14">
        <f>IFERROR(__xludf.DUMMYFUNCTION("""COMPUTED_VALUE"""),204600.0)</f>
        <v>204600</v>
      </c>
      <c r="AV1079" s="14">
        <f>IFERROR(__xludf.DUMMYFUNCTION("""COMPUTED_VALUE"""),1.1)</f>
        <v>1.1</v>
      </c>
      <c r="AW1079" s="14">
        <f>IFERROR(__xludf.DUMMYFUNCTION("""COMPUTED_VALUE"""),8.1)</f>
        <v>8.1</v>
      </c>
      <c r="AX1079" s="14">
        <f>IFERROR(__xludf.DUMMYFUNCTION("""COMPUTED_VALUE"""),140100.0)</f>
        <v>140100</v>
      </c>
      <c r="AY1079" s="14">
        <f>IFERROR(__xludf.DUMMYFUNCTION("""COMPUTED_VALUE"""),3.7)</f>
        <v>3.7</v>
      </c>
      <c r="AZ1079" s="14">
        <f>IFERROR(__xludf.DUMMYFUNCTION("""COMPUTED_VALUE"""),0.504)</f>
        <v>0.504</v>
      </c>
      <c r="BA1079" s="14">
        <f t="shared" si="1"/>
        <v>12.304</v>
      </c>
    </row>
    <row r="1080" ht="14.25" customHeight="1">
      <c r="A1080" s="10" t="str">
        <f>IFERROR(__xludf.DUMMYFUNCTION("""COMPUTED_VALUE"""),"290524WI01")</f>
        <v>290524WI01</v>
      </c>
      <c r="B1080" s="12" t="str">
        <f>IFERROR(__xludf.DUMMYFUNCTION("""COMPUTED_VALUE"""),"CMO-Santa Ana")</f>
        <v>CMO-Santa Ana</v>
      </c>
      <c r="C1080" s="12"/>
      <c r="D1080" s="12"/>
      <c r="E1080" s="44">
        <f>IFERROR(__xludf.DUMMYFUNCTION("""COMPUTED_VALUE"""),45441.0)</f>
        <v>45441</v>
      </c>
      <c r="F1080" s="12" t="str">
        <f>IFERROR(__xludf.DUMMYFUNCTION("""COMPUTED_VALUE"""),"TIPO I")</f>
        <v>TIPO I</v>
      </c>
      <c r="G1080" s="12" t="str">
        <f>IFERROR(__xludf.DUMMYFUNCTION("""COMPUTED_VALUE"""),"Canal en concreto, rocoso-arenoso, durante el monitoreo se observa color y se percibe olor. Altitud: 2564 msnm. ")</f>
        <v>Canal en concreto, rocoso-arenoso, durante el monitoreo se observa color y se percibe olor. Altitud: 2564 msnm. </v>
      </c>
      <c r="H1080" s="45">
        <f>IFERROR(__xludf.DUMMYFUNCTION("""COMPUTED_VALUE"""),0.25)</f>
        <v>0.25</v>
      </c>
      <c r="I1080" s="45">
        <f>IFERROR(__xludf.DUMMYFUNCTION("""COMPUTED_VALUE"""),0.3333333333321207)</f>
        <v>0.3333333333</v>
      </c>
      <c r="J1080" s="12">
        <f>IFERROR(__xludf.DUMMYFUNCTION("""COMPUTED_VALUE"""),3.2)</f>
        <v>3.2</v>
      </c>
      <c r="K1080" s="12">
        <f>IFERROR(__xludf.DUMMYFUNCTION("""COMPUTED_VALUE"""),0.13)</f>
        <v>0.13</v>
      </c>
      <c r="L1080" s="14">
        <f>IFERROR(__xludf.DUMMYFUNCTION("""COMPUTED_VALUE"""),144.87)</f>
        <v>144.87</v>
      </c>
      <c r="M1080" s="14">
        <f>IFERROR(__xludf.DUMMYFUNCTION("""COMPUTED_VALUE"""),146.29)</f>
        <v>146.29</v>
      </c>
      <c r="N1080" s="14">
        <f>IFERROR(__xludf.DUMMYFUNCTION("""COMPUTED_VALUE"""),150.78)</f>
        <v>150.78</v>
      </c>
      <c r="O1080" s="14">
        <f>IFERROR(__xludf.DUMMYFUNCTION("""COMPUTED_VALUE"""),156.674)</f>
        <v>156.674</v>
      </c>
      <c r="P1080" s="14">
        <f>IFERROR(__xludf.DUMMYFUNCTION("""COMPUTED_VALUE"""),163.798)</f>
        <v>163.798</v>
      </c>
      <c r="Q1080" s="14">
        <f>IFERROR(__xludf.DUMMYFUNCTION("""COMPUTED_VALUE"""),152.482)</f>
        <v>152.482</v>
      </c>
      <c r="R1080" s="48">
        <f>IFERROR(__xludf.DUMMYFUNCTION("""COMPUTED_VALUE"""),7.51)</f>
        <v>7.51</v>
      </c>
      <c r="S1080" s="48">
        <f>IFERROR(__xludf.DUMMYFUNCTION("""COMPUTED_VALUE"""),7.56)</f>
        <v>7.56</v>
      </c>
      <c r="T1080" s="48">
        <f>IFERROR(__xludf.DUMMYFUNCTION("""COMPUTED_VALUE"""),7.59)</f>
        <v>7.59</v>
      </c>
      <c r="U1080" s="48">
        <f>IFERROR(__xludf.DUMMYFUNCTION("""COMPUTED_VALUE"""),7.46)</f>
        <v>7.46</v>
      </c>
      <c r="V1080" s="48">
        <f>IFERROR(__xludf.DUMMYFUNCTION("""COMPUTED_VALUE"""),7.54)</f>
        <v>7.54</v>
      </c>
      <c r="W1080" s="14">
        <f>IFERROR(__xludf.DUMMYFUNCTION("""COMPUTED_VALUE"""),7.532000000000001)</f>
        <v>7.532</v>
      </c>
      <c r="X1080" s="14">
        <f>IFERROR(__xludf.DUMMYFUNCTION("""COMPUTED_VALUE"""),17.5)</f>
        <v>17.5</v>
      </c>
      <c r="Y1080" s="14">
        <f>IFERROR(__xludf.DUMMYFUNCTION("""COMPUTED_VALUE"""),17.0)</f>
        <v>17</v>
      </c>
      <c r="Z1080" s="14">
        <f>IFERROR(__xludf.DUMMYFUNCTION("""COMPUTED_VALUE"""),17.5)</f>
        <v>17.5</v>
      </c>
      <c r="AA1080" s="14">
        <f>IFERROR(__xludf.DUMMYFUNCTION("""COMPUTED_VALUE"""),17.7)</f>
        <v>17.7</v>
      </c>
      <c r="AB1080" s="14">
        <f>IFERROR(__xludf.DUMMYFUNCTION("""COMPUTED_VALUE"""),17.5)</f>
        <v>17.5</v>
      </c>
      <c r="AC1080" s="14">
        <f>IFERROR(__xludf.DUMMYFUNCTION("""COMPUTED_VALUE"""),17.44)</f>
        <v>17.44</v>
      </c>
      <c r="AD1080" s="48">
        <f>IFERROR(__xludf.DUMMYFUNCTION("""COMPUTED_VALUE"""),200.0)</f>
        <v>200</v>
      </c>
      <c r="AE1080" s="48">
        <f>IFERROR(__xludf.DUMMYFUNCTION("""COMPUTED_VALUE"""),206.0)</f>
        <v>206</v>
      </c>
      <c r="AF1080" s="48">
        <f>IFERROR(__xludf.DUMMYFUNCTION("""COMPUTED_VALUE"""),193.0)</f>
        <v>193</v>
      </c>
      <c r="AG1080" s="48">
        <f>IFERROR(__xludf.DUMMYFUNCTION("""COMPUTED_VALUE"""),185.0)</f>
        <v>185</v>
      </c>
      <c r="AH1080" s="48">
        <f>IFERROR(__xludf.DUMMYFUNCTION("""COMPUTED_VALUE"""),192.1)</f>
        <v>192.1</v>
      </c>
      <c r="AI1080" s="14">
        <f>IFERROR(__xludf.DUMMYFUNCTION("""COMPUTED_VALUE"""),195.22)</f>
        <v>195.22</v>
      </c>
      <c r="AJ1080" s="14">
        <f>IFERROR(__xludf.DUMMYFUNCTION("""COMPUTED_VALUE"""),4.13)</f>
        <v>4.13</v>
      </c>
      <c r="AK1080" s="14">
        <f>IFERROR(__xludf.DUMMYFUNCTION("""COMPUTED_VALUE"""),4.33)</f>
        <v>4.33</v>
      </c>
      <c r="AL1080" s="14">
        <f>IFERROR(__xludf.DUMMYFUNCTION("""COMPUTED_VALUE"""),4.29)</f>
        <v>4.29</v>
      </c>
      <c r="AM1080" s="14">
        <f>IFERROR(__xludf.DUMMYFUNCTION("""COMPUTED_VALUE"""),3.54)</f>
        <v>3.54</v>
      </c>
      <c r="AN1080" s="14">
        <f>IFERROR(__xludf.DUMMYFUNCTION("""COMPUTED_VALUE"""),3.09)</f>
        <v>3.09</v>
      </c>
      <c r="AO1080" s="14">
        <f>IFERROR(__xludf.DUMMYFUNCTION("""COMPUTED_VALUE"""),3.876)</f>
        <v>3.876</v>
      </c>
      <c r="AP1080" s="14">
        <f>IFERROR(__xludf.DUMMYFUNCTION("""COMPUTED_VALUE"""),36.0)</f>
        <v>36</v>
      </c>
      <c r="AQ1080" s="14">
        <f>IFERROR(__xludf.DUMMYFUNCTION("""COMPUTED_VALUE"""),89.0)</f>
        <v>89</v>
      </c>
      <c r="AR1080" s="14">
        <f>IFERROR(__xludf.DUMMYFUNCTION("""COMPUTED_VALUE"""),53.0)</f>
        <v>53</v>
      </c>
      <c r="AS1080" s="14">
        <f>IFERROR(__xludf.DUMMYFUNCTION("""COMPUTED_VALUE"""),1.0)</f>
        <v>1</v>
      </c>
      <c r="AT1080" s="14">
        <f>IFERROR(__xludf.DUMMYFUNCTION("""COMPUTED_VALUE"""),1.86)</f>
        <v>1.86</v>
      </c>
      <c r="AU1080" s="14">
        <f>IFERROR(__xludf.DUMMYFUNCTION("""COMPUTED_VALUE"""),2105000.0)</f>
        <v>2105000</v>
      </c>
      <c r="AV1080" s="14">
        <f>IFERROR(__xludf.DUMMYFUNCTION("""COMPUTED_VALUE"""),0.8)</f>
        <v>0.8</v>
      </c>
      <c r="AW1080" s="14">
        <f>IFERROR(__xludf.DUMMYFUNCTION("""COMPUTED_VALUE"""),13.4)</f>
        <v>13.4</v>
      </c>
      <c r="AX1080" s="14">
        <f>IFERROR(__xludf.DUMMYFUNCTION("""COMPUTED_VALUE"""),860000.0)</f>
        <v>860000</v>
      </c>
      <c r="AY1080" s="14">
        <f>IFERROR(__xludf.DUMMYFUNCTION("""COMPUTED_VALUE"""),0.7)</f>
        <v>0.7</v>
      </c>
      <c r="AZ1080" s="14">
        <f>IFERROR(__xludf.DUMMYFUNCTION("""COMPUTED_VALUE"""),0.007)</f>
        <v>0.007</v>
      </c>
      <c r="BA1080" s="14">
        <f t="shared" si="1"/>
        <v>14.107</v>
      </c>
    </row>
    <row r="1081" ht="14.25" customHeight="1">
      <c r="A1081" s="10" t="str">
        <f>IFERROR(__xludf.DUMMYFUNCTION("""COMPUTED_VALUE"""),"290524WI02")</f>
        <v>290524WI02</v>
      </c>
      <c r="B1081" s="12" t="str">
        <f>IFERROR(__xludf.DUMMYFUNCTION("""COMPUTED_VALUE"""),"CMO-Cantón Norte")</f>
        <v>CMO-Cantón Norte</v>
      </c>
      <c r="C1081" s="12"/>
      <c r="D1081" s="12"/>
      <c r="E1081" s="44">
        <f>IFERROR(__xludf.DUMMYFUNCTION("""COMPUTED_VALUE"""),45441.0)</f>
        <v>45441</v>
      </c>
      <c r="F1081" s="12" t="str">
        <f>IFERROR(__xludf.DUMMYFUNCTION("""COMPUTED_VALUE"""),"TIPO I")</f>
        <v>TIPO I</v>
      </c>
      <c r="G1081" s="12" t="str">
        <f>IFERROR(__xludf.DUMMYFUNCTION("""COMPUTED_VALUE"""),"Monitoreo realizado en canal en concreto con lecho rocoso y arenoso; durante la toma de muestra se observa color y se percibe olor.
Altitud: 2983 msnm")</f>
        <v>Monitoreo realizado en canal en concreto con lecho rocoso y arenoso; durante la toma de muestra se observa color y se percibe olor.
Altitud: 2983 msnm</v>
      </c>
      <c r="H1081" s="45">
        <f>IFERROR(__xludf.DUMMYFUNCTION("""COMPUTED_VALUE"""),0.4166666666678793)</f>
        <v>0.4166666667</v>
      </c>
      <c r="I1081" s="45">
        <f>IFERROR(__xludf.DUMMYFUNCTION("""COMPUTED_VALUE"""),0.5)</f>
        <v>0.5</v>
      </c>
      <c r="J1081" s="12">
        <f>IFERROR(__xludf.DUMMYFUNCTION("""COMPUTED_VALUE"""),1.8)</f>
        <v>1.8</v>
      </c>
      <c r="K1081" s="12">
        <f>IFERROR(__xludf.DUMMYFUNCTION("""COMPUTED_VALUE"""),0.16)</f>
        <v>0.16</v>
      </c>
      <c r="L1081" s="14">
        <f>IFERROR(__xludf.DUMMYFUNCTION("""COMPUTED_VALUE"""),90.013)</f>
        <v>90.013</v>
      </c>
      <c r="M1081" s="14">
        <f>IFERROR(__xludf.DUMMYFUNCTION("""COMPUTED_VALUE"""),93.99)</f>
        <v>93.99</v>
      </c>
      <c r="N1081" s="14">
        <f>IFERROR(__xludf.DUMMYFUNCTION("""COMPUTED_VALUE"""),94.686)</f>
        <v>94.686</v>
      </c>
      <c r="O1081" s="14">
        <f>IFERROR(__xludf.DUMMYFUNCTION("""COMPUTED_VALUE"""),103.687)</f>
        <v>103.687</v>
      </c>
      <c r="P1081" s="14">
        <f>IFERROR(__xludf.DUMMYFUNCTION("""COMPUTED_VALUE"""),112.104)</f>
        <v>112.104</v>
      </c>
      <c r="Q1081" s="14">
        <f>IFERROR(__xludf.DUMMYFUNCTION("""COMPUTED_VALUE"""),98.896)</f>
        <v>98.896</v>
      </c>
      <c r="R1081" s="48">
        <f>IFERROR(__xludf.DUMMYFUNCTION("""COMPUTED_VALUE"""),7.89)</f>
        <v>7.89</v>
      </c>
      <c r="S1081" s="48">
        <f>IFERROR(__xludf.DUMMYFUNCTION("""COMPUTED_VALUE"""),8.01)</f>
        <v>8.01</v>
      </c>
      <c r="T1081" s="48">
        <f>IFERROR(__xludf.DUMMYFUNCTION("""COMPUTED_VALUE"""),7.33)</f>
        <v>7.33</v>
      </c>
      <c r="U1081" s="48">
        <f>IFERROR(__xludf.DUMMYFUNCTION("""COMPUTED_VALUE"""),7.7)</f>
        <v>7.7</v>
      </c>
      <c r="V1081" s="48">
        <f>IFERROR(__xludf.DUMMYFUNCTION("""COMPUTED_VALUE"""),7.66)</f>
        <v>7.66</v>
      </c>
      <c r="W1081" s="14">
        <f>IFERROR(__xludf.DUMMYFUNCTION("""COMPUTED_VALUE"""),7.717999999999999)</f>
        <v>7.718</v>
      </c>
      <c r="X1081" s="14">
        <f>IFERROR(__xludf.DUMMYFUNCTION("""COMPUTED_VALUE"""),17.0)</f>
        <v>17</v>
      </c>
      <c r="Y1081" s="14">
        <f>IFERROR(__xludf.DUMMYFUNCTION("""COMPUTED_VALUE"""),17.2)</f>
        <v>17.2</v>
      </c>
      <c r="Z1081" s="14">
        <f>IFERROR(__xludf.DUMMYFUNCTION("""COMPUTED_VALUE"""),17.6)</f>
        <v>17.6</v>
      </c>
      <c r="AA1081" s="14">
        <f>IFERROR(__xludf.DUMMYFUNCTION("""COMPUTED_VALUE"""),16.5)</f>
        <v>16.5</v>
      </c>
      <c r="AB1081" s="14">
        <f>IFERROR(__xludf.DUMMYFUNCTION("""COMPUTED_VALUE"""),16.8)</f>
        <v>16.8</v>
      </c>
      <c r="AC1081" s="14">
        <f>IFERROR(__xludf.DUMMYFUNCTION("""COMPUTED_VALUE"""),17.020000000000003)</f>
        <v>17.02</v>
      </c>
      <c r="AD1081" s="48">
        <f>IFERROR(__xludf.DUMMYFUNCTION("""COMPUTED_VALUE"""),191.5)</f>
        <v>191.5</v>
      </c>
      <c r="AE1081" s="48">
        <f>IFERROR(__xludf.DUMMYFUNCTION("""COMPUTED_VALUE"""),171.0)</f>
        <v>171</v>
      </c>
      <c r="AF1081" s="48">
        <f>IFERROR(__xludf.DUMMYFUNCTION("""COMPUTED_VALUE"""),170.2)</f>
        <v>170.2</v>
      </c>
      <c r="AG1081" s="48">
        <f>IFERROR(__xludf.DUMMYFUNCTION("""COMPUTED_VALUE"""),168.9)</f>
        <v>168.9</v>
      </c>
      <c r="AH1081" s="48">
        <f>IFERROR(__xludf.DUMMYFUNCTION("""COMPUTED_VALUE"""),147.7)</f>
        <v>147.7</v>
      </c>
      <c r="AI1081" s="14">
        <f>IFERROR(__xludf.DUMMYFUNCTION("""COMPUTED_VALUE"""),169.85999999999999)</f>
        <v>169.86</v>
      </c>
      <c r="AJ1081" s="14">
        <f>IFERROR(__xludf.DUMMYFUNCTION("""COMPUTED_VALUE"""),6.14)</f>
        <v>6.14</v>
      </c>
      <c r="AK1081" s="14">
        <f>IFERROR(__xludf.DUMMYFUNCTION("""COMPUTED_VALUE"""),6.09)</f>
        <v>6.09</v>
      </c>
      <c r="AL1081" s="14">
        <f>IFERROR(__xludf.DUMMYFUNCTION("""COMPUTED_VALUE"""),6.42)</f>
        <v>6.42</v>
      </c>
      <c r="AM1081" s="14">
        <f>IFERROR(__xludf.DUMMYFUNCTION("""COMPUTED_VALUE"""),6.04)</f>
        <v>6.04</v>
      </c>
      <c r="AN1081" s="14">
        <f>IFERROR(__xludf.DUMMYFUNCTION("""COMPUTED_VALUE"""),6.45)</f>
        <v>6.45</v>
      </c>
      <c r="AO1081" s="14">
        <f>IFERROR(__xludf.DUMMYFUNCTION("""COMPUTED_VALUE"""),6.228)</f>
        <v>6.228</v>
      </c>
      <c r="AP1081" s="14">
        <f>IFERROR(__xludf.DUMMYFUNCTION("""COMPUTED_VALUE"""),10.0)</f>
        <v>10</v>
      </c>
      <c r="AQ1081" s="14">
        <f>IFERROR(__xludf.DUMMYFUNCTION("""COMPUTED_VALUE"""),48.0)</f>
        <v>48</v>
      </c>
      <c r="AR1081" s="14">
        <f>IFERROR(__xludf.DUMMYFUNCTION("""COMPUTED_VALUE"""),21.0)</f>
        <v>21</v>
      </c>
      <c r="AS1081" s="14">
        <f>IFERROR(__xludf.DUMMYFUNCTION("""COMPUTED_VALUE"""),1.0)</f>
        <v>1</v>
      </c>
      <c r="AT1081" s="14">
        <f>IFERROR(__xludf.DUMMYFUNCTION("""COMPUTED_VALUE"""),0.23)</f>
        <v>0.23</v>
      </c>
      <c r="AU1081" s="14">
        <f>IFERROR(__xludf.DUMMYFUNCTION("""COMPUTED_VALUE"""),1689000.0)</f>
        <v>1689000</v>
      </c>
      <c r="AV1081" s="14">
        <f>IFERROR(__xludf.DUMMYFUNCTION("""COMPUTED_VALUE"""),0.64)</f>
        <v>0.64</v>
      </c>
      <c r="AW1081" s="14">
        <f>IFERROR(__xludf.DUMMYFUNCTION("""COMPUTED_VALUE"""),6.7)</f>
        <v>6.7</v>
      </c>
      <c r="AX1081" s="14">
        <f>IFERROR(__xludf.DUMMYFUNCTION("""COMPUTED_VALUE"""),1288000.0)</f>
        <v>1288000</v>
      </c>
      <c r="AY1081" s="14">
        <f>IFERROR(__xludf.DUMMYFUNCTION("""COMPUTED_VALUE"""),1.0)</f>
        <v>1</v>
      </c>
      <c r="AZ1081" s="14">
        <f>IFERROR(__xludf.DUMMYFUNCTION("""COMPUTED_VALUE"""),0.318)</f>
        <v>0.318</v>
      </c>
      <c r="BA1081" s="14">
        <f t="shared" si="1"/>
        <v>8.018</v>
      </c>
    </row>
    <row r="1082" ht="14.25" customHeight="1">
      <c r="A1082" s="10" t="str">
        <f>IFERROR(__xludf.DUMMYFUNCTION("""COMPUTED_VALUE"""),"040724DU01")</f>
        <v>040724DU01</v>
      </c>
      <c r="B1082" s="12" t="str">
        <f>IFERROR(__xludf.DUMMYFUNCTION("""COMPUTED_VALUE"""),"QZA-Meissen")</f>
        <v>QZA-Meissen</v>
      </c>
      <c r="C1082" s="12"/>
      <c r="D1082" s="12"/>
      <c r="E1082" s="44">
        <f>IFERROR(__xludf.DUMMYFUNCTION("""COMPUTED_VALUE"""),45477.0)</f>
        <v>45477</v>
      </c>
      <c r="F1082" s="12" t="str">
        <f>IFERROR(__xludf.DUMMYFUNCTION("""COMPUTED_VALUE"""),"TIPO I")</f>
        <v>TIPO I</v>
      </c>
      <c r="G1082" s="12" t="str">
        <f>IFERROR(__xludf.DUMMYFUNCTION("""COMPUTED_VALUE"""),"Canal artificial en concreto con sedimento y algas en el lecho, se percibe olor, no se observa color, se observan residuos solidos en el cauce")</f>
        <v>Canal artificial en concreto con sedimento y algas en el lecho, se percibe olor, no se observa color, se observan residuos solidos en el cauce</v>
      </c>
      <c r="H1082" s="45">
        <f>IFERROR(__xludf.DUMMYFUNCTION("""COMPUTED_VALUE"""),0.25)</f>
        <v>0.25</v>
      </c>
      <c r="I1082" s="45">
        <f>IFERROR(__xludf.DUMMYFUNCTION("""COMPUTED_VALUE"""),0.3333333333321207)</f>
        <v>0.3333333333</v>
      </c>
      <c r="J1082" s="12">
        <f>IFERROR(__xludf.DUMMYFUNCTION("""COMPUTED_VALUE"""),12.0)</f>
        <v>12</v>
      </c>
      <c r="K1082" s="12">
        <f>IFERROR(__xludf.DUMMYFUNCTION("""COMPUTED_VALUE"""),0.08)</f>
        <v>0.08</v>
      </c>
      <c r="L1082" s="14">
        <f>IFERROR(__xludf.DUMMYFUNCTION("""COMPUTED_VALUE"""),264.426)</f>
        <v>264.426</v>
      </c>
      <c r="M1082" s="14">
        <f>IFERROR(__xludf.DUMMYFUNCTION("""COMPUTED_VALUE"""),265.087)</f>
        <v>265.087</v>
      </c>
      <c r="N1082" s="14">
        <f>IFERROR(__xludf.DUMMYFUNCTION("""COMPUTED_VALUE"""),266.776)</f>
        <v>266.776</v>
      </c>
      <c r="O1082" s="14">
        <f>IFERROR(__xludf.DUMMYFUNCTION("""COMPUTED_VALUE"""),266.315)</f>
        <v>266.315</v>
      </c>
      <c r="P1082" s="14">
        <f>IFERROR(__xludf.DUMMYFUNCTION("""COMPUTED_VALUE"""),267.099)</f>
        <v>267.099</v>
      </c>
      <c r="Q1082" s="14">
        <f>IFERROR(__xludf.DUMMYFUNCTION("""COMPUTED_VALUE"""),265.941)</f>
        <v>265.941</v>
      </c>
      <c r="R1082" s="48">
        <f>IFERROR(__xludf.DUMMYFUNCTION("""COMPUTED_VALUE"""),6.79)</f>
        <v>6.79</v>
      </c>
      <c r="S1082" s="48">
        <f>IFERROR(__xludf.DUMMYFUNCTION("""COMPUTED_VALUE"""),6.81)</f>
        <v>6.81</v>
      </c>
      <c r="T1082" s="48">
        <f>IFERROR(__xludf.DUMMYFUNCTION("""COMPUTED_VALUE"""),6.93)</f>
        <v>6.93</v>
      </c>
      <c r="U1082" s="48">
        <f>IFERROR(__xludf.DUMMYFUNCTION("""COMPUTED_VALUE"""),6.8)</f>
        <v>6.8</v>
      </c>
      <c r="V1082" s="48">
        <f>IFERROR(__xludf.DUMMYFUNCTION("""COMPUTED_VALUE"""),6.89)</f>
        <v>6.89</v>
      </c>
      <c r="W1082" s="14">
        <f>IFERROR(__xludf.DUMMYFUNCTION("""COMPUTED_VALUE"""),6.843999999999999)</f>
        <v>6.844</v>
      </c>
      <c r="X1082" s="14">
        <f>IFERROR(__xludf.DUMMYFUNCTION("""COMPUTED_VALUE"""),14.6)</f>
        <v>14.6</v>
      </c>
      <c r="Y1082" s="14">
        <f>IFERROR(__xludf.DUMMYFUNCTION("""COMPUTED_VALUE"""),12.3)</f>
        <v>12.3</v>
      </c>
      <c r="Z1082" s="14">
        <f>IFERROR(__xludf.DUMMYFUNCTION("""COMPUTED_VALUE"""),14.6)</f>
        <v>14.6</v>
      </c>
      <c r="AA1082" s="14">
        <f>IFERROR(__xludf.DUMMYFUNCTION("""COMPUTED_VALUE"""),14.8)</f>
        <v>14.8</v>
      </c>
      <c r="AB1082" s="14">
        <f>IFERROR(__xludf.DUMMYFUNCTION("""COMPUTED_VALUE"""),14.8)</f>
        <v>14.8</v>
      </c>
      <c r="AC1082" s="14">
        <f>IFERROR(__xludf.DUMMYFUNCTION("""COMPUTED_VALUE"""),14.219999999999999)</f>
        <v>14.22</v>
      </c>
      <c r="AD1082" s="48">
        <f>IFERROR(__xludf.DUMMYFUNCTION("""COMPUTED_VALUE"""),344.0)</f>
        <v>344</v>
      </c>
      <c r="AE1082" s="48">
        <f>IFERROR(__xludf.DUMMYFUNCTION("""COMPUTED_VALUE"""),341.0)</f>
        <v>341</v>
      </c>
      <c r="AF1082" s="48">
        <f>IFERROR(__xludf.DUMMYFUNCTION("""COMPUTED_VALUE"""),350.0)</f>
        <v>350</v>
      </c>
      <c r="AG1082" s="48">
        <f>IFERROR(__xludf.DUMMYFUNCTION("""COMPUTED_VALUE"""),346.0)</f>
        <v>346</v>
      </c>
      <c r="AH1082" s="48">
        <f>IFERROR(__xludf.DUMMYFUNCTION("""COMPUTED_VALUE"""),344.0)</f>
        <v>344</v>
      </c>
      <c r="AI1082" s="14">
        <f>IFERROR(__xludf.DUMMYFUNCTION("""COMPUTED_VALUE"""),345.0)</f>
        <v>345</v>
      </c>
      <c r="AJ1082" s="14">
        <f>IFERROR(__xludf.DUMMYFUNCTION("""COMPUTED_VALUE"""),2.92)</f>
        <v>2.92</v>
      </c>
      <c r="AK1082" s="14">
        <f>IFERROR(__xludf.DUMMYFUNCTION("""COMPUTED_VALUE"""),3.48)</f>
        <v>3.48</v>
      </c>
      <c r="AL1082" s="14">
        <f>IFERROR(__xludf.DUMMYFUNCTION("""COMPUTED_VALUE"""),3.49)</f>
        <v>3.49</v>
      </c>
      <c r="AM1082" s="14">
        <f>IFERROR(__xludf.DUMMYFUNCTION("""COMPUTED_VALUE"""),3.3)</f>
        <v>3.3</v>
      </c>
      <c r="AN1082" s="14">
        <f>IFERROR(__xludf.DUMMYFUNCTION("""COMPUTED_VALUE"""),3.43)</f>
        <v>3.43</v>
      </c>
      <c r="AO1082" s="14">
        <f>IFERROR(__xludf.DUMMYFUNCTION("""COMPUTED_VALUE"""),3.3240000000000003)</f>
        <v>3.324</v>
      </c>
      <c r="AP1082" s="14">
        <f>IFERROR(__xludf.DUMMYFUNCTION("""COMPUTED_VALUE"""),47.0)</f>
        <v>47</v>
      </c>
      <c r="AQ1082" s="14">
        <f>IFERROR(__xludf.DUMMYFUNCTION("""COMPUTED_VALUE"""),77.0)</f>
        <v>77</v>
      </c>
      <c r="AR1082" s="14">
        <f>IFERROR(__xludf.DUMMYFUNCTION("""COMPUTED_VALUE"""),65.0)</f>
        <v>65</v>
      </c>
      <c r="AS1082" s="14">
        <f>IFERROR(__xludf.DUMMYFUNCTION("""COMPUTED_VALUE"""),10.5)</f>
        <v>10.5</v>
      </c>
      <c r="AT1082" s="14">
        <f>IFERROR(__xludf.DUMMYFUNCTION("""COMPUTED_VALUE"""),1.59)</f>
        <v>1.59</v>
      </c>
      <c r="AU1082" s="14">
        <f>IFERROR(__xludf.DUMMYFUNCTION("""COMPUTED_VALUE"""),8000000.0)</f>
        <v>8000000</v>
      </c>
      <c r="AV1082" s="14">
        <f>IFERROR(__xludf.DUMMYFUNCTION("""COMPUTED_VALUE"""),1.37)</f>
        <v>1.37</v>
      </c>
      <c r="AW1082" s="14">
        <f>IFERROR(__xludf.DUMMYFUNCTION("""COMPUTED_VALUE"""),12.6)</f>
        <v>12.6</v>
      </c>
      <c r="AX1082" s="14">
        <f>IFERROR(__xludf.DUMMYFUNCTION("""COMPUTED_VALUE"""),5210000.0)</f>
        <v>5210000</v>
      </c>
      <c r="AY1082" s="14">
        <f>IFERROR(__xludf.DUMMYFUNCTION("""COMPUTED_VALUE"""),0.5)</f>
        <v>0.5</v>
      </c>
      <c r="AZ1082" s="14">
        <f>IFERROR(__xludf.DUMMYFUNCTION("""COMPUTED_VALUE"""),0.007)</f>
        <v>0.007</v>
      </c>
      <c r="BA1082" s="14">
        <f t="shared" si="1"/>
        <v>13.107</v>
      </c>
    </row>
    <row r="1083" ht="14.25" customHeight="1">
      <c r="A1083" s="10" t="str">
        <f>IFERROR(__xludf.DUMMYFUNCTION("""COMPUTED_VALUE"""),"040724FE01")</f>
        <v>040724FE01</v>
      </c>
      <c r="B1083" s="12" t="str">
        <f>IFERROR(__xludf.DUMMYFUNCTION("""COMPUTED_VALUE"""),"QSL-Portal Usme")</f>
        <v>QSL-Portal Usme</v>
      </c>
      <c r="C1083" s="12"/>
      <c r="D1083" s="12"/>
      <c r="E1083" s="44">
        <f>IFERROR(__xludf.DUMMYFUNCTION("""COMPUTED_VALUE"""),45477.0)</f>
        <v>45477</v>
      </c>
      <c r="F1083" s="12" t="str">
        <f>IFERROR(__xludf.DUMMYFUNCTION("""COMPUTED_VALUE"""),"TIPO I")</f>
        <v>TIPO I</v>
      </c>
      <c r="G1083" s="12" t="str">
        <f>IFERROR(__xludf.DUMMYFUNCTION("""COMPUTED_VALUE"""),"Durante el monitoreo se observa color y se percibe olor, canal en concreto")</f>
        <v>Durante el monitoreo se observa color y se percibe olor, canal en concreto</v>
      </c>
      <c r="H1083" s="45">
        <f>IFERROR(__xludf.DUMMYFUNCTION("""COMPUTED_VALUE"""),0.25)</f>
        <v>0.25</v>
      </c>
      <c r="I1083" s="45">
        <f>IFERROR(__xludf.DUMMYFUNCTION("""COMPUTED_VALUE"""),0.3333333333321207)</f>
        <v>0.3333333333</v>
      </c>
      <c r="J1083" s="12">
        <f>IFERROR(__xludf.DUMMYFUNCTION("""COMPUTED_VALUE"""),1.8)</f>
        <v>1.8</v>
      </c>
      <c r="K1083" s="12">
        <f>IFERROR(__xludf.DUMMYFUNCTION("""COMPUTED_VALUE"""),0.11)</f>
        <v>0.11</v>
      </c>
      <c r="L1083" s="14">
        <f>IFERROR(__xludf.DUMMYFUNCTION("""COMPUTED_VALUE"""),80.46)</f>
        <v>80.46</v>
      </c>
      <c r="M1083" s="14">
        <f>IFERROR(__xludf.DUMMYFUNCTION("""COMPUTED_VALUE"""),83.72)</f>
        <v>83.72</v>
      </c>
      <c r="N1083" s="14">
        <f>IFERROR(__xludf.DUMMYFUNCTION("""COMPUTED_VALUE"""),86.327)</f>
        <v>86.327</v>
      </c>
      <c r="O1083" s="14">
        <f>IFERROR(__xludf.DUMMYFUNCTION("""COMPUTED_VALUE"""),89.306)</f>
        <v>89.306</v>
      </c>
      <c r="P1083" s="14">
        <f>IFERROR(__xludf.DUMMYFUNCTION("""COMPUTED_VALUE"""),89.932)</f>
        <v>89.932</v>
      </c>
      <c r="Q1083" s="14">
        <f>IFERROR(__xludf.DUMMYFUNCTION("""COMPUTED_VALUE"""),85.949)</f>
        <v>85.949</v>
      </c>
      <c r="R1083" s="48">
        <f>IFERROR(__xludf.DUMMYFUNCTION("""COMPUTED_VALUE"""),7.99)</f>
        <v>7.99</v>
      </c>
      <c r="S1083" s="48">
        <f>IFERROR(__xludf.DUMMYFUNCTION("""COMPUTED_VALUE"""),7.94)</f>
        <v>7.94</v>
      </c>
      <c r="T1083" s="48">
        <f>IFERROR(__xludf.DUMMYFUNCTION("""COMPUTED_VALUE"""),8.01)</f>
        <v>8.01</v>
      </c>
      <c r="U1083" s="48">
        <f>IFERROR(__xludf.DUMMYFUNCTION("""COMPUTED_VALUE"""),7.97)</f>
        <v>7.97</v>
      </c>
      <c r="V1083" s="48">
        <f>IFERROR(__xludf.DUMMYFUNCTION("""COMPUTED_VALUE"""),8.1)</f>
        <v>8.1</v>
      </c>
      <c r="W1083" s="14">
        <f>IFERROR(__xludf.DUMMYFUNCTION("""COMPUTED_VALUE"""),8.001999999999999)</f>
        <v>8.002</v>
      </c>
      <c r="X1083" s="14">
        <f>IFERROR(__xludf.DUMMYFUNCTION("""COMPUTED_VALUE"""),15.8)</f>
        <v>15.8</v>
      </c>
      <c r="Y1083" s="14">
        <f>IFERROR(__xludf.DUMMYFUNCTION("""COMPUTED_VALUE"""),15.6)</f>
        <v>15.6</v>
      </c>
      <c r="Z1083" s="14">
        <f>IFERROR(__xludf.DUMMYFUNCTION("""COMPUTED_VALUE"""),15.7)</f>
        <v>15.7</v>
      </c>
      <c r="AA1083" s="14">
        <f>IFERROR(__xludf.DUMMYFUNCTION("""COMPUTED_VALUE"""),15.5)</f>
        <v>15.5</v>
      </c>
      <c r="AB1083" s="14">
        <f>IFERROR(__xludf.DUMMYFUNCTION("""COMPUTED_VALUE"""),16.3)</f>
        <v>16.3</v>
      </c>
      <c r="AC1083" s="14">
        <f>IFERROR(__xludf.DUMMYFUNCTION("""COMPUTED_VALUE"""),15.779999999999998)</f>
        <v>15.78</v>
      </c>
      <c r="AD1083" s="48">
        <f>IFERROR(__xludf.DUMMYFUNCTION("""COMPUTED_VALUE"""),339.0)</f>
        <v>339</v>
      </c>
      <c r="AE1083" s="48">
        <f>IFERROR(__xludf.DUMMYFUNCTION("""COMPUTED_VALUE"""),346.0)</f>
        <v>346</v>
      </c>
      <c r="AF1083" s="48">
        <f>IFERROR(__xludf.DUMMYFUNCTION("""COMPUTED_VALUE"""),349.0)</f>
        <v>349</v>
      </c>
      <c r="AG1083" s="48">
        <f>IFERROR(__xludf.DUMMYFUNCTION("""COMPUTED_VALUE"""),352.0)</f>
        <v>352</v>
      </c>
      <c r="AH1083" s="48">
        <f>IFERROR(__xludf.DUMMYFUNCTION("""COMPUTED_VALUE"""),370.0)</f>
        <v>370</v>
      </c>
      <c r="AI1083" s="14">
        <f>IFERROR(__xludf.DUMMYFUNCTION("""COMPUTED_VALUE"""),351.2)</f>
        <v>351.2</v>
      </c>
      <c r="AJ1083" s="14">
        <f>IFERROR(__xludf.DUMMYFUNCTION("""COMPUTED_VALUE"""),4.32)</f>
        <v>4.32</v>
      </c>
      <c r="AK1083" s="14">
        <f>IFERROR(__xludf.DUMMYFUNCTION("""COMPUTED_VALUE"""),4.55)</f>
        <v>4.55</v>
      </c>
      <c r="AL1083" s="14">
        <f>IFERROR(__xludf.DUMMYFUNCTION("""COMPUTED_VALUE"""),3.82)</f>
        <v>3.82</v>
      </c>
      <c r="AM1083" s="14">
        <f>IFERROR(__xludf.DUMMYFUNCTION("""COMPUTED_VALUE"""),4.46)</f>
        <v>4.46</v>
      </c>
      <c r="AN1083" s="14">
        <f>IFERROR(__xludf.DUMMYFUNCTION("""COMPUTED_VALUE"""),4.1)</f>
        <v>4.1</v>
      </c>
      <c r="AO1083" s="14">
        <f>IFERROR(__xludf.DUMMYFUNCTION("""COMPUTED_VALUE"""),4.25)</f>
        <v>4.25</v>
      </c>
      <c r="AP1083" s="14">
        <f>IFERROR(__xludf.DUMMYFUNCTION("""COMPUTED_VALUE"""),27.0)</f>
        <v>27</v>
      </c>
      <c r="AQ1083" s="14">
        <f>IFERROR(__xludf.DUMMYFUNCTION("""COMPUTED_VALUE"""),52.0)</f>
        <v>52</v>
      </c>
      <c r="AR1083" s="14">
        <f>IFERROR(__xludf.DUMMYFUNCTION("""COMPUTED_VALUE"""),43.0)</f>
        <v>43</v>
      </c>
      <c r="AS1083" s="14">
        <f>IFERROR(__xludf.DUMMYFUNCTION("""COMPUTED_VALUE"""),12.0)</f>
        <v>12</v>
      </c>
      <c r="AT1083" s="14">
        <f>IFERROR(__xludf.DUMMYFUNCTION("""COMPUTED_VALUE"""),0.22)</f>
        <v>0.22</v>
      </c>
      <c r="AU1083" s="14">
        <f>IFERROR(__xludf.DUMMYFUNCTION("""COMPUTED_VALUE"""),7890000.0)</f>
        <v>7890000</v>
      </c>
      <c r="AV1083" s="14">
        <f>IFERROR(__xludf.DUMMYFUNCTION("""COMPUTED_VALUE"""),1.57)</f>
        <v>1.57</v>
      </c>
      <c r="AW1083" s="14">
        <f>IFERROR(__xludf.DUMMYFUNCTION("""COMPUTED_VALUE"""),14.6)</f>
        <v>14.6</v>
      </c>
      <c r="AX1083" s="14">
        <f>IFERROR(__xludf.DUMMYFUNCTION("""COMPUTED_VALUE"""),3930000.0)</f>
        <v>3930000</v>
      </c>
      <c r="AY1083" s="14">
        <f>IFERROR(__xludf.DUMMYFUNCTION("""COMPUTED_VALUE"""),0.3)</f>
        <v>0.3</v>
      </c>
      <c r="AZ1083" s="14">
        <f>IFERROR(__xludf.DUMMYFUNCTION("""COMPUTED_VALUE"""),0.007)</f>
        <v>0.007</v>
      </c>
      <c r="BA1083" s="14">
        <f t="shared" si="1"/>
        <v>14.907</v>
      </c>
    </row>
    <row r="1084" ht="14.25" customHeight="1">
      <c r="A1084" s="10" t="str">
        <f>IFERROR(__xludf.DUMMYFUNCTION("""COMPUTED_VALUE"""),"040724FE02")</f>
        <v>040724FE02</v>
      </c>
      <c r="B1084" s="12" t="str">
        <f>IFERROR(__xludf.DUMMYFUNCTION("""COMPUTED_VALUE"""),"QSL-Alfonso López")</f>
        <v>QSL-Alfonso López</v>
      </c>
      <c r="C1084" s="12"/>
      <c r="D1084" s="12"/>
      <c r="E1084" s="44">
        <f>IFERROR(__xludf.DUMMYFUNCTION("""COMPUTED_VALUE"""),45477.0)</f>
        <v>45477</v>
      </c>
      <c r="F1084" s="12" t="str">
        <f>IFERROR(__xludf.DUMMYFUNCTION("""COMPUTED_VALUE"""),"TIPO I")</f>
        <v>TIPO I</v>
      </c>
      <c r="G1084" s="12" t="str">
        <f>IFERROR(__xludf.DUMMYFUNCTION("""COMPUTED_VALUE"""),"Durante el monitoreo se observa color y se percibe olor
Coordenadas registradas en campo: 4°30'42.95""N 74°06'25.93""W, lecho natural rocoso")</f>
        <v>Durante el monitoreo se observa color y se percibe olor
Coordenadas registradas en campo: 4°30'42.95"N 74°06'25.93"W, lecho natural rocoso</v>
      </c>
      <c r="H1084" s="45">
        <f>IFERROR(__xludf.DUMMYFUNCTION("""COMPUTED_VALUE"""),0.4166666666678793)</f>
        <v>0.4166666667</v>
      </c>
      <c r="I1084" s="45">
        <f>IFERROR(__xludf.DUMMYFUNCTION("""COMPUTED_VALUE"""),0.5)</f>
        <v>0.5</v>
      </c>
      <c r="J1084" s="12">
        <f>IFERROR(__xludf.DUMMYFUNCTION("""COMPUTED_VALUE"""),0.9)</f>
        <v>0.9</v>
      </c>
      <c r="K1084" s="12">
        <f>IFERROR(__xludf.DUMMYFUNCTION("""COMPUTED_VALUE"""),0.07)</f>
        <v>0.07</v>
      </c>
      <c r="L1084" s="14">
        <f>IFERROR(__xludf.DUMMYFUNCTION("""COMPUTED_VALUE"""),10.793)</f>
        <v>10.793</v>
      </c>
      <c r="M1084" s="14">
        <f>IFERROR(__xludf.DUMMYFUNCTION("""COMPUTED_VALUE"""),10.335)</f>
        <v>10.335</v>
      </c>
      <c r="N1084" s="14">
        <f>IFERROR(__xludf.DUMMYFUNCTION("""COMPUTED_VALUE"""),10.509)</f>
        <v>10.509</v>
      </c>
      <c r="O1084" s="14">
        <f>IFERROR(__xludf.DUMMYFUNCTION("""COMPUTED_VALUE"""),11.191)</f>
        <v>11.191</v>
      </c>
      <c r="P1084" s="14">
        <f>IFERROR(__xludf.DUMMYFUNCTION("""COMPUTED_VALUE"""),11.666)</f>
        <v>11.666</v>
      </c>
      <c r="Q1084" s="14">
        <f>IFERROR(__xludf.DUMMYFUNCTION("""COMPUTED_VALUE"""),10.899)</f>
        <v>10.899</v>
      </c>
      <c r="R1084" s="48">
        <f>IFERROR(__xludf.DUMMYFUNCTION("""COMPUTED_VALUE"""),8.41)</f>
        <v>8.41</v>
      </c>
      <c r="S1084" s="48">
        <f>IFERROR(__xludf.DUMMYFUNCTION("""COMPUTED_VALUE"""),8.32)</f>
        <v>8.32</v>
      </c>
      <c r="T1084" s="48">
        <f>IFERROR(__xludf.DUMMYFUNCTION("""COMPUTED_VALUE"""),8.29)</f>
        <v>8.29</v>
      </c>
      <c r="U1084" s="48">
        <f>IFERROR(__xludf.DUMMYFUNCTION("""COMPUTED_VALUE"""),8.25)</f>
        <v>8.25</v>
      </c>
      <c r="V1084" s="48">
        <f>IFERROR(__xludf.DUMMYFUNCTION("""COMPUTED_VALUE"""),8.17)</f>
        <v>8.17</v>
      </c>
      <c r="W1084" s="14">
        <f>IFERROR(__xludf.DUMMYFUNCTION("""COMPUTED_VALUE"""),8.288)</f>
        <v>8.288</v>
      </c>
      <c r="X1084" s="14">
        <f>IFERROR(__xludf.DUMMYFUNCTION("""COMPUTED_VALUE"""),13.8)</f>
        <v>13.8</v>
      </c>
      <c r="Y1084" s="14">
        <f>IFERROR(__xludf.DUMMYFUNCTION("""COMPUTED_VALUE"""),13.8)</f>
        <v>13.8</v>
      </c>
      <c r="Z1084" s="14">
        <f>IFERROR(__xludf.DUMMYFUNCTION("""COMPUTED_VALUE"""),14.2)</f>
        <v>14.2</v>
      </c>
      <c r="AA1084" s="14">
        <f>IFERROR(__xludf.DUMMYFUNCTION("""COMPUTED_VALUE"""),14.1)</f>
        <v>14.1</v>
      </c>
      <c r="AB1084" s="14">
        <f>IFERROR(__xludf.DUMMYFUNCTION("""COMPUTED_VALUE"""),14.2)</f>
        <v>14.2</v>
      </c>
      <c r="AC1084" s="14">
        <f>IFERROR(__xludf.DUMMYFUNCTION("""COMPUTED_VALUE"""),14.02)</f>
        <v>14.02</v>
      </c>
      <c r="AD1084" s="48">
        <f>IFERROR(__xludf.DUMMYFUNCTION("""COMPUTED_VALUE"""),202.0)</f>
        <v>202</v>
      </c>
      <c r="AE1084" s="48">
        <f>IFERROR(__xludf.DUMMYFUNCTION("""COMPUTED_VALUE"""),199.0)</f>
        <v>199</v>
      </c>
      <c r="AF1084" s="48">
        <f>IFERROR(__xludf.DUMMYFUNCTION("""COMPUTED_VALUE"""),196.0)</f>
        <v>196</v>
      </c>
      <c r="AG1084" s="48">
        <f>IFERROR(__xludf.DUMMYFUNCTION("""COMPUTED_VALUE"""),259.0)</f>
        <v>259</v>
      </c>
      <c r="AH1084" s="48">
        <f>IFERROR(__xludf.DUMMYFUNCTION("""COMPUTED_VALUE"""),181.0)</f>
        <v>181</v>
      </c>
      <c r="AI1084" s="14">
        <f>IFERROR(__xludf.DUMMYFUNCTION("""COMPUTED_VALUE"""),207.4)</f>
        <v>207.4</v>
      </c>
      <c r="AJ1084" s="14">
        <f>IFERROR(__xludf.DUMMYFUNCTION("""COMPUTED_VALUE"""),5.94)</f>
        <v>5.94</v>
      </c>
      <c r="AK1084" s="14">
        <f>IFERROR(__xludf.DUMMYFUNCTION("""COMPUTED_VALUE"""),5.75)</f>
        <v>5.75</v>
      </c>
      <c r="AL1084" s="14">
        <f>IFERROR(__xludf.DUMMYFUNCTION("""COMPUTED_VALUE"""),5.7)</f>
        <v>5.7</v>
      </c>
      <c r="AM1084" s="14">
        <f>IFERROR(__xludf.DUMMYFUNCTION("""COMPUTED_VALUE"""),5.58)</f>
        <v>5.58</v>
      </c>
      <c r="AN1084" s="14">
        <f>IFERROR(__xludf.DUMMYFUNCTION("""COMPUTED_VALUE"""),5.03)</f>
        <v>5.03</v>
      </c>
      <c r="AO1084" s="14">
        <f>IFERROR(__xludf.DUMMYFUNCTION("""COMPUTED_VALUE"""),5.6)</f>
        <v>5.6</v>
      </c>
      <c r="AP1084" s="14">
        <f>IFERROR(__xludf.DUMMYFUNCTION("""COMPUTED_VALUE"""),2.0)</f>
        <v>2</v>
      </c>
      <c r="AQ1084" s="14">
        <f>IFERROR(__xludf.DUMMYFUNCTION("""COMPUTED_VALUE"""),5.0)</f>
        <v>5</v>
      </c>
      <c r="AR1084" s="14">
        <f>IFERROR(__xludf.DUMMYFUNCTION("""COMPUTED_VALUE"""),83.0)</f>
        <v>83</v>
      </c>
      <c r="AS1084" s="14">
        <f>IFERROR(__xludf.DUMMYFUNCTION("""COMPUTED_VALUE"""),9.6)</f>
        <v>9.6</v>
      </c>
      <c r="AT1084" s="14">
        <f>IFERROR(__xludf.DUMMYFUNCTION("""COMPUTED_VALUE"""),0.07)</f>
        <v>0.07</v>
      </c>
      <c r="AU1084" s="14">
        <f>IFERROR(__xludf.DUMMYFUNCTION("""COMPUTED_VALUE"""),1284000.0)</f>
        <v>1284000</v>
      </c>
      <c r="AV1084" s="14">
        <f>IFERROR(__xludf.DUMMYFUNCTION("""COMPUTED_VALUE"""),0.07)</f>
        <v>0.07</v>
      </c>
      <c r="AW1084" s="14">
        <f>IFERROR(__xludf.DUMMYFUNCTION("""COMPUTED_VALUE"""),1.0)</f>
        <v>1</v>
      </c>
      <c r="AX1084" s="14">
        <f>IFERROR(__xludf.DUMMYFUNCTION("""COMPUTED_VALUE"""),83900.0)</f>
        <v>83900</v>
      </c>
      <c r="AY1084" s="14">
        <f>IFERROR(__xludf.DUMMYFUNCTION("""COMPUTED_VALUE"""),2.6)</f>
        <v>2.6</v>
      </c>
      <c r="AZ1084" s="14">
        <f>IFERROR(__xludf.DUMMYFUNCTION("""COMPUTED_VALUE"""),0.01)</f>
        <v>0.01</v>
      </c>
      <c r="BA1084" s="14">
        <f t="shared" si="1"/>
        <v>3.61</v>
      </c>
    </row>
    <row r="1085" ht="14.25" customHeight="1">
      <c r="A1085" s="10" t="str">
        <f>IFERROR(__xludf.DUMMYFUNCTION("""COMPUTED_VALUE"""),"050724FE01")</f>
        <v>050724FE01</v>
      </c>
      <c r="B1085" s="12" t="str">
        <f>IFERROR(__xludf.DUMMYFUNCTION("""COMPUTED_VALUE"""),"QTR-Mochuelo Bajo")</f>
        <v>QTR-Mochuelo Bajo</v>
      </c>
      <c r="C1085" s="12"/>
      <c r="D1085" s="12"/>
      <c r="E1085" s="44">
        <f>IFERROR(__xludf.DUMMYFUNCTION("""COMPUTED_VALUE"""),45478.0)</f>
        <v>45478</v>
      </c>
      <c r="F1085" s="12" t="str">
        <f>IFERROR(__xludf.DUMMYFUNCTION("""COMPUTED_VALUE"""),"TIPO I")</f>
        <v>TIPO I</v>
      </c>
      <c r="G1085" s="12" t="str">
        <f>IFERROR(__xludf.DUMMYFUNCTION("""COMPUTED_VALUE"""),"Toma de muestra en lecho natural rocoso-arenoso, durante el monitoreo no se percibe olor, se observa color. 
Altitud: 2656 msnm. ")</f>
        <v>Toma de muestra en lecho natural rocoso-arenoso, durante el monitoreo no se percibe olor, se observa color. 
Altitud: 2656 msnm. </v>
      </c>
      <c r="H1085" s="45">
        <f>IFERROR(__xludf.DUMMYFUNCTION("""COMPUTED_VALUE"""),0.25)</f>
        <v>0.25</v>
      </c>
      <c r="I1085" s="45">
        <f>IFERROR(__xludf.DUMMYFUNCTION("""COMPUTED_VALUE"""),0.3333333333321207)</f>
        <v>0.3333333333</v>
      </c>
      <c r="J1085" s="12">
        <f>IFERROR(__xludf.DUMMYFUNCTION("""COMPUTED_VALUE"""),1.3)</f>
        <v>1.3</v>
      </c>
      <c r="K1085" s="12">
        <f>IFERROR(__xludf.DUMMYFUNCTION("""COMPUTED_VALUE"""),0.19)</f>
        <v>0.19</v>
      </c>
      <c r="L1085" s="14">
        <f>IFERROR(__xludf.DUMMYFUNCTION("""COMPUTED_VALUE"""),20.353)</f>
        <v>20.353</v>
      </c>
      <c r="M1085" s="14">
        <f>IFERROR(__xludf.DUMMYFUNCTION("""COMPUTED_VALUE"""),20.878)</f>
        <v>20.878</v>
      </c>
      <c r="N1085" s="14">
        <f>IFERROR(__xludf.DUMMYFUNCTION("""COMPUTED_VALUE"""),22.117)</f>
        <v>22.117</v>
      </c>
      <c r="O1085" s="14">
        <f>IFERROR(__xludf.DUMMYFUNCTION("""COMPUTED_VALUE"""),22.309)</f>
        <v>22.309</v>
      </c>
      <c r="P1085" s="14">
        <f>IFERROR(__xludf.DUMMYFUNCTION("""COMPUTED_VALUE"""),21.823)</f>
        <v>21.823</v>
      </c>
      <c r="Q1085" s="14">
        <f>IFERROR(__xludf.DUMMYFUNCTION("""COMPUTED_VALUE"""),21.496)</f>
        <v>21.496</v>
      </c>
      <c r="R1085" s="48">
        <f>IFERROR(__xludf.DUMMYFUNCTION("""COMPUTED_VALUE"""),7.01)</f>
        <v>7.01</v>
      </c>
      <c r="S1085" s="48">
        <f>IFERROR(__xludf.DUMMYFUNCTION("""COMPUTED_VALUE"""),7.06)</f>
        <v>7.06</v>
      </c>
      <c r="T1085" s="48">
        <f>IFERROR(__xludf.DUMMYFUNCTION("""COMPUTED_VALUE"""),6.99)</f>
        <v>6.99</v>
      </c>
      <c r="U1085" s="48">
        <f>IFERROR(__xludf.DUMMYFUNCTION("""COMPUTED_VALUE"""),7.12)</f>
        <v>7.12</v>
      </c>
      <c r="V1085" s="48">
        <f>IFERROR(__xludf.DUMMYFUNCTION("""COMPUTED_VALUE"""),7.36)</f>
        <v>7.36</v>
      </c>
      <c r="W1085" s="14">
        <f>IFERROR(__xludf.DUMMYFUNCTION("""COMPUTED_VALUE"""),7.108000000000001)</f>
        <v>7.108</v>
      </c>
      <c r="X1085" s="14">
        <f>IFERROR(__xludf.DUMMYFUNCTION("""COMPUTED_VALUE"""),14.7)</f>
        <v>14.7</v>
      </c>
      <c r="Y1085" s="14">
        <f>IFERROR(__xludf.DUMMYFUNCTION("""COMPUTED_VALUE"""),14.6)</f>
        <v>14.6</v>
      </c>
      <c r="Z1085" s="14">
        <f>IFERROR(__xludf.DUMMYFUNCTION("""COMPUTED_VALUE"""),14.7)</f>
        <v>14.7</v>
      </c>
      <c r="AA1085" s="14">
        <f>IFERROR(__xludf.DUMMYFUNCTION("""COMPUTED_VALUE"""),14.4)</f>
        <v>14.4</v>
      </c>
      <c r="AB1085" s="14">
        <f>IFERROR(__xludf.DUMMYFUNCTION("""COMPUTED_VALUE"""),14.8)</f>
        <v>14.8</v>
      </c>
      <c r="AC1085" s="14">
        <f>IFERROR(__xludf.DUMMYFUNCTION("""COMPUTED_VALUE"""),14.64)</f>
        <v>14.64</v>
      </c>
      <c r="AD1085" s="48">
        <f>IFERROR(__xludf.DUMMYFUNCTION("""COMPUTED_VALUE"""),356.0)</f>
        <v>356</v>
      </c>
      <c r="AE1085" s="48">
        <f>IFERROR(__xludf.DUMMYFUNCTION("""COMPUTED_VALUE"""),373.0)</f>
        <v>373</v>
      </c>
      <c r="AF1085" s="48">
        <f>IFERROR(__xludf.DUMMYFUNCTION("""COMPUTED_VALUE"""),415.0)</f>
        <v>415</v>
      </c>
      <c r="AG1085" s="48">
        <f>IFERROR(__xludf.DUMMYFUNCTION("""COMPUTED_VALUE"""),410.0)</f>
        <v>410</v>
      </c>
      <c r="AH1085" s="48">
        <f>IFERROR(__xludf.DUMMYFUNCTION("""COMPUTED_VALUE"""),507.0)</f>
        <v>507</v>
      </c>
      <c r="AI1085" s="14">
        <f>IFERROR(__xludf.DUMMYFUNCTION("""COMPUTED_VALUE"""),412.2)</f>
        <v>412.2</v>
      </c>
      <c r="AJ1085" s="14">
        <f>IFERROR(__xludf.DUMMYFUNCTION("""COMPUTED_VALUE"""),4.35)</f>
        <v>4.35</v>
      </c>
      <c r="AK1085" s="14">
        <f>IFERROR(__xludf.DUMMYFUNCTION("""COMPUTED_VALUE"""),4.2)</f>
        <v>4.2</v>
      </c>
      <c r="AL1085" s="14">
        <f>IFERROR(__xludf.DUMMYFUNCTION("""COMPUTED_VALUE"""),4.49)</f>
        <v>4.49</v>
      </c>
      <c r="AM1085" s="14">
        <f>IFERROR(__xludf.DUMMYFUNCTION("""COMPUTED_VALUE"""),4.28)</f>
        <v>4.28</v>
      </c>
      <c r="AN1085" s="14">
        <f>IFERROR(__xludf.DUMMYFUNCTION("""COMPUTED_VALUE"""),4.2)</f>
        <v>4.2</v>
      </c>
      <c r="AO1085" s="14">
        <f>IFERROR(__xludf.DUMMYFUNCTION("""COMPUTED_VALUE"""),4.304)</f>
        <v>4.304</v>
      </c>
      <c r="AP1085" s="14">
        <f>IFERROR(__xludf.DUMMYFUNCTION("""COMPUTED_VALUE"""),22.0)</f>
        <v>22</v>
      </c>
      <c r="AQ1085" s="14">
        <f>IFERROR(__xludf.DUMMYFUNCTION("""COMPUTED_VALUE"""),52.0)</f>
        <v>52</v>
      </c>
      <c r="AR1085" s="14">
        <f>IFERROR(__xludf.DUMMYFUNCTION("""COMPUTED_VALUE"""),26.0)</f>
        <v>26</v>
      </c>
      <c r="AS1085" s="14">
        <f>IFERROR(__xludf.DUMMYFUNCTION("""COMPUTED_VALUE"""),13.5)</f>
        <v>13.5</v>
      </c>
      <c r="AT1085" s="14">
        <f>IFERROR(__xludf.DUMMYFUNCTION("""COMPUTED_VALUE"""),0.07)</f>
        <v>0.07</v>
      </c>
      <c r="AU1085" s="14">
        <f>IFERROR(__xludf.DUMMYFUNCTION("""COMPUTED_VALUE"""),220900.0)</f>
        <v>220900</v>
      </c>
      <c r="AV1085" s="14">
        <f>IFERROR(__xludf.DUMMYFUNCTION("""COMPUTED_VALUE"""),1.52)</f>
        <v>1.52</v>
      </c>
      <c r="AW1085" s="14">
        <f>IFERROR(__xludf.DUMMYFUNCTION("""COMPUTED_VALUE"""),14.6)</f>
        <v>14.6</v>
      </c>
      <c r="AX1085" s="14">
        <f>IFERROR(__xludf.DUMMYFUNCTION("""COMPUTED_VALUE"""),118900.0)</f>
        <v>118900</v>
      </c>
      <c r="AY1085" s="14">
        <f>IFERROR(__xludf.DUMMYFUNCTION("""COMPUTED_VALUE"""),0.6)</f>
        <v>0.6</v>
      </c>
      <c r="AZ1085" s="14">
        <f>IFERROR(__xludf.DUMMYFUNCTION("""COMPUTED_VALUE"""),0.052)</f>
        <v>0.052</v>
      </c>
      <c r="BA1085" s="14">
        <f t="shared" si="1"/>
        <v>15.252</v>
      </c>
    </row>
    <row r="1086" ht="14.25" customHeight="1">
      <c r="A1086" s="10" t="str">
        <f>IFERROR(__xludf.DUMMYFUNCTION("""COMPUTED_VALUE"""),"020724HA03")</f>
        <v>020724HA03</v>
      </c>
      <c r="B1086" s="12" t="str">
        <f>IFERROR(__xludf.DUMMYFUNCTION("""COMPUTED_VALUE"""),"QZA-Entre Nubes")</f>
        <v>QZA-Entre Nubes</v>
      </c>
      <c r="C1086" s="12"/>
      <c r="D1086" s="12"/>
      <c r="E1086" s="44">
        <f>IFERROR(__xludf.DUMMYFUNCTION("""COMPUTED_VALUE"""),45475.0)</f>
        <v>45475</v>
      </c>
      <c r="F1086" s="12" t="str">
        <f>IFERROR(__xludf.DUMMYFUNCTION("""COMPUTED_VALUE"""),"TIPO I")</f>
        <v>TIPO I</v>
      </c>
      <c r="G1086" s="12" t="str">
        <f>IFERROR(__xludf.DUMMYFUNCTION("""COMPUTED_VALUE"""),"Durante el monitoreo se percibe olor, se observa color, presencia de residuos sólidos en las márgenes del cauce.
Altitud: 2666 msnm ")</f>
        <v>Durante el monitoreo se percibe olor, se observa color, presencia de residuos sólidos en las márgenes del cauce.
Altitud: 2666 msnm </v>
      </c>
      <c r="H1086" s="45">
        <f>IFERROR(__xludf.DUMMYFUNCTION("""COMPUTED_VALUE"""),0.6666666666678793)</f>
        <v>0.6666666667</v>
      </c>
      <c r="I1086" s="45">
        <f>IFERROR(__xludf.DUMMYFUNCTION("""COMPUTED_VALUE"""),0.75)</f>
        <v>0.75</v>
      </c>
      <c r="J1086" s="12">
        <f>IFERROR(__xludf.DUMMYFUNCTION("""COMPUTED_VALUE"""),4.4)</f>
        <v>4.4</v>
      </c>
      <c r="K1086" s="12">
        <f>IFERROR(__xludf.DUMMYFUNCTION("""COMPUTED_VALUE"""),0.11)</f>
        <v>0.11</v>
      </c>
      <c r="L1086" s="14">
        <f>IFERROR(__xludf.DUMMYFUNCTION("""COMPUTED_VALUE"""),113.98)</f>
        <v>113.98</v>
      </c>
      <c r="M1086" s="14">
        <f>IFERROR(__xludf.DUMMYFUNCTION("""COMPUTED_VALUE"""),116.457)</f>
        <v>116.457</v>
      </c>
      <c r="N1086" s="14">
        <f>IFERROR(__xludf.DUMMYFUNCTION("""COMPUTED_VALUE"""),115.631)</f>
        <v>115.631</v>
      </c>
      <c r="O1086" s="14">
        <f>IFERROR(__xludf.DUMMYFUNCTION("""COMPUTED_VALUE"""),114.872)</f>
        <v>114.872</v>
      </c>
      <c r="P1086" s="14">
        <f>IFERROR(__xludf.DUMMYFUNCTION("""COMPUTED_VALUE"""),123.643)</f>
        <v>123.643</v>
      </c>
      <c r="Q1086" s="14">
        <f>IFERROR(__xludf.DUMMYFUNCTION("""COMPUTED_VALUE"""),116.917)</f>
        <v>116.917</v>
      </c>
      <c r="R1086" s="48">
        <f>IFERROR(__xludf.DUMMYFUNCTION("""COMPUTED_VALUE"""),8.03)</f>
        <v>8.03</v>
      </c>
      <c r="S1086" s="48">
        <f>IFERROR(__xludf.DUMMYFUNCTION("""COMPUTED_VALUE"""),7.99)</f>
        <v>7.99</v>
      </c>
      <c r="T1086" s="48">
        <f>IFERROR(__xludf.DUMMYFUNCTION("""COMPUTED_VALUE"""),8.02)</f>
        <v>8.02</v>
      </c>
      <c r="U1086" s="48">
        <f>IFERROR(__xludf.DUMMYFUNCTION("""COMPUTED_VALUE"""),7.98)</f>
        <v>7.98</v>
      </c>
      <c r="V1086" s="48">
        <f>IFERROR(__xludf.DUMMYFUNCTION("""COMPUTED_VALUE"""),8.06)</f>
        <v>8.06</v>
      </c>
      <c r="W1086" s="14">
        <f>IFERROR(__xludf.DUMMYFUNCTION("""COMPUTED_VALUE"""),8.016)</f>
        <v>8.016</v>
      </c>
      <c r="X1086" s="14">
        <f>IFERROR(__xludf.DUMMYFUNCTION("""COMPUTED_VALUE"""),18.3)</f>
        <v>18.3</v>
      </c>
      <c r="Y1086" s="14">
        <f>IFERROR(__xludf.DUMMYFUNCTION("""COMPUTED_VALUE"""),18.0)</f>
        <v>18</v>
      </c>
      <c r="Z1086" s="14">
        <f>IFERROR(__xludf.DUMMYFUNCTION("""COMPUTED_VALUE"""),17.8)</f>
        <v>17.8</v>
      </c>
      <c r="AA1086" s="14">
        <f>IFERROR(__xludf.DUMMYFUNCTION("""COMPUTED_VALUE"""),17.6)</f>
        <v>17.6</v>
      </c>
      <c r="AB1086" s="14">
        <f>IFERROR(__xludf.DUMMYFUNCTION("""COMPUTED_VALUE"""),17.6)</f>
        <v>17.6</v>
      </c>
      <c r="AC1086" s="14">
        <f>IFERROR(__xludf.DUMMYFUNCTION("""COMPUTED_VALUE"""),17.859999999999996)</f>
        <v>17.86</v>
      </c>
      <c r="AD1086" s="48">
        <f>IFERROR(__xludf.DUMMYFUNCTION("""COMPUTED_VALUE"""),523.0)</f>
        <v>523</v>
      </c>
      <c r="AE1086" s="48">
        <f>IFERROR(__xludf.DUMMYFUNCTION("""COMPUTED_VALUE"""),518.0)</f>
        <v>518</v>
      </c>
      <c r="AF1086" s="48">
        <f>IFERROR(__xludf.DUMMYFUNCTION("""COMPUTED_VALUE"""),514.0)</f>
        <v>514</v>
      </c>
      <c r="AG1086" s="48">
        <f>IFERROR(__xludf.DUMMYFUNCTION("""COMPUTED_VALUE"""),504.0)</f>
        <v>504</v>
      </c>
      <c r="AH1086" s="48">
        <f>IFERROR(__xludf.DUMMYFUNCTION("""COMPUTED_VALUE"""),508.0)</f>
        <v>508</v>
      </c>
      <c r="AI1086" s="14">
        <f>IFERROR(__xludf.DUMMYFUNCTION("""COMPUTED_VALUE"""),513.4)</f>
        <v>513.4</v>
      </c>
      <c r="AJ1086" s="14">
        <f>IFERROR(__xludf.DUMMYFUNCTION("""COMPUTED_VALUE"""),3.5)</f>
        <v>3.5</v>
      </c>
      <c r="AK1086" s="14">
        <f>IFERROR(__xludf.DUMMYFUNCTION("""COMPUTED_VALUE"""),3.31)</f>
        <v>3.31</v>
      </c>
      <c r="AL1086" s="14">
        <f>IFERROR(__xludf.DUMMYFUNCTION("""COMPUTED_VALUE"""),4.02)</f>
        <v>4.02</v>
      </c>
      <c r="AM1086" s="14">
        <f>IFERROR(__xludf.DUMMYFUNCTION("""COMPUTED_VALUE"""),3.3)</f>
        <v>3.3</v>
      </c>
      <c r="AN1086" s="14">
        <f>IFERROR(__xludf.DUMMYFUNCTION("""COMPUTED_VALUE"""),4.1)</f>
        <v>4.1</v>
      </c>
      <c r="AO1086" s="14">
        <f>IFERROR(__xludf.DUMMYFUNCTION("""COMPUTED_VALUE"""),3.6459999999999995)</f>
        <v>3.646</v>
      </c>
      <c r="AP1086" s="14">
        <f>IFERROR(__xludf.DUMMYFUNCTION("""COMPUTED_VALUE"""),83.0)</f>
        <v>83</v>
      </c>
      <c r="AQ1086" s="14">
        <f>IFERROR(__xludf.DUMMYFUNCTION("""COMPUTED_VALUE"""),201.0)</f>
        <v>201</v>
      </c>
      <c r="AR1086" s="14">
        <f>IFERROR(__xludf.DUMMYFUNCTION("""COMPUTED_VALUE"""),52.0)</f>
        <v>52</v>
      </c>
      <c r="AS1086" s="14">
        <f>IFERROR(__xludf.DUMMYFUNCTION("""COMPUTED_VALUE"""),9.9)</f>
        <v>9.9</v>
      </c>
      <c r="AT1086" s="14">
        <f>IFERROR(__xludf.DUMMYFUNCTION("""COMPUTED_VALUE"""),4.87)</f>
        <v>4.87</v>
      </c>
      <c r="AU1086" s="14">
        <f>IFERROR(__xludf.DUMMYFUNCTION("""COMPUTED_VALUE"""),1.126E7)</f>
        <v>11260000</v>
      </c>
      <c r="AV1086" s="14">
        <f>IFERROR(__xludf.DUMMYFUNCTION("""COMPUTED_VALUE"""),2.71)</f>
        <v>2.71</v>
      </c>
      <c r="AW1086" s="14">
        <f>IFERROR(__xludf.DUMMYFUNCTION("""COMPUTED_VALUE"""),10.6)</f>
        <v>10.6</v>
      </c>
      <c r="AX1086" s="14">
        <f>IFERROR(__xludf.DUMMYFUNCTION("""COMPUTED_VALUE"""),6700000.0)</f>
        <v>6700000</v>
      </c>
      <c r="AY1086" s="14">
        <f>IFERROR(__xludf.DUMMYFUNCTION("""COMPUTED_VALUE"""),0.8)</f>
        <v>0.8</v>
      </c>
      <c r="AZ1086" s="14">
        <f>IFERROR(__xludf.DUMMYFUNCTION("""COMPUTED_VALUE"""),0.007)</f>
        <v>0.007</v>
      </c>
      <c r="BA1086" s="14">
        <f t="shared" si="1"/>
        <v>11.407</v>
      </c>
    </row>
    <row r="1087" ht="14.25" customHeight="1">
      <c r="A1087" s="10" t="str">
        <f>IFERROR(__xludf.DUMMYFUNCTION("""COMPUTED_VALUE"""),"020724HA02")</f>
        <v>020724HA02</v>
      </c>
      <c r="B1087" s="12" t="str">
        <f>IFERROR(__xludf.DUMMYFUNCTION("""COMPUTED_VALUE"""),"QZA-Quindío")</f>
        <v>QZA-Quindío</v>
      </c>
      <c r="C1087" s="12"/>
      <c r="D1087" s="12"/>
      <c r="E1087" s="44">
        <f>IFERROR(__xludf.DUMMYFUNCTION("""COMPUTED_VALUE"""),45475.0)</f>
        <v>45475</v>
      </c>
      <c r="F1087" s="12" t="str">
        <f>IFERROR(__xludf.DUMMYFUNCTION("""COMPUTED_VALUE"""),"TIPO I")</f>
        <v>TIPO I</v>
      </c>
      <c r="G1087" s="12" t="str">
        <f>IFERROR(__xludf.DUMMYFUNCTION("""COMPUTED_VALUE"""),"Durante el monitoreo no se observa color, se percibe olor. 
Altitud. 2530 msnm")</f>
        <v>Durante el monitoreo no se observa color, se percibe olor. 
Altitud. 2530 msnm</v>
      </c>
      <c r="H1087" s="45">
        <f>IFERROR(__xludf.DUMMYFUNCTION("""COMPUTED_VALUE"""),0.5)</f>
        <v>0.5</v>
      </c>
      <c r="I1087" s="45">
        <f>IFERROR(__xludf.DUMMYFUNCTION("""COMPUTED_VALUE"""),0.5833333333321207)</f>
        <v>0.5833333333</v>
      </c>
      <c r="J1087" s="12">
        <f>IFERROR(__xludf.DUMMYFUNCTION("""COMPUTED_VALUE"""),0.9)</f>
        <v>0.9</v>
      </c>
      <c r="K1087" s="12">
        <f>IFERROR(__xludf.DUMMYFUNCTION("""COMPUTED_VALUE"""),0.1)</f>
        <v>0.1</v>
      </c>
      <c r="L1087" s="14">
        <f>IFERROR(__xludf.DUMMYFUNCTION("""COMPUTED_VALUE"""),17.463)</f>
        <v>17.463</v>
      </c>
      <c r="M1087" s="14">
        <f>IFERROR(__xludf.DUMMYFUNCTION("""COMPUTED_VALUE"""),19.357)</f>
        <v>19.357</v>
      </c>
      <c r="N1087" s="14">
        <f>IFERROR(__xludf.DUMMYFUNCTION("""COMPUTED_VALUE"""),20.235)</f>
        <v>20.235</v>
      </c>
      <c r="O1087" s="14">
        <f>IFERROR(__xludf.DUMMYFUNCTION("""COMPUTED_VALUE"""),19.98)</f>
        <v>19.98</v>
      </c>
      <c r="P1087" s="14">
        <f>IFERROR(__xludf.DUMMYFUNCTION("""COMPUTED_VALUE"""),19.365)</f>
        <v>19.365</v>
      </c>
      <c r="Q1087" s="14">
        <f>IFERROR(__xludf.DUMMYFUNCTION("""COMPUTED_VALUE"""),19.28)</f>
        <v>19.28</v>
      </c>
      <c r="R1087" s="48">
        <f>IFERROR(__xludf.DUMMYFUNCTION("""COMPUTED_VALUE"""),7.33)</f>
        <v>7.33</v>
      </c>
      <c r="S1087" s="48">
        <f>IFERROR(__xludf.DUMMYFUNCTION("""COMPUTED_VALUE"""),7.68)</f>
        <v>7.68</v>
      </c>
      <c r="T1087" s="48">
        <f>IFERROR(__xludf.DUMMYFUNCTION("""COMPUTED_VALUE"""),7.77)</f>
        <v>7.77</v>
      </c>
      <c r="U1087" s="48">
        <f>IFERROR(__xludf.DUMMYFUNCTION("""COMPUTED_VALUE"""),7.13)</f>
        <v>7.13</v>
      </c>
      <c r="V1087" s="48">
        <f>IFERROR(__xludf.DUMMYFUNCTION("""COMPUTED_VALUE"""),7.22)</f>
        <v>7.22</v>
      </c>
      <c r="W1087" s="14">
        <f>IFERROR(__xludf.DUMMYFUNCTION("""COMPUTED_VALUE"""),7.426)</f>
        <v>7.426</v>
      </c>
      <c r="X1087" s="14">
        <f>IFERROR(__xludf.DUMMYFUNCTION("""COMPUTED_VALUE"""),13.1)</f>
        <v>13.1</v>
      </c>
      <c r="Y1087" s="14">
        <f>IFERROR(__xludf.DUMMYFUNCTION("""COMPUTED_VALUE"""),13.0)</f>
        <v>13</v>
      </c>
      <c r="Z1087" s="14">
        <f>IFERROR(__xludf.DUMMYFUNCTION("""COMPUTED_VALUE"""),13.2)</f>
        <v>13.2</v>
      </c>
      <c r="AA1087" s="14">
        <f>IFERROR(__xludf.DUMMYFUNCTION("""COMPUTED_VALUE"""),13.5)</f>
        <v>13.5</v>
      </c>
      <c r="AB1087" s="14">
        <f>IFERROR(__xludf.DUMMYFUNCTION("""COMPUTED_VALUE"""),13.4)</f>
        <v>13.4</v>
      </c>
      <c r="AC1087" s="14">
        <f>IFERROR(__xludf.DUMMYFUNCTION("""COMPUTED_VALUE"""),13.24)</f>
        <v>13.24</v>
      </c>
      <c r="AD1087" s="48">
        <f>IFERROR(__xludf.DUMMYFUNCTION("""COMPUTED_VALUE"""),37.5)</f>
        <v>37.5</v>
      </c>
      <c r="AE1087" s="48">
        <f>IFERROR(__xludf.DUMMYFUNCTION("""COMPUTED_VALUE"""),28.2)</f>
        <v>28.2</v>
      </c>
      <c r="AF1087" s="48">
        <f>IFERROR(__xludf.DUMMYFUNCTION("""COMPUTED_VALUE"""),24.2)</f>
        <v>24.2</v>
      </c>
      <c r="AG1087" s="48">
        <f>IFERROR(__xludf.DUMMYFUNCTION("""COMPUTED_VALUE"""),23.6)</f>
        <v>23.6</v>
      </c>
      <c r="AH1087" s="48">
        <f>IFERROR(__xludf.DUMMYFUNCTION("""COMPUTED_VALUE"""),23.4)</f>
        <v>23.4</v>
      </c>
      <c r="AI1087" s="14">
        <f>IFERROR(__xludf.DUMMYFUNCTION("""COMPUTED_VALUE"""),27.380000000000003)</f>
        <v>27.38</v>
      </c>
      <c r="AJ1087" s="14">
        <f>IFERROR(__xludf.DUMMYFUNCTION("""COMPUTED_VALUE"""),6.47)</f>
        <v>6.47</v>
      </c>
      <c r="AK1087" s="14">
        <f>IFERROR(__xludf.DUMMYFUNCTION("""COMPUTED_VALUE"""),6.53)</f>
        <v>6.53</v>
      </c>
      <c r="AL1087" s="14">
        <f>IFERROR(__xludf.DUMMYFUNCTION("""COMPUTED_VALUE"""),6.56)</f>
        <v>6.56</v>
      </c>
      <c r="AM1087" s="14">
        <f>IFERROR(__xludf.DUMMYFUNCTION("""COMPUTED_VALUE"""),6.33)</f>
        <v>6.33</v>
      </c>
      <c r="AN1087" s="14">
        <f>IFERROR(__xludf.DUMMYFUNCTION("""COMPUTED_VALUE"""),6.21)</f>
        <v>6.21</v>
      </c>
      <c r="AO1087" s="14">
        <f>IFERROR(__xludf.DUMMYFUNCTION("""COMPUTED_VALUE"""),6.42)</f>
        <v>6.42</v>
      </c>
      <c r="AP1087" s="14">
        <f>IFERROR(__xludf.DUMMYFUNCTION("""COMPUTED_VALUE"""),3.0)</f>
        <v>3</v>
      </c>
      <c r="AQ1087" s="14">
        <f>IFERROR(__xludf.DUMMYFUNCTION("""COMPUTED_VALUE"""),11.0)</f>
        <v>11</v>
      </c>
      <c r="AR1087" s="14">
        <f>IFERROR(__xludf.DUMMYFUNCTION("""COMPUTED_VALUE"""),5.0)</f>
        <v>5</v>
      </c>
      <c r="AS1087" s="14">
        <f>IFERROR(__xludf.DUMMYFUNCTION("""COMPUTED_VALUE"""),4.7)</f>
        <v>4.7</v>
      </c>
      <c r="AT1087" s="14">
        <f>IFERROR(__xludf.DUMMYFUNCTION("""COMPUTED_VALUE"""),0.07)</f>
        <v>0.07</v>
      </c>
      <c r="AU1087" s="14">
        <f>IFERROR(__xludf.DUMMYFUNCTION("""COMPUTED_VALUE"""),165800.0)</f>
        <v>165800</v>
      </c>
      <c r="AV1087" s="14">
        <f>IFERROR(__xludf.DUMMYFUNCTION("""COMPUTED_VALUE"""),0.12)</f>
        <v>0.12</v>
      </c>
      <c r="AW1087" s="14">
        <f>IFERROR(__xludf.DUMMYFUNCTION("""COMPUTED_VALUE"""),1.0)</f>
        <v>1</v>
      </c>
      <c r="AX1087" s="14">
        <f>IFERROR(__xludf.DUMMYFUNCTION("""COMPUTED_VALUE"""),111900.0)</f>
        <v>111900</v>
      </c>
      <c r="AY1087" s="14">
        <f>IFERROR(__xludf.DUMMYFUNCTION("""COMPUTED_VALUE"""),0.5)</f>
        <v>0.5</v>
      </c>
      <c r="AZ1087" s="14">
        <f>IFERROR(__xludf.DUMMYFUNCTION("""COMPUTED_VALUE"""),0.007)</f>
        <v>0.007</v>
      </c>
      <c r="BA1087" s="14">
        <f t="shared" si="1"/>
        <v>1.507</v>
      </c>
    </row>
    <row r="1088" ht="14.25" customHeight="1">
      <c r="A1088" s="10" t="str">
        <f>IFERROR(__xludf.DUMMYFUNCTION("""COMPUTED_VALUE"""),"030724DA01")</f>
        <v>030724DA01</v>
      </c>
      <c r="B1088" s="12" t="str">
        <f>IFERROR(__xludf.DUMMYFUNCTION("""COMPUTED_VALUE"""),"QYO-Bolonia")</f>
        <v>QYO-Bolonia</v>
      </c>
      <c r="C1088" s="12"/>
      <c r="D1088" s="12"/>
      <c r="E1088" s="44">
        <f>IFERROR(__xludf.DUMMYFUNCTION("""COMPUTED_VALUE"""),45476.0)</f>
        <v>45476</v>
      </c>
      <c r="F1088" s="12" t="str">
        <f>IFERROR(__xludf.DUMMYFUNCTION("""COMPUTED_VALUE"""),"TIPO I")</f>
        <v>TIPO I</v>
      </c>
      <c r="G1088" s="12" t="str">
        <f>IFERROR(__xludf.DUMMYFUNCTION("""COMPUTED_VALUE"""),"Durante el desarrollo del monitoreo se percibe olor, entre la segunda y la tercera alícuota se observa material flotante y residuos solidos en los márgenes de la quebrada. Durante la cuarta y quinta alícuota se presentaron ligeras espumas.  
Altitud. 2749"&amp;" msnm. 
")</f>
        <v>Durante el desarrollo del monitoreo se percibe olor, entre la segunda y la tercera alícuota se observa material flotante y residuos solidos en los márgenes de la quebrada. Durante la cuarta y quinta alícuota se presentaron ligeras espumas.  
Altitud. 2749 msnm. 
</v>
      </c>
      <c r="H1088" s="45">
        <f>IFERROR(__xludf.DUMMYFUNCTION("""COMPUTED_VALUE"""),0.25)</f>
        <v>0.25</v>
      </c>
      <c r="I1088" s="45">
        <f>IFERROR(__xludf.DUMMYFUNCTION("""COMPUTED_VALUE"""),0.3333333333321207)</f>
        <v>0.3333333333</v>
      </c>
      <c r="J1088" s="12">
        <f>IFERROR(__xludf.DUMMYFUNCTION("""COMPUTED_VALUE"""),3.5)</f>
        <v>3.5</v>
      </c>
      <c r="K1088" s="12">
        <f>IFERROR(__xludf.DUMMYFUNCTION("""COMPUTED_VALUE"""),0.78)</f>
        <v>0.78</v>
      </c>
      <c r="L1088" s="14">
        <f>IFERROR(__xludf.DUMMYFUNCTION("""COMPUTED_VALUE"""),272.554)</f>
        <v>272.554</v>
      </c>
      <c r="M1088" s="14">
        <f>IFERROR(__xludf.DUMMYFUNCTION("""COMPUTED_VALUE"""),275.133)</f>
        <v>275.133</v>
      </c>
      <c r="N1088" s="14">
        <f>IFERROR(__xludf.DUMMYFUNCTION("""COMPUTED_VALUE"""),275.143)</f>
        <v>275.143</v>
      </c>
      <c r="O1088" s="14">
        <f>IFERROR(__xludf.DUMMYFUNCTION("""COMPUTED_VALUE"""),281.555)</f>
        <v>281.555</v>
      </c>
      <c r="P1088" s="14">
        <f>IFERROR(__xludf.DUMMYFUNCTION("""COMPUTED_VALUE"""),281.492)</f>
        <v>281.492</v>
      </c>
      <c r="Q1088" s="14">
        <f>IFERROR(__xludf.DUMMYFUNCTION("""COMPUTED_VALUE"""),277.175)</f>
        <v>277.175</v>
      </c>
      <c r="R1088" s="48">
        <f>IFERROR(__xludf.DUMMYFUNCTION("""COMPUTED_VALUE"""),6.58)</f>
        <v>6.58</v>
      </c>
      <c r="S1088" s="48">
        <f>IFERROR(__xludf.DUMMYFUNCTION("""COMPUTED_VALUE"""),6.34)</f>
        <v>6.34</v>
      </c>
      <c r="T1088" s="48">
        <f>IFERROR(__xludf.DUMMYFUNCTION("""COMPUTED_VALUE"""),6.64)</f>
        <v>6.64</v>
      </c>
      <c r="U1088" s="48">
        <f>IFERROR(__xludf.DUMMYFUNCTION("""COMPUTED_VALUE"""),6.5)</f>
        <v>6.5</v>
      </c>
      <c r="V1088" s="48">
        <f>IFERROR(__xludf.DUMMYFUNCTION("""COMPUTED_VALUE"""),6.91)</f>
        <v>6.91</v>
      </c>
      <c r="W1088" s="14">
        <f>IFERROR(__xludf.DUMMYFUNCTION("""COMPUTED_VALUE"""),6.593999999999999)</f>
        <v>6.594</v>
      </c>
      <c r="X1088" s="14">
        <f>IFERROR(__xludf.DUMMYFUNCTION("""COMPUTED_VALUE"""),12.7)</f>
        <v>12.7</v>
      </c>
      <c r="Y1088" s="14">
        <f>IFERROR(__xludf.DUMMYFUNCTION("""COMPUTED_VALUE"""),12.6)</f>
        <v>12.6</v>
      </c>
      <c r="Z1088" s="14">
        <f>IFERROR(__xludf.DUMMYFUNCTION("""COMPUTED_VALUE"""),12.7)</f>
        <v>12.7</v>
      </c>
      <c r="AA1088" s="14">
        <f>IFERROR(__xludf.DUMMYFUNCTION("""COMPUTED_VALUE"""),12.9)</f>
        <v>12.9</v>
      </c>
      <c r="AB1088" s="14">
        <f>IFERROR(__xludf.DUMMYFUNCTION("""COMPUTED_VALUE"""),13.0)</f>
        <v>13</v>
      </c>
      <c r="AC1088" s="14">
        <f>IFERROR(__xludf.DUMMYFUNCTION("""COMPUTED_VALUE"""),12.78)</f>
        <v>12.78</v>
      </c>
      <c r="AD1088" s="48">
        <f>IFERROR(__xludf.DUMMYFUNCTION("""COMPUTED_VALUE"""),126.2)</f>
        <v>126.2</v>
      </c>
      <c r="AE1088" s="48">
        <f>IFERROR(__xludf.DUMMYFUNCTION("""COMPUTED_VALUE"""),120.2)</f>
        <v>120.2</v>
      </c>
      <c r="AF1088" s="48">
        <f>IFERROR(__xludf.DUMMYFUNCTION("""COMPUTED_VALUE"""),118.6)</f>
        <v>118.6</v>
      </c>
      <c r="AG1088" s="48">
        <f>IFERROR(__xludf.DUMMYFUNCTION("""COMPUTED_VALUE"""),115.7)</f>
        <v>115.7</v>
      </c>
      <c r="AH1088" s="48">
        <f>IFERROR(__xludf.DUMMYFUNCTION("""COMPUTED_VALUE"""),115.7)</f>
        <v>115.7</v>
      </c>
      <c r="AI1088" s="14">
        <f>IFERROR(__xludf.DUMMYFUNCTION("""COMPUTED_VALUE"""),119.28)</f>
        <v>119.28</v>
      </c>
      <c r="AJ1088" s="14">
        <f>IFERROR(__xludf.DUMMYFUNCTION("""COMPUTED_VALUE"""),5.45)</f>
        <v>5.45</v>
      </c>
      <c r="AK1088" s="14">
        <f>IFERROR(__xludf.DUMMYFUNCTION("""COMPUTED_VALUE"""),5.37)</f>
        <v>5.37</v>
      </c>
      <c r="AL1088" s="14">
        <f>IFERROR(__xludf.DUMMYFUNCTION("""COMPUTED_VALUE"""),5.78)</f>
        <v>5.78</v>
      </c>
      <c r="AM1088" s="14">
        <f>IFERROR(__xludf.DUMMYFUNCTION("""COMPUTED_VALUE"""),5.51)</f>
        <v>5.51</v>
      </c>
      <c r="AN1088" s="14">
        <f>IFERROR(__xludf.DUMMYFUNCTION("""COMPUTED_VALUE"""),5.66)</f>
        <v>5.66</v>
      </c>
      <c r="AO1088" s="14">
        <f>IFERROR(__xludf.DUMMYFUNCTION("""COMPUTED_VALUE"""),5.554)</f>
        <v>5.554</v>
      </c>
      <c r="AP1088" s="14">
        <f>IFERROR(__xludf.DUMMYFUNCTION("""COMPUTED_VALUE"""),12.0)</f>
        <v>12</v>
      </c>
      <c r="AQ1088" s="14">
        <f>IFERROR(__xludf.DUMMYFUNCTION("""COMPUTED_VALUE"""),36.0)</f>
        <v>36</v>
      </c>
      <c r="AR1088" s="14">
        <f>IFERROR(__xludf.DUMMYFUNCTION("""COMPUTED_VALUE"""),20.0)</f>
        <v>20</v>
      </c>
      <c r="AS1088" s="14">
        <f>IFERROR(__xludf.DUMMYFUNCTION("""COMPUTED_VALUE"""),9.4)</f>
        <v>9.4</v>
      </c>
      <c r="AT1088" s="14">
        <f>IFERROR(__xludf.DUMMYFUNCTION("""COMPUTED_VALUE"""),0.07)</f>
        <v>0.07</v>
      </c>
      <c r="AU1088" s="14">
        <f>IFERROR(__xludf.DUMMYFUNCTION("""COMPUTED_VALUE"""),1653000.0)</f>
        <v>1653000</v>
      </c>
      <c r="AV1088" s="14">
        <f>IFERROR(__xludf.DUMMYFUNCTION("""COMPUTED_VALUE"""),0.45)</f>
        <v>0.45</v>
      </c>
      <c r="AW1088" s="14">
        <f>IFERROR(__xludf.DUMMYFUNCTION("""COMPUTED_VALUE"""),2.6)</f>
        <v>2.6</v>
      </c>
      <c r="AX1088" s="14">
        <f>IFERROR(__xludf.DUMMYFUNCTION("""COMPUTED_VALUE"""),1567000.0)</f>
        <v>1567000</v>
      </c>
      <c r="AY1088" s="14">
        <f>IFERROR(__xludf.DUMMYFUNCTION("""COMPUTED_VALUE"""),0.9)</f>
        <v>0.9</v>
      </c>
      <c r="AZ1088" s="14">
        <f>IFERROR(__xludf.DUMMYFUNCTION("""COMPUTED_VALUE"""),0.069)</f>
        <v>0.069</v>
      </c>
      <c r="BA1088" s="14">
        <f t="shared" si="1"/>
        <v>3.569</v>
      </c>
    </row>
    <row r="1089" ht="14.25" customHeight="1">
      <c r="A1089" s="10" t="str">
        <f>IFERROR(__xludf.DUMMYFUNCTION("""COMPUTED_VALUE"""),"030724DA02")</f>
        <v>030724DA02</v>
      </c>
      <c r="B1089" s="12" t="str">
        <f>IFERROR(__xludf.DUMMYFUNCTION("""COMPUTED_VALUE"""),"QYO-Monte Blanco")</f>
        <v>QYO-Monte Blanco</v>
      </c>
      <c r="C1089" s="12"/>
      <c r="D1089" s="12"/>
      <c r="E1089" s="44">
        <f>IFERROR(__xludf.DUMMYFUNCTION("""COMPUTED_VALUE"""),45476.0)</f>
        <v>45476</v>
      </c>
      <c r="F1089" s="12" t="str">
        <f>IFERROR(__xludf.DUMMYFUNCTION("""COMPUTED_VALUE"""),"TIPO I")</f>
        <v>TIPO I</v>
      </c>
      <c r="G1089" s="12" t="str">
        <f>IFERROR(__xludf.DUMMYFUNCTION("""COMPUTED_VALUE"""),"15M aguas arriba del punto de monitoreo el vertimiento QYO-RTU-0530 se encuentra descargando en la quebrada. 
Se percibe olor, no se observa color, presencia de residuos sólidos en el cauce. 
Se observan resaltos en la quebrada. 
Altitud: 2653 msnm")</f>
        <v>15M aguas arriba del punto de monitoreo el vertimiento QYO-RTU-0530 se encuentra descargando en la quebrada. 
Se percibe olor, no se observa color, presencia de residuos sólidos en el cauce. 
Se observan resaltos en la quebrada. 
Altitud: 2653 msnm</v>
      </c>
      <c r="H1089" s="45">
        <f>IFERROR(__xludf.DUMMYFUNCTION("""COMPUTED_VALUE"""),0.4166666666678793)</f>
        <v>0.4166666667</v>
      </c>
      <c r="I1089" s="45">
        <f>IFERROR(__xludf.DUMMYFUNCTION("""COMPUTED_VALUE"""),0.5)</f>
        <v>0.5</v>
      </c>
      <c r="J1089" s="12">
        <f>IFERROR(__xludf.DUMMYFUNCTION("""COMPUTED_VALUE"""),3.0)</f>
        <v>3</v>
      </c>
      <c r="K1089" s="12">
        <f>IFERROR(__xludf.DUMMYFUNCTION("""COMPUTED_VALUE"""),0.4)</f>
        <v>0.4</v>
      </c>
      <c r="L1089" s="14">
        <f>IFERROR(__xludf.DUMMYFUNCTION("""COMPUTED_VALUE"""),348.011)</f>
        <v>348.011</v>
      </c>
      <c r="M1089" s="14">
        <f>IFERROR(__xludf.DUMMYFUNCTION("""COMPUTED_VALUE"""),347.404)</f>
        <v>347.404</v>
      </c>
      <c r="N1089" s="14">
        <f>IFERROR(__xludf.DUMMYFUNCTION("""COMPUTED_VALUE"""),350.146)</f>
        <v>350.146</v>
      </c>
      <c r="O1089" s="14">
        <f>IFERROR(__xludf.DUMMYFUNCTION("""COMPUTED_VALUE"""),353.564)</f>
        <v>353.564</v>
      </c>
      <c r="P1089" s="14">
        <f>IFERROR(__xludf.DUMMYFUNCTION("""COMPUTED_VALUE"""),352.097)</f>
        <v>352.097</v>
      </c>
      <c r="Q1089" s="14">
        <f>IFERROR(__xludf.DUMMYFUNCTION("""COMPUTED_VALUE"""),350.244)</f>
        <v>350.244</v>
      </c>
      <c r="R1089" s="48">
        <f>IFERROR(__xludf.DUMMYFUNCTION("""COMPUTED_VALUE"""),6.72)</f>
        <v>6.72</v>
      </c>
      <c r="S1089" s="48">
        <f>IFERROR(__xludf.DUMMYFUNCTION("""COMPUTED_VALUE"""),6.7)</f>
        <v>6.7</v>
      </c>
      <c r="T1089" s="48">
        <f>IFERROR(__xludf.DUMMYFUNCTION("""COMPUTED_VALUE"""),6.79)</f>
        <v>6.79</v>
      </c>
      <c r="U1089" s="48">
        <f>IFERROR(__xludf.DUMMYFUNCTION("""COMPUTED_VALUE"""),6.83)</f>
        <v>6.83</v>
      </c>
      <c r="V1089" s="48">
        <f>IFERROR(__xludf.DUMMYFUNCTION("""COMPUTED_VALUE"""),6.87)</f>
        <v>6.87</v>
      </c>
      <c r="W1089" s="14">
        <f>IFERROR(__xludf.DUMMYFUNCTION("""COMPUTED_VALUE"""),6.781999999999999)</f>
        <v>6.782</v>
      </c>
      <c r="X1089" s="14">
        <f>IFERROR(__xludf.DUMMYFUNCTION("""COMPUTED_VALUE"""),14.9)</f>
        <v>14.9</v>
      </c>
      <c r="Y1089" s="14">
        <f>IFERROR(__xludf.DUMMYFUNCTION("""COMPUTED_VALUE"""),15.3)</f>
        <v>15.3</v>
      </c>
      <c r="Z1089" s="14">
        <f>IFERROR(__xludf.DUMMYFUNCTION("""COMPUTED_VALUE"""),15.4)</f>
        <v>15.4</v>
      </c>
      <c r="AA1089" s="14">
        <f>IFERROR(__xludf.DUMMYFUNCTION("""COMPUTED_VALUE"""),15.7)</f>
        <v>15.7</v>
      </c>
      <c r="AB1089" s="14">
        <f>IFERROR(__xludf.DUMMYFUNCTION("""COMPUTED_VALUE"""),15.8)</f>
        <v>15.8</v>
      </c>
      <c r="AC1089" s="14">
        <f>IFERROR(__xludf.DUMMYFUNCTION("""COMPUTED_VALUE"""),15.419999999999998)</f>
        <v>15.42</v>
      </c>
      <c r="AD1089" s="48">
        <f>IFERROR(__xludf.DUMMYFUNCTION("""COMPUTED_VALUE"""),194.0)</f>
        <v>194</v>
      </c>
      <c r="AE1089" s="48">
        <f>IFERROR(__xludf.DUMMYFUNCTION("""COMPUTED_VALUE"""),199.0)</f>
        <v>199</v>
      </c>
      <c r="AF1089" s="48">
        <f>IFERROR(__xludf.DUMMYFUNCTION("""COMPUTED_VALUE"""),193.0)</f>
        <v>193</v>
      </c>
      <c r="AG1089" s="48">
        <f>IFERROR(__xludf.DUMMYFUNCTION("""COMPUTED_VALUE"""),202.0)</f>
        <v>202</v>
      </c>
      <c r="AH1089" s="48">
        <f>IFERROR(__xludf.DUMMYFUNCTION("""COMPUTED_VALUE"""),203.0)</f>
        <v>203</v>
      </c>
      <c r="AI1089" s="14">
        <f>IFERROR(__xludf.DUMMYFUNCTION("""COMPUTED_VALUE"""),198.2)</f>
        <v>198.2</v>
      </c>
      <c r="AJ1089" s="14">
        <f>IFERROR(__xludf.DUMMYFUNCTION("""COMPUTED_VALUE"""),4.54)</f>
        <v>4.54</v>
      </c>
      <c r="AK1089" s="14">
        <f>IFERROR(__xludf.DUMMYFUNCTION("""COMPUTED_VALUE"""),4.5)</f>
        <v>4.5</v>
      </c>
      <c r="AL1089" s="14">
        <f>IFERROR(__xludf.DUMMYFUNCTION("""COMPUTED_VALUE"""),4.38)</f>
        <v>4.38</v>
      </c>
      <c r="AM1089" s="14">
        <f>IFERROR(__xludf.DUMMYFUNCTION("""COMPUTED_VALUE"""),4.13)</f>
        <v>4.13</v>
      </c>
      <c r="AN1089" s="14">
        <f>IFERROR(__xludf.DUMMYFUNCTION("""COMPUTED_VALUE"""),4.25)</f>
        <v>4.25</v>
      </c>
      <c r="AO1089" s="14">
        <f>IFERROR(__xludf.DUMMYFUNCTION("""COMPUTED_VALUE"""),4.359999999999999)</f>
        <v>4.36</v>
      </c>
      <c r="AP1089" s="14">
        <f>IFERROR(__xludf.DUMMYFUNCTION("""COMPUTED_VALUE"""),10.0)</f>
        <v>10</v>
      </c>
      <c r="AQ1089" s="14">
        <f>IFERROR(__xludf.DUMMYFUNCTION("""COMPUTED_VALUE"""),48.0)</f>
        <v>48</v>
      </c>
      <c r="AR1089" s="14">
        <f>IFERROR(__xludf.DUMMYFUNCTION("""COMPUTED_VALUE"""),16.0)</f>
        <v>16</v>
      </c>
      <c r="AS1089" s="14">
        <f>IFERROR(__xludf.DUMMYFUNCTION("""COMPUTED_VALUE"""),10.3)</f>
        <v>10.3</v>
      </c>
      <c r="AT1089" s="14">
        <f>IFERROR(__xludf.DUMMYFUNCTION("""COMPUTED_VALUE"""),0.07)</f>
        <v>0.07</v>
      </c>
      <c r="AU1089" s="14">
        <f>IFERROR(__xludf.DUMMYFUNCTION("""COMPUTED_VALUE"""),1464000.0)</f>
        <v>1464000</v>
      </c>
      <c r="AV1089" s="14">
        <f>IFERROR(__xludf.DUMMYFUNCTION("""COMPUTED_VALUE"""),1.07)</f>
        <v>1.07</v>
      </c>
      <c r="AW1089" s="14">
        <f>IFERROR(__xludf.DUMMYFUNCTION("""COMPUTED_VALUE"""),5.9)</f>
        <v>5.9</v>
      </c>
      <c r="AX1089" s="14">
        <f>IFERROR(__xludf.DUMMYFUNCTION("""COMPUTED_VALUE"""),1412000.0)</f>
        <v>1412000</v>
      </c>
      <c r="AY1089" s="14">
        <f>IFERROR(__xludf.DUMMYFUNCTION("""COMPUTED_VALUE"""),0.5)</f>
        <v>0.5</v>
      </c>
      <c r="AZ1089" s="14">
        <f>IFERROR(__xludf.DUMMYFUNCTION("""COMPUTED_VALUE"""),0.14)</f>
        <v>0.14</v>
      </c>
      <c r="BA1089" s="14">
        <f t="shared" si="1"/>
        <v>6.54</v>
      </c>
    </row>
    <row r="1090" ht="14.25" customHeight="1">
      <c r="A1090" s="10" t="str">
        <f>IFERROR(__xludf.DUMMYFUNCTION("""COMPUTED_VALUE"""),"030724DA03")</f>
        <v>030724DA03</v>
      </c>
      <c r="B1090" s="12" t="str">
        <f>IFERROR(__xludf.DUMMYFUNCTION("""COMPUTED_VALUE"""),"QYO-Arrayanal")</f>
        <v>QYO-Arrayanal</v>
      </c>
      <c r="C1090" s="12"/>
      <c r="D1090" s="12"/>
      <c r="E1090" s="44">
        <f>IFERROR(__xludf.DUMMYFUNCTION("""COMPUTED_VALUE"""),45476.0)</f>
        <v>45476</v>
      </c>
      <c r="F1090" s="12" t="str">
        <f>IFERROR(__xludf.DUMMYFUNCTION("""COMPUTED_VALUE"""),"TIPO I")</f>
        <v>TIPO I</v>
      </c>
      <c r="G1090" s="12" t="str">
        <f>IFERROR(__xludf.DUMMYFUNCTION("""COMPUTED_VALUE"""),"Durante el desarrollo del monitoreo no se percibe olor ni se observa color. Presencia de residuos solidos en los márgenes de la quebrada. 
Altitud. 2819 msnm. ")</f>
        <v>Durante el desarrollo del monitoreo no se percibe olor ni se observa color. Presencia de residuos solidos en los márgenes de la quebrada. 
Altitud. 2819 msnm. </v>
      </c>
      <c r="H1090" s="45">
        <f>IFERROR(__xludf.DUMMYFUNCTION("""COMPUTED_VALUE"""),0.5833333333321207)</f>
        <v>0.5833333333</v>
      </c>
      <c r="I1090" s="45">
        <f>IFERROR(__xludf.DUMMYFUNCTION("""COMPUTED_VALUE"""),0.6666666666678793)</f>
        <v>0.6666666667</v>
      </c>
      <c r="J1090" s="12">
        <f>IFERROR(__xludf.DUMMYFUNCTION("""COMPUTED_VALUE"""),3.3)</f>
        <v>3.3</v>
      </c>
      <c r="K1090" s="12">
        <f>IFERROR(__xludf.DUMMYFUNCTION("""COMPUTED_VALUE"""),0.5)</f>
        <v>0.5</v>
      </c>
      <c r="L1090" s="14">
        <f>IFERROR(__xludf.DUMMYFUNCTION("""COMPUTED_VALUE"""),173.434)</f>
        <v>173.434</v>
      </c>
      <c r="M1090" s="14">
        <f>IFERROR(__xludf.DUMMYFUNCTION("""COMPUTED_VALUE"""),176.709)</f>
        <v>176.709</v>
      </c>
      <c r="N1090" s="14">
        <f>IFERROR(__xludf.DUMMYFUNCTION("""COMPUTED_VALUE"""),178.536)</f>
        <v>178.536</v>
      </c>
      <c r="O1090" s="14">
        <f>IFERROR(__xludf.DUMMYFUNCTION("""COMPUTED_VALUE"""),176.921)</f>
        <v>176.921</v>
      </c>
      <c r="P1090" s="14">
        <f>IFERROR(__xludf.DUMMYFUNCTION("""COMPUTED_VALUE"""),177.781)</f>
        <v>177.781</v>
      </c>
      <c r="Q1090" s="14">
        <f>IFERROR(__xludf.DUMMYFUNCTION("""COMPUTED_VALUE"""),176.676)</f>
        <v>176.676</v>
      </c>
      <c r="R1090" s="48">
        <f>IFERROR(__xludf.DUMMYFUNCTION("""COMPUTED_VALUE"""),7.4)</f>
        <v>7.4</v>
      </c>
      <c r="S1090" s="48">
        <f>IFERROR(__xludf.DUMMYFUNCTION("""COMPUTED_VALUE"""),6.5)</f>
        <v>6.5</v>
      </c>
      <c r="T1090" s="48">
        <f>IFERROR(__xludf.DUMMYFUNCTION("""COMPUTED_VALUE"""),6.59)</f>
        <v>6.59</v>
      </c>
      <c r="U1090" s="48">
        <f>IFERROR(__xludf.DUMMYFUNCTION("""COMPUTED_VALUE"""),6.75)</f>
        <v>6.75</v>
      </c>
      <c r="V1090" s="48">
        <f>IFERROR(__xludf.DUMMYFUNCTION("""COMPUTED_VALUE"""),6.79)</f>
        <v>6.79</v>
      </c>
      <c r="W1090" s="14">
        <f>IFERROR(__xludf.DUMMYFUNCTION("""COMPUTED_VALUE"""),6.806)</f>
        <v>6.806</v>
      </c>
      <c r="X1090" s="14">
        <f>IFERROR(__xludf.DUMMYFUNCTION("""COMPUTED_VALUE"""),13.7)</f>
        <v>13.7</v>
      </c>
      <c r="Y1090" s="14">
        <f>IFERROR(__xludf.DUMMYFUNCTION("""COMPUTED_VALUE"""),13.8)</f>
        <v>13.8</v>
      </c>
      <c r="Z1090" s="14">
        <f>IFERROR(__xludf.DUMMYFUNCTION("""COMPUTED_VALUE"""),13.6)</f>
        <v>13.6</v>
      </c>
      <c r="AA1090" s="14">
        <f>IFERROR(__xludf.DUMMYFUNCTION("""COMPUTED_VALUE"""),13.6)</f>
        <v>13.6</v>
      </c>
      <c r="AB1090" s="14">
        <f>IFERROR(__xludf.DUMMYFUNCTION("""COMPUTED_VALUE"""),13.5)</f>
        <v>13.5</v>
      </c>
      <c r="AC1090" s="14">
        <f>IFERROR(__xludf.DUMMYFUNCTION("""COMPUTED_VALUE"""),13.64)</f>
        <v>13.64</v>
      </c>
      <c r="AD1090" s="48">
        <f>IFERROR(__xludf.DUMMYFUNCTION("""COMPUTED_VALUE"""),110.9)</f>
        <v>110.9</v>
      </c>
      <c r="AE1090" s="48">
        <f>IFERROR(__xludf.DUMMYFUNCTION("""COMPUTED_VALUE"""),104.0)</f>
        <v>104</v>
      </c>
      <c r="AF1090" s="48">
        <f>IFERROR(__xludf.DUMMYFUNCTION("""COMPUTED_VALUE"""),108.7)</f>
        <v>108.7</v>
      </c>
      <c r="AG1090" s="48">
        <f>IFERROR(__xludf.DUMMYFUNCTION("""COMPUTED_VALUE"""),112.7)</f>
        <v>112.7</v>
      </c>
      <c r="AH1090" s="48">
        <f>IFERROR(__xludf.DUMMYFUNCTION("""COMPUTED_VALUE"""),113.0)</f>
        <v>113</v>
      </c>
      <c r="AI1090" s="14">
        <f>IFERROR(__xludf.DUMMYFUNCTION("""COMPUTED_VALUE"""),109.85999999999999)</f>
        <v>109.86</v>
      </c>
      <c r="AJ1090" s="14">
        <f>IFERROR(__xludf.DUMMYFUNCTION("""COMPUTED_VALUE"""),5.1)</f>
        <v>5.1</v>
      </c>
      <c r="AK1090" s="14">
        <f>IFERROR(__xludf.DUMMYFUNCTION("""COMPUTED_VALUE"""),6.45)</f>
        <v>6.45</v>
      </c>
      <c r="AL1090" s="14">
        <f>IFERROR(__xludf.DUMMYFUNCTION("""COMPUTED_VALUE"""),6.18)</f>
        <v>6.18</v>
      </c>
      <c r="AM1090" s="14">
        <f>IFERROR(__xludf.DUMMYFUNCTION("""COMPUTED_VALUE"""),6.11)</f>
        <v>6.11</v>
      </c>
      <c r="AN1090" s="14">
        <f>IFERROR(__xludf.DUMMYFUNCTION("""COMPUTED_VALUE"""),5.99)</f>
        <v>5.99</v>
      </c>
      <c r="AO1090" s="14">
        <f>IFERROR(__xludf.DUMMYFUNCTION("""COMPUTED_VALUE"""),5.965999999999999)</f>
        <v>5.966</v>
      </c>
      <c r="AP1090" s="14">
        <f>IFERROR(__xludf.DUMMYFUNCTION("""COMPUTED_VALUE"""),10.0)</f>
        <v>10</v>
      </c>
      <c r="AQ1090" s="14">
        <f>IFERROR(__xludf.DUMMYFUNCTION("""COMPUTED_VALUE"""),36.0)</f>
        <v>36</v>
      </c>
      <c r="AR1090" s="14">
        <f>IFERROR(__xludf.DUMMYFUNCTION("""COMPUTED_VALUE"""),12.0)</f>
        <v>12</v>
      </c>
      <c r="AS1090" s="14">
        <f>IFERROR(__xludf.DUMMYFUNCTION("""COMPUTED_VALUE"""),9.3)</f>
        <v>9.3</v>
      </c>
      <c r="AT1090" s="14">
        <f>IFERROR(__xludf.DUMMYFUNCTION("""COMPUTED_VALUE"""),0.07)</f>
        <v>0.07</v>
      </c>
      <c r="AU1090" s="14">
        <f>IFERROR(__xludf.DUMMYFUNCTION("""COMPUTED_VALUE"""),1621000.0)</f>
        <v>1621000</v>
      </c>
      <c r="AV1090" s="14">
        <f>IFERROR(__xludf.DUMMYFUNCTION("""COMPUTED_VALUE"""),0.42)</f>
        <v>0.42</v>
      </c>
      <c r="AW1090" s="14">
        <f>IFERROR(__xludf.DUMMYFUNCTION("""COMPUTED_VALUE"""),2.5)</f>
        <v>2.5</v>
      </c>
      <c r="AX1090" s="14">
        <f>IFERROR(__xludf.DUMMYFUNCTION("""COMPUTED_VALUE"""),1559000.0)</f>
        <v>1559000</v>
      </c>
      <c r="AY1090" s="14">
        <f>IFERROR(__xludf.DUMMYFUNCTION("""COMPUTED_VALUE"""),0.9)</f>
        <v>0.9</v>
      </c>
      <c r="AZ1090" s="14">
        <f>IFERROR(__xludf.DUMMYFUNCTION("""COMPUTED_VALUE"""),0.05)</f>
        <v>0.05</v>
      </c>
      <c r="BA1090" s="14">
        <f t="shared" si="1"/>
        <v>3.45</v>
      </c>
    </row>
    <row r="1091" ht="14.25" customHeight="1">
      <c r="A1091" s="10" t="str">
        <f>IFERROR(__xludf.DUMMYFUNCTION("""COMPUTED_VALUE"""),"050724FM02")</f>
        <v>050724FM02</v>
      </c>
      <c r="B1091" s="12" t="str">
        <f>IFERROR(__xludf.DUMMYFUNCTION("""COMPUTED_VALUE"""),"QCH-Cantarrana")</f>
        <v>QCH-Cantarrana</v>
      </c>
      <c r="C1091" s="12"/>
      <c r="D1091" s="12"/>
      <c r="E1091" s="44">
        <f>IFERROR(__xludf.DUMMYFUNCTION("""COMPUTED_VALUE"""),45478.0)</f>
        <v>45478</v>
      </c>
      <c r="F1091" s="12" t="str">
        <f>IFERROR(__xludf.DUMMYFUNCTION("""COMPUTED_VALUE"""),"TIPO I")</f>
        <v>TIPO I</v>
      </c>
      <c r="G1091" s="12" t="str">
        <f>IFERROR(__xludf.DUMMYFUNCTION("""COMPUTED_VALUE"""),"Durante el monitoreo se observa color y se percibe olor, en la ultima toma de alícuota se presentan leves lluvias. 
Altitud: 2640 msnm.")</f>
        <v>Durante el monitoreo se observa color y se percibe olor, en la ultima toma de alícuota se presentan leves lluvias. 
Altitud: 2640 msnm.</v>
      </c>
      <c r="H1091" s="45">
        <f>IFERROR(__xludf.DUMMYFUNCTION("""COMPUTED_VALUE"""),0.5)</f>
        <v>0.5</v>
      </c>
      <c r="I1091" s="45">
        <f>IFERROR(__xludf.DUMMYFUNCTION("""COMPUTED_VALUE"""),0.5833333333321207)</f>
        <v>0.5833333333</v>
      </c>
      <c r="J1091" s="12">
        <f>IFERROR(__xludf.DUMMYFUNCTION("""COMPUTED_VALUE"""),0.55)</f>
        <v>0.55</v>
      </c>
      <c r="K1091" s="12">
        <f>IFERROR(__xludf.DUMMYFUNCTION("""COMPUTED_VALUE"""),0.18)</f>
        <v>0.18</v>
      </c>
      <c r="L1091" s="14">
        <f>IFERROR(__xludf.DUMMYFUNCTION("""COMPUTED_VALUE"""),28.562)</f>
        <v>28.562</v>
      </c>
      <c r="M1091" s="14">
        <f>IFERROR(__xludf.DUMMYFUNCTION("""COMPUTED_VALUE"""),29.561)</f>
        <v>29.561</v>
      </c>
      <c r="N1091" s="14">
        <f>IFERROR(__xludf.DUMMYFUNCTION("""COMPUTED_VALUE"""),30.36)</f>
        <v>30.36</v>
      </c>
      <c r="O1091" s="14">
        <f>IFERROR(__xludf.DUMMYFUNCTION("""COMPUTED_VALUE"""),31.096)</f>
        <v>31.096</v>
      </c>
      <c r="P1091" s="14">
        <f>IFERROR(__xludf.DUMMYFUNCTION("""COMPUTED_VALUE"""),31.317)</f>
        <v>31.317</v>
      </c>
      <c r="Q1091" s="14">
        <f>IFERROR(__xludf.DUMMYFUNCTION("""COMPUTED_VALUE"""),30.179)</f>
        <v>30.179</v>
      </c>
      <c r="R1091" s="48">
        <f>IFERROR(__xludf.DUMMYFUNCTION("""COMPUTED_VALUE"""),8.44)</f>
        <v>8.44</v>
      </c>
      <c r="S1091" s="48">
        <f>IFERROR(__xludf.DUMMYFUNCTION("""COMPUTED_VALUE"""),8.29)</f>
        <v>8.29</v>
      </c>
      <c r="T1091" s="48">
        <f>IFERROR(__xludf.DUMMYFUNCTION("""COMPUTED_VALUE"""),8.32)</f>
        <v>8.32</v>
      </c>
      <c r="U1091" s="48">
        <f>IFERROR(__xludf.DUMMYFUNCTION("""COMPUTED_VALUE"""),8.03)</f>
        <v>8.03</v>
      </c>
      <c r="V1091" s="48">
        <f>IFERROR(__xludf.DUMMYFUNCTION("""COMPUTED_VALUE"""),8.18)</f>
        <v>8.18</v>
      </c>
      <c r="W1091" s="14">
        <f>IFERROR(__xludf.DUMMYFUNCTION("""COMPUTED_VALUE"""),8.251999999999999)</f>
        <v>8.252</v>
      </c>
      <c r="X1091" s="14">
        <f>IFERROR(__xludf.DUMMYFUNCTION("""COMPUTED_VALUE"""),19.2)</f>
        <v>19.2</v>
      </c>
      <c r="Y1091" s="14">
        <f>IFERROR(__xludf.DUMMYFUNCTION("""COMPUTED_VALUE"""),18.3)</f>
        <v>18.3</v>
      </c>
      <c r="Z1091" s="14">
        <f>IFERROR(__xludf.DUMMYFUNCTION("""COMPUTED_VALUE"""),18.7)</f>
        <v>18.7</v>
      </c>
      <c r="AA1091" s="14">
        <f>IFERROR(__xludf.DUMMYFUNCTION("""COMPUTED_VALUE"""),18.5)</f>
        <v>18.5</v>
      </c>
      <c r="AB1091" s="14">
        <f>IFERROR(__xludf.DUMMYFUNCTION("""COMPUTED_VALUE"""),16.3)</f>
        <v>16.3</v>
      </c>
      <c r="AC1091" s="14">
        <f>IFERROR(__xludf.DUMMYFUNCTION("""COMPUTED_VALUE"""),18.2)</f>
        <v>18.2</v>
      </c>
      <c r="AD1091" s="48">
        <f>IFERROR(__xludf.DUMMYFUNCTION("""COMPUTED_VALUE"""),853.0)</f>
        <v>853</v>
      </c>
      <c r="AE1091" s="48">
        <f>IFERROR(__xludf.DUMMYFUNCTION("""COMPUTED_VALUE"""),822.0)</f>
        <v>822</v>
      </c>
      <c r="AF1091" s="48">
        <f>IFERROR(__xludf.DUMMYFUNCTION("""COMPUTED_VALUE"""),790.0)</f>
        <v>790</v>
      </c>
      <c r="AG1091" s="48">
        <f>IFERROR(__xludf.DUMMYFUNCTION("""COMPUTED_VALUE"""),758.0)</f>
        <v>758</v>
      </c>
      <c r="AH1091" s="48">
        <f>IFERROR(__xludf.DUMMYFUNCTION("""COMPUTED_VALUE"""),748.0)</f>
        <v>748</v>
      </c>
      <c r="AI1091" s="14">
        <f>IFERROR(__xludf.DUMMYFUNCTION("""COMPUTED_VALUE"""),794.2)</f>
        <v>794.2</v>
      </c>
      <c r="AJ1091" s="14">
        <f>IFERROR(__xludf.DUMMYFUNCTION("""COMPUTED_VALUE"""),2.47)</f>
        <v>2.47</v>
      </c>
      <c r="AK1091" s="14">
        <f>IFERROR(__xludf.DUMMYFUNCTION("""COMPUTED_VALUE"""),2.79)</f>
        <v>2.79</v>
      </c>
      <c r="AL1091" s="14">
        <f>IFERROR(__xludf.DUMMYFUNCTION("""COMPUTED_VALUE"""),2.56)</f>
        <v>2.56</v>
      </c>
      <c r="AM1091" s="14">
        <f>IFERROR(__xludf.DUMMYFUNCTION("""COMPUTED_VALUE"""),3.52)</f>
        <v>3.52</v>
      </c>
      <c r="AN1091" s="14">
        <f>IFERROR(__xludf.DUMMYFUNCTION("""COMPUTED_VALUE"""),3.14)</f>
        <v>3.14</v>
      </c>
      <c r="AO1091" s="14">
        <f>IFERROR(__xludf.DUMMYFUNCTION("""COMPUTED_VALUE"""),2.896)</f>
        <v>2.896</v>
      </c>
      <c r="AP1091" s="14">
        <f>IFERROR(__xludf.DUMMYFUNCTION("""COMPUTED_VALUE"""),238.0)</f>
        <v>238</v>
      </c>
      <c r="AQ1091" s="14">
        <f>IFERROR(__xludf.DUMMYFUNCTION("""COMPUTED_VALUE"""),340.0)</f>
        <v>340</v>
      </c>
      <c r="AR1091" s="14">
        <f>IFERROR(__xludf.DUMMYFUNCTION("""COMPUTED_VALUE"""),140.0)</f>
        <v>140</v>
      </c>
      <c r="AS1091" s="14">
        <f>IFERROR(__xludf.DUMMYFUNCTION("""COMPUTED_VALUE"""),27.0)</f>
        <v>27</v>
      </c>
      <c r="AT1091" s="14">
        <f>IFERROR(__xludf.DUMMYFUNCTION("""COMPUTED_VALUE"""),5.64)</f>
        <v>5.64</v>
      </c>
      <c r="AU1091" s="14">
        <f>IFERROR(__xludf.DUMMYFUNCTION("""COMPUTED_VALUE"""),9.34E7)</f>
        <v>93400000</v>
      </c>
      <c r="AV1091" s="14">
        <f>IFERROR(__xludf.DUMMYFUNCTION("""COMPUTED_VALUE"""),5.09)</f>
        <v>5.09</v>
      </c>
      <c r="AW1091" s="14">
        <f>IFERROR(__xludf.DUMMYFUNCTION("""COMPUTED_VALUE"""),39.2)</f>
        <v>39.2</v>
      </c>
      <c r="AX1091" s="14">
        <f>IFERROR(__xludf.DUMMYFUNCTION("""COMPUTED_VALUE"""),6.45E7)</f>
        <v>64500000</v>
      </c>
      <c r="AY1091" s="14">
        <f>IFERROR(__xludf.DUMMYFUNCTION("""COMPUTED_VALUE"""),0.8)</f>
        <v>0.8</v>
      </c>
      <c r="AZ1091" s="14">
        <f>IFERROR(__xludf.DUMMYFUNCTION("""COMPUTED_VALUE"""),0.007)</f>
        <v>0.007</v>
      </c>
      <c r="BA1091" s="14">
        <f t="shared" si="1"/>
        <v>40.007</v>
      </c>
    </row>
    <row r="1092" ht="14.25" customHeight="1">
      <c r="A1092" s="10" t="str">
        <f>IFERROR(__xludf.DUMMYFUNCTION("""COMPUTED_VALUE"""),"050724FE02")</f>
        <v>050724FE02</v>
      </c>
      <c r="B1092" s="12" t="str">
        <f>IFERROR(__xludf.DUMMYFUNCTION("""COMPUTED_VALUE"""),"QTR-Quiba")</f>
        <v>QTR-Quiba</v>
      </c>
      <c r="C1092" s="12"/>
      <c r="D1092" s="12"/>
      <c r="E1092" s="44">
        <f>IFERROR(__xludf.DUMMYFUNCTION("""COMPUTED_VALUE"""),45478.0)</f>
        <v>45478</v>
      </c>
      <c r="F1092" s="12" t="str">
        <f>IFERROR(__xludf.DUMMYFUNCTION("""COMPUTED_VALUE"""),"TIPO I")</f>
        <v>TIPO I</v>
      </c>
      <c r="G1092" s="12" t="str">
        <f>IFERROR(__xludf.DUMMYFUNCTION("""COMPUTED_VALUE"""),"Toma de muestra en lecho natural rocoso-arenoso, durante el monitoreo se observa color, se percibe olor, se evidencian sedimentos a causa de una descarga aguas arriba por parte de dos empresas de extracción de minerales de cantera.
Se observan residuos so"&amp;"lidos tanto en el lecho como a los costados de la quebrada.
 Altitud 2636msnm")</f>
        <v>Toma de muestra en lecho natural rocoso-arenoso, durante el monitoreo se observa color, se percibe olor, se evidencian sedimentos a causa de una descarga aguas arriba por parte de dos empresas de extracción de minerales de cantera.
Se observan residuos solidos tanto en el lecho como a los costados de la quebrada.
 Altitud 2636msnm</v>
      </c>
      <c r="H1092" s="45">
        <f>IFERROR(__xludf.DUMMYFUNCTION("""COMPUTED_VALUE"""),0.4166666666678793)</f>
        <v>0.4166666667</v>
      </c>
      <c r="I1092" s="45">
        <f>IFERROR(__xludf.DUMMYFUNCTION("""COMPUTED_VALUE"""),0.5)</f>
        <v>0.5</v>
      </c>
      <c r="J1092" s="12">
        <f>IFERROR(__xludf.DUMMYFUNCTION("""COMPUTED_VALUE"""),0.9)</f>
        <v>0.9</v>
      </c>
      <c r="K1092" s="12">
        <f>IFERROR(__xludf.DUMMYFUNCTION("""COMPUTED_VALUE"""),0.27)</f>
        <v>0.27</v>
      </c>
      <c r="L1092" s="14">
        <f>IFERROR(__xludf.DUMMYFUNCTION("""COMPUTED_VALUE"""),36.188)</f>
        <v>36.188</v>
      </c>
      <c r="M1092" s="14">
        <f>IFERROR(__xludf.DUMMYFUNCTION("""COMPUTED_VALUE"""),36.586)</f>
        <v>36.586</v>
      </c>
      <c r="N1092" s="14">
        <f>IFERROR(__xludf.DUMMYFUNCTION("""COMPUTED_VALUE"""),35.891)</f>
        <v>35.891</v>
      </c>
      <c r="O1092" s="14">
        <f>IFERROR(__xludf.DUMMYFUNCTION("""COMPUTED_VALUE"""),36.727)</f>
        <v>36.727</v>
      </c>
      <c r="P1092" s="14">
        <f>IFERROR(__xludf.DUMMYFUNCTION("""COMPUTED_VALUE"""),37.037)</f>
        <v>37.037</v>
      </c>
      <c r="Q1092" s="14">
        <f>IFERROR(__xludf.DUMMYFUNCTION("""COMPUTED_VALUE"""),36.486)</f>
        <v>36.486</v>
      </c>
      <c r="R1092" s="48">
        <f>IFERROR(__xludf.DUMMYFUNCTION("""COMPUTED_VALUE"""),10.62)</f>
        <v>10.62</v>
      </c>
      <c r="S1092" s="48">
        <f>IFERROR(__xludf.DUMMYFUNCTION("""COMPUTED_VALUE"""),10.41)</f>
        <v>10.41</v>
      </c>
      <c r="T1092" s="48">
        <f>IFERROR(__xludf.DUMMYFUNCTION("""COMPUTED_VALUE"""),9.47)</f>
        <v>9.47</v>
      </c>
      <c r="U1092" s="48">
        <f>IFERROR(__xludf.DUMMYFUNCTION("""COMPUTED_VALUE"""),9.6)</f>
        <v>9.6</v>
      </c>
      <c r="V1092" s="48">
        <f>IFERROR(__xludf.DUMMYFUNCTION("""COMPUTED_VALUE"""),10.31)</f>
        <v>10.31</v>
      </c>
      <c r="W1092" s="14">
        <f>IFERROR(__xludf.DUMMYFUNCTION("""COMPUTED_VALUE"""),10.082)</f>
        <v>10.082</v>
      </c>
      <c r="X1092" s="14">
        <f>IFERROR(__xludf.DUMMYFUNCTION("""COMPUTED_VALUE"""),16.1)</f>
        <v>16.1</v>
      </c>
      <c r="Y1092" s="14">
        <f>IFERROR(__xludf.DUMMYFUNCTION("""COMPUTED_VALUE"""),16.4)</f>
        <v>16.4</v>
      </c>
      <c r="Z1092" s="14">
        <f>IFERROR(__xludf.DUMMYFUNCTION("""COMPUTED_VALUE"""),16.6)</f>
        <v>16.6</v>
      </c>
      <c r="AA1092" s="14">
        <f>IFERROR(__xludf.DUMMYFUNCTION("""COMPUTED_VALUE"""),16.7)</f>
        <v>16.7</v>
      </c>
      <c r="AB1092" s="14">
        <f>IFERROR(__xludf.DUMMYFUNCTION("""COMPUTED_VALUE"""),17.7)</f>
        <v>17.7</v>
      </c>
      <c r="AC1092" s="14">
        <f>IFERROR(__xludf.DUMMYFUNCTION("""COMPUTED_VALUE"""),16.7)</f>
        <v>16.7</v>
      </c>
      <c r="AD1092" s="48">
        <f>IFERROR(__xludf.DUMMYFUNCTION("""COMPUTED_VALUE"""),505.0)</f>
        <v>505</v>
      </c>
      <c r="AE1092" s="48">
        <f>IFERROR(__xludf.DUMMYFUNCTION("""COMPUTED_VALUE"""),533.0)</f>
        <v>533</v>
      </c>
      <c r="AF1092" s="48">
        <f>IFERROR(__xludf.DUMMYFUNCTION("""COMPUTED_VALUE"""),579.0)</f>
        <v>579</v>
      </c>
      <c r="AG1092" s="48">
        <f>IFERROR(__xludf.DUMMYFUNCTION("""COMPUTED_VALUE"""),588.0)</f>
        <v>588</v>
      </c>
      <c r="AH1092" s="48">
        <f>IFERROR(__xludf.DUMMYFUNCTION("""COMPUTED_VALUE"""),542.0)</f>
        <v>542</v>
      </c>
      <c r="AI1092" s="14">
        <f>IFERROR(__xludf.DUMMYFUNCTION("""COMPUTED_VALUE"""),549.4)</f>
        <v>549.4</v>
      </c>
      <c r="AJ1092" s="14">
        <f>IFERROR(__xludf.DUMMYFUNCTION("""COMPUTED_VALUE"""),4.76)</f>
        <v>4.76</v>
      </c>
      <c r="AK1092" s="14">
        <f>IFERROR(__xludf.DUMMYFUNCTION("""COMPUTED_VALUE"""),4.89)</f>
        <v>4.89</v>
      </c>
      <c r="AL1092" s="14">
        <f>IFERROR(__xludf.DUMMYFUNCTION("""COMPUTED_VALUE"""),4.5)</f>
        <v>4.5</v>
      </c>
      <c r="AM1092" s="14">
        <f>IFERROR(__xludf.DUMMYFUNCTION("""COMPUTED_VALUE"""),4.64)</f>
        <v>4.64</v>
      </c>
      <c r="AN1092" s="14">
        <f>IFERROR(__xludf.DUMMYFUNCTION("""COMPUTED_VALUE"""),4.49)</f>
        <v>4.49</v>
      </c>
      <c r="AO1092" s="14">
        <f>IFERROR(__xludf.DUMMYFUNCTION("""COMPUTED_VALUE"""),4.656000000000001)</f>
        <v>4.656</v>
      </c>
      <c r="AP1092" s="14">
        <f>IFERROR(__xludf.DUMMYFUNCTION("""COMPUTED_VALUE"""),637.0)</f>
        <v>637</v>
      </c>
      <c r="AQ1092" s="14">
        <f>IFERROR(__xludf.DUMMYFUNCTION("""COMPUTED_VALUE"""),1090.0)</f>
        <v>1090</v>
      </c>
      <c r="AR1092" s="14">
        <f>IFERROR(__xludf.DUMMYFUNCTION("""COMPUTED_VALUE"""),2260.0)</f>
        <v>2260</v>
      </c>
      <c r="AS1092" s="14">
        <f>IFERROR(__xludf.DUMMYFUNCTION("""COMPUTED_VALUE"""),11.9)</f>
        <v>11.9</v>
      </c>
      <c r="AT1092" s="14">
        <f>IFERROR(__xludf.DUMMYFUNCTION("""COMPUTED_VALUE"""),0.29)</f>
        <v>0.29</v>
      </c>
      <c r="AU1092" s="14">
        <f>IFERROR(__xludf.DUMMYFUNCTION("""COMPUTED_VALUE"""),222200.0)</f>
        <v>222200</v>
      </c>
      <c r="AV1092" s="14">
        <f>IFERROR(__xludf.DUMMYFUNCTION("""COMPUTED_VALUE"""),0.05)</f>
        <v>0.05</v>
      </c>
      <c r="AW1092" s="14">
        <f>IFERROR(__xludf.DUMMYFUNCTION("""COMPUTED_VALUE"""),24.6)</f>
        <v>24.6</v>
      </c>
      <c r="AX1092" s="14">
        <f>IFERROR(__xludf.DUMMYFUNCTION("""COMPUTED_VALUE"""),129900.0)</f>
        <v>129900</v>
      </c>
      <c r="AY1092" s="14">
        <f>IFERROR(__xludf.DUMMYFUNCTION("""COMPUTED_VALUE"""),0.9)</f>
        <v>0.9</v>
      </c>
      <c r="AZ1092" s="14">
        <f>IFERROR(__xludf.DUMMYFUNCTION("""COMPUTED_VALUE"""),0.223)</f>
        <v>0.223</v>
      </c>
      <c r="BA1092" s="14">
        <f t="shared" si="1"/>
        <v>25.723</v>
      </c>
    </row>
    <row r="1093" ht="14.25" customHeight="1">
      <c r="A1093" s="10" t="str">
        <f>IFERROR(__xludf.DUMMYFUNCTION("""COMPUTED_VALUE"""),"050724FM01")</f>
        <v>050724FM01</v>
      </c>
      <c r="B1093" s="12" t="str">
        <f>IFERROR(__xludf.DUMMYFUNCTION("""COMPUTED_VALUE"""),"QCH-La Orquídea")</f>
        <v>QCH-La Orquídea</v>
      </c>
      <c r="C1093" s="12"/>
      <c r="D1093" s="12"/>
      <c r="E1093" s="44">
        <f>IFERROR(__xludf.DUMMYFUNCTION("""COMPUTED_VALUE"""),45478.0)</f>
        <v>45478</v>
      </c>
      <c r="F1093" s="12" t="str">
        <f>IFERROR(__xludf.DUMMYFUNCTION("""COMPUTED_VALUE"""),"TIPO I")</f>
        <v>TIPO I</v>
      </c>
      <c r="G1093" s="12" t="str">
        <f>IFERROR(__xludf.DUMMYFUNCTION("""COMPUTED_VALUE"""),"Durante el monitoreo se percibe olor, se observa color. Después de la tercera alícuota se presentan cambios representativos en la coloración del agua y en el pH.
Altitud: 2790 msnm
")</f>
        <v>Durante el monitoreo se percibe olor, se observa color. Después de la tercera alícuota se presentan cambios representativos en la coloración del agua y en el pH.
Altitud: 2790 msnm
</v>
      </c>
      <c r="H1093" s="45">
        <f>IFERROR(__xludf.DUMMYFUNCTION("""COMPUTED_VALUE"""),0.3333333333321207)</f>
        <v>0.3333333333</v>
      </c>
      <c r="I1093" s="45">
        <f>IFERROR(__xludf.DUMMYFUNCTION("""COMPUTED_VALUE"""),0.4166666666678793)</f>
        <v>0.4166666667</v>
      </c>
      <c r="J1093" s="12"/>
      <c r="K1093" s="12"/>
      <c r="L1093" s="14">
        <f>IFERROR(__xludf.DUMMYFUNCTION("""COMPUTED_VALUE"""),0.776)</f>
        <v>0.776</v>
      </c>
      <c r="M1093" s="14">
        <f>IFERROR(__xludf.DUMMYFUNCTION("""COMPUTED_VALUE"""),1.008)</f>
        <v>1.008</v>
      </c>
      <c r="N1093" s="14">
        <f>IFERROR(__xludf.DUMMYFUNCTION("""COMPUTED_VALUE"""),1.05)</f>
        <v>1.05</v>
      </c>
      <c r="O1093" s="14">
        <f>IFERROR(__xludf.DUMMYFUNCTION("""COMPUTED_VALUE"""),1.197)</f>
        <v>1.197</v>
      </c>
      <c r="P1093" s="14">
        <f>IFERROR(__xludf.DUMMYFUNCTION("""COMPUTED_VALUE"""),1.011)</f>
        <v>1.011</v>
      </c>
      <c r="Q1093" s="14">
        <f>IFERROR(__xludf.DUMMYFUNCTION("""COMPUTED_VALUE"""),1.009)</f>
        <v>1.009</v>
      </c>
      <c r="R1093" s="48">
        <f>IFERROR(__xludf.DUMMYFUNCTION("""COMPUTED_VALUE"""),8.63)</f>
        <v>8.63</v>
      </c>
      <c r="S1093" s="48">
        <f>IFERROR(__xludf.DUMMYFUNCTION("""COMPUTED_VALUE"""),8.53)</f>
        <v>8.53</v>
      </c>
      <c r="T1093" s="48">
        <f>IFERROR(__xludf.DUMMYFUNCTION("""COMPUTED_VALUE"""),9.2)</f>
        <v>9.2</v>
      </c>
      <c r="U1093" s="48">
        <f>IFERROR(__xludf.DUMMYFUNCTION("""COMPUTED_VALUE"""),9.49)</f>
        <v>9.49</v>
      </c>
      <c r="V1093" s="48">
        <f>IFERROR(__xludf.DUMMYFUNCTION("""COMPUTED_VALUE"""),9.15)</f>
        <v>9.15</v>
      </c>
      <c r="W1093" s="14">
        <f>IFERROR(__xludf.DUMMYFUNCTION("""COMPUTED_VALUE"""),9.0)</f>
        <v>9</v>
      </c>
      <c r="X1093" s="14">
        <f>IFERROR(__xludf.DUMMYFUNCTION("""COMPUTED_VALUE"""),16.9)</f>
        <v>16.9</v>
      </c>
      <c r="Y1093" s="14">
        <f>IFERROR(__xludf.DUMMYFUNCTION("""COMPUTED_VALUE"""),16.8)</f>
        <v>16.8</v>
      </c>
      <c r="Z1093" s="14">
        <f>IFERROR(__xludf.DUMMYFUNCTION("""COMPUTED_VALUE"""),17.2)</f>
        <v>17.2</v>
      </c>
      <c r="AA1093" s="14">
        <f>IFERROR(__xludf.DUMMYFUNCTION("""COMPUTED_VALUE"""),17.2)</f>
        <v>17.2</v>
      </c>
      <c r="AB1093" s="14">
        <f>IFERROR(__xludf.DUMMYFUNCTION("""COMPUTED_VALUE"""),15.7)</f>
        <v>15.7</v>
      </c>
      <c r="AC1093" s="14">
        <f>IFERROR(__xludf.DUMMYFUNCTION("""COMPUTED_VALUE"""),16.76)</f>
        <v>16.76</v>
      </c>
      <c r="AD1093" s="48">
        <f>IFERROR(__xludf.DUMMYFUNCTION("""COMPUTED_VALUE"""),932.0)</f>
        <v>932</v>
      </c>
      <c r="AE1093" s="48">
        <f>IFERROR(__xludf.DUMMYFUNCTION("""COMPUTED_VALUE"""),909.0)</f>
        <v>909</v>
      </c>
      <c r="AF1093" s="48">
        <f>IFERROR(__xludf.DUMMYFUNCTION("""COMPUTED_VALUE"""),935.0)</f>
        <v>935</v>
      </c>
      <c r="AG1093" s="48">
        <f>IFERROR(__xludf.DUMMYFUNCTION("""COMPUTED_VALUE"""),828.0)</f>
        <v>828</v>
      </c>
      <c r="AH1093" s="48">
        <f>IFERROR(__xludf.DUMMYFUNCTION("""COMPUTED_VALUE"""),898.0)</f>
        <v>898</v>
      </c>
      <c r="AI1093" s="14">
        <f>IFERROR(__xludf.DUMMYFUNCTION("""COMPUTED_VALUE"""),900.4)</f>
        <v>900.4</v>
      </c>
      <c r="AJ1093" s="14">
        <f>IFERROR(__xludf.DUMMYFUNCTION("""COMPUTED_VALUE"""),3.97)</f>
        <v>3.97</v>
      </c>
      <c r="AK1093" s="14">
        <f>IFERROR(__xludf.DUMMYFUNCTION("""COMPUTED_VALUE"""),3.82)</f>
        <v>3.82</v>
      </c>
      <c r="AL1093" s="14">
        <f>IFERROR(__xludf.DUMMYFUNCTION("""COMPUTED_VALUE"""),3.5)</f>
        <v>3.5</v>
      </c>
      <c r="AM1093" s="14">
        <f>IFERROR(__xludf.DUMMYFUNCTION("""COMPUTED_VALUE"""),3.96)</f>
        <v>3.96</v>
      </c>
      <c r="AN1093" s="14">
        <f>IFERROR(__xludf.DUMMYFUNCTION("""COMPUTED_VALUE"""),3.07)</f>
        <v>3.07</v>
      </c>
      <c r="AO1093" s="14">
        <f>IFERROR(__xludf.DUMMYFUNCTION("""COMPUTED_VALUE"""),3.664)</f>
        <v>3.664</v>
      </c>
      <c r="AP1093" s="14">
        <f>IFERROR(__xludf.DUMMYFUNCTION("""COMPUTED_VALUE"""),165.0)</f>
        <v>165</v>
      </c>
      <c r="AQ1093" s="14">
        <f>IFERROR(__xludf.DUMMYFUNCTION("""COMPUTED_VALUE"""),312.0)</f>
        <v>312</v>
      </c>
      <c r="AR1093" s="14">
        <f>IFERROR(__xludf.DUMMYFUNCTION("""COMPUTED_VALUE"""),164.0)</f>
        <v>164</v>
      </c>
      <c r="AS1093" s="14">
        <f>IFERROR(__xludf.DUMMYFUNCTION("""COMPUTED_VALUE"""),21.0)</f>
        <v>21</v>
      </c>
      <c r="AT1093" s="14">
        <f>IFERROR(__xludf.DUMMYFUNCTION("""COMPUTED_VALUE"""),4.21)</f>
        <v>4.21</v>
      </c>
      <c r="AU1093" s="14">
        <f>IFERROR(__xludf.DUMMYFUNCTION("""COMPUTED_VALUE"""),8.26E7)</f>
        <v>82600000</v>
      </c>
      <c r="AV1093" s="14">
        <f>IFERROR(__xludf.DUMMYFUNCTION("""COMPUTED_VALUE"""),0.45)</f>
        <v>0.45</v>
      </c>
      <c r="AW1093" s="14">
        <f>IFERROR(__xludf.DUMMYFUNCTION("""COMPUTED_VALUE"""),4.2)</f>
        <v>4.2</v>
      </c>
      <c r="AX1093" s="14">
        <f>IFERROR(__xludf.DUMMYFUNCTION("""COMPUTED_VALUE"""),6.13E7)</f>
        <v>61300000</v>
      </c>
      <c r="AY1093" s="14">
        <f>IFERROR(__xludf.DUMMYFUNCTION("""COMPUTED_VALUE"""),2.0)</f>
        <v>2</v>
      </c>
      <c r="AZ1093" s="14">
        <f>IFERROR(__xludf.DUMMYFUNCTION("""COMPUTED_VALUE"""),0.511)</f>
        <v>0.511</v>
      </c>
      <c r="BA1093" s="14">
        <f t="shared" si="1"/>
        <v>6.711</v>
      </c>
    </row>
    <row r="1094" ht="14.25" customHeight="1">
      <c r="A1094" s="10" t="str">
        <f>IFERROR(__xludf.DUMMYFUNCTION("""COMPUTED_VALUE"""),"080724SA03")</f>
        <v>080724SA03</v>
      </c>
      <c r="B1094" s="12" t="str">
        <f>IFERROR(__xludf.DUMMYFUNCTION("""COMPUTED_VALUE"""),"CRN-La Castellana")</f>
        <v>CRN-La Castellana</v>
      </c>
      <c r="C1094" s="12"/>
      <c r="D1094" s="12"/>
      <c r="E1094" s="44">
        <f>IFERROR(__xludf.DUMMYFUNCTION("""COMPUTED_VALUE"""),45481.0)</f>
        <v>45481</v>
      </c>
      <c r="F1094" s="12" t="str">
        <f>IFERROR(__xludf.DUMMYFUNCTION("""COMPUTED_VALUE"""),"TIPO I")</f>
        <v>TIPO I</v>
      </c>
      <c r="G1094" s="12" t="str">
        <f>IFERROR(__xludf.DUMMYFUNCTION("""COMPUTED_VALUE"""),"Se percibe olor, se observa color, iridiscencia y material flotante.")</f>
        <v>Se percibe olor, se observa color, iridiscencia y material flotante.</v>
      </c>
      <c r="H1094" s="45">
        <f>IFERROR(__xludf.DUMMYFUNCTION("""COMPUTED_VALUE"""),0.6666666666678793)</f>
        <v>0.6666666667</v>
      </c>
      <c r="I1094" s="45">
        <f>IFERROR(__xludf.DUMMYFUNCTION("""COMPUTED_VALUE"""),0.75)</f>
        <v>0.75</v>
      </c>
      <c r="J1094" s="12">
        <f>IFERROR(__xludf.DUMMYFUNCTION("""COMPUTED_VALUE"""),5.8)</f>
        <v>5.8</v>
      </c>
      <c r="K1094" s="12">
        <f>IFERROR(__xludf.DUMMYFUNCTION("""COMPUTED_VALUE"""),0.16)</f>
        <v>0.16</v>
      </c>
      <c r="L1094" s="14">
        <f>IFERROR(__xludf.DUMMYFUNCTION("""COMPUTED_VALUE"""),240.535)</f>
        <v>240.535</v>
      </c>
      <c r="M1094" s="14">
        <f>IFERROR(__xludf.DUMMYFUNCTION("""COMPUTED_VALUE"""),235.861)</f>
        <v>235.861</v>
      </c>
      <c r="N1094" s="14">
        <f>IFERROR(__xludf.DUMMYFUNCTION("""COMPUTED_VALUE"""),238.861)</f>
        <v>238.861</v>
      </c>
      <c r="O1094" s="14">
        <f>IFERROR(__xludf.DUMMYFUNCTION("""COMPUTED_VALUE"""),229.824)</f>
        <v>229.824</v>
      </c>
      <c r="P1094" s="14">
        <f>IFERROR(__xludf.DUMMYFUNCTION("""COMPUTED_VALUE"""),209.278)</f>
        <v>209.278</v>
      </c>
      <c r="Q1094" s="14">
        <f>IFERROR(__xludf.DUMMYFUNCTION("""COMPUTED_VALUE"""),230.872)</f>
        <v>230.872</v>
      </c>
      <c r="R1094" s="48">
        <f>IFERROR(__xludf.DUMMYFUNCTION("""COMPUTED_VALUE"""),7.51)</f>
        <v>7.51</v>
      </c>
      <c r="S1094" s="48">
        <f>IFERROR(__xludf.DUMMYFUNCTION("""COMPUTED_VALUE"""),7.46)</f>
        <v>7.46</v>
      </c>
      <c r="T1094" s="48">
        <f>IFERROR(__xludf.DUMMYFUNCTION("""COMPUTED_VALUE"""),7.44)</f>
        <v>7.44</v>
      </c>
      <c r="U1094" s="48">
        <f>IFERROR(__xludf.DUMMYFUNCTION("""COMPUTED_VALUE"""),7.42)</f>
        <v>7.42</v>
      </c>
      <c r="V1094" s="48">
        <f>IFERROR(__xludf.DUMMYFUNCTION("""COMPUTED_VALUE"""),7.45)</f>
        <v>7.45</v>
      </c>
      <c r="W1094" s="14">
        <f>IFERROR(__xludf.DUMMYFUNCTION("""COMPUTED_VALUE"""),7.456)</f>
        <v>7.456</v>
      </c>
      <c r="X1094" s="14">
        <f>IFERROR(__xludf.DUMMYFUNCTION("""COMPUTED_VALUE"""),20.7)</f>
        <v>20.7</v>
      </c>
      <c r="Y1094" s="14">
        <f>IFERROR(__xludf.DUMMYFUNCTION("""COMPUTED_VALUE"""),20.4)</f>
        <v>20.4</v>
      </c>
      <c r="Z1094" s="14">
        <f>IFERROR(__xludf.DUMMYFUNCTION("""COMPUTED_VALUE"""),19.9)</f>
        <v>19.9</v>
      </c>
      <c r="AA1094" s="14">
        <f>IFERROR(__xludf.DUMMYFUNCTION("""COMPUTED_VALUE"""),19.9)</f>
        <v>19.9</v>
      </c>
      <c r="AB1094" s="14">
        <f>IFERROR(__xludf.DUMMYFUNCTION("""COMPUTED_VALUE"""),19.7)</f>
        <v>19.7</v>
      </c>
      <c r="AC1094" s="14">
        <f>IFERROR(__xludf.DUMMYFUNCTION("""COMPUTED_VALUE"""),20.119999999999997)</f>
        <v>20.12</v>
      </c>
      <c r="AD1094" s="48">
        <f>IFERROR(__xludf.DUMMYFUNCTION("""COMPUTED_VALUE"""),667.0)</f>
        <v>667</v>
      </c>
      <c r="AE1094" s="48">
        <f>IFERROR(__xludf.DUMMYFUNCTION("""COMPUTED_VALUE"""),668.0)</f>
        <v>668</v>
      </c>
      <c r="AF1094" s="48">
        <f>IFERROR(__xludf.DUMMYFUNCTION("""COMPUTED_VALUE"""),679.0)</f>
        <v>679</v>
      </c>
      <c r="AG1094" s="48">
        <f>IFERROR(__xludf.DUMMYFUNCTION("""COMPUTED_VALUE"""),659.0)</f>
        <v>659</v>
      </c>
      <c r="AH1094" s="48">
        <f>IFERROR(__xludf.DUMMYFUNCTION("""COMPUTED_VALUE"""),674.0)</f>
        <v>674</v>
      </c>
      <c r="AI1094" s="14">
        <f>IFERROR(__xludf.DUMMYFUNCTION("""COMPUTED_VALUE"""),669.4)</f>
        <v>669.4</v>
      </c>
      <c r="AJ1094" s="14">
        <f>IFERROR(__xludf.DUMMYFUNCTION("""COMPUTED_VALUE"""),0.99)</f>
        <v>0.99</v>
      </c>
      <c r="AK1094" s="14">
        <f>IFERROR(__xludf.DUMMYFUNCTION("""COMPUTED_VALUE"""),1.19)</f>
        <v>1.19</v>
      </c>
      <c r="AL1094" s="14">
        <f>IFERROR(__xludf.DUMMYFUNCTION("""COMPUTED_VALUE"""),1.44)</f>
        <v>1.44</v>
      </c>
      <c r="AM1094" s="14">
        <f>IFERROR(__xludf.DUMMYFUNCTION("""COMPUTED_VALUE"""),1.38)</f>
        <v>1.38</v>
      </c>
      <c r="AN1094" s="14">
        <f>IFERROR(__xludf.DUMMYFUNCTION("""COMPUTED_VALUE"""),1.37)</f>
        <v>1.37</v>
      </c>
      <c r="AO1094" s="14">
        <f>IFERROR(__xludf.DUMMYFUNCTION("""COMPUTED_VALUE"""),1.274)</f>
        <v>1.274</v>
      </c>
      <c r="AP1094" s="14">
        <f>IFERROR(__xludf.DUMMYFUNCTION("""COMPUTED_VALUE"""),152.0)</f>
        <v>152</v>
      </c>
      <c r="AQ1094" s="14">
        <f>IFERROR(__xludf.DUMMYFUNCTION("""COMPUTED_VALUE"""),377.0)</f>
        <v>377</v>
      </c>
      <c r="AR1094" s="14">
        <f>IFERROR(__xludf.DUMMYFUNCTION("""COMPUTED_VALUE"""),179.0)</f>
        <v>179</v>
      </c>
      <c r="AS1094" s="14">
        <f>IFERROR(__xludf.DUMMYFUNCTION("""COMPUTED_VALUE"""),14.6)</f>
        <v>14.6</v>
      </c>
      <c r="AT1094" s="14">
        <f>IFERROR(__xludf.DUMMYFUNCTION("""COMPUTED_VALUE"""),11.0)</f>
        <v>11</v>
      </c>
      <c r="AU1094" s="14">
        <f>IFERROR(__xludf.DUMMYFUNCTION("""COMPUTED_VALUE"""),6.63E7)</f>
        <v>66300000</v>
      </c>
      <c r="AV1094" s="14">
        <f>IFERROR(__xludf.DUMMYFUNCTION("""COMPUTED_VALUE"""),5.31)</f>
        <v>5.31</v>
      </c>
      <c r="AW1094" s="14">
        <f>IFERROR(__xludf.DUMMYFUNCTION("""COMPUTED_VALUE"""),40.0)</f>
        <v>40</v>
      </c>
      <c r="AX1094" s="14">
        <f>IFERROR(__xludf.DUMMYFUNCTION("""COMPUTED_VALUE"""),3.01E7)</f>
        <v>30100000</v>
      </c>
      <c r="AY1094" s="14">
        <f>IFERROR(__xludf.DUMMYFUNCTION("""COMPUTED_VALUE"""),0.8)</f>
        <v>0.8</v>
      </c>
      <c r="AZ1094" s="14">
        <f>IFERROR(__xludf.DUMMYFUNCTION("""COMPUTED_VALUE"""),0.007)</f>
        <v>0.007</v>
      </c>
      <c r="BA1094" s="14">
        <f t="shared" si="1"/>
        <v>40.807</v>
      </c>
    </row>
    <row r="1095" ht="14.25" customHeight="1">
      <c r="A1095" s="10" t="str">
        <f>IFERROR(__xludf.DUMMYFUNCTION("""COMPUTED_VALUE"""),"080724SA02")</f>
        <v>080724SA02</v>
      </c>
      <c r="B1095" s="12" t="str">
        <f>IFERROR(__xludf.DUMMYFUNCTION("""COMPUTED_VALUE"""),"CRN-Entre Ríos")</f>
        <v>CRN-Entre Ríos</v>
      </c>
      <c r="C1095" s="12"/>
      <c r="D1095" s="12"/>
      <c r="E1095" s="44">
        <f>IFERROR(__xludf.DUMMYFUNCTION("""COMPUTED_VALUE"""),45481.0)</f>
        <v>45481</v>
      </c>
      <c r="F1095" s="12" t="str">
        <f>IFERROR(__xludf.DUMMYFUNCTION("""COMPUTED_VALUE"""),"TIPO I")</f>
        <v>TIPO I</v>
      </c>
      <c r="G1095" s="12" t="str">
        <f>IFERROR(__xludf.DUMMYFUNCTION("""COMPUTED_VALUE"""),"Se observa color, iridiscencia y material flotante.
Altitud: 2551 msnm")</f>
        <v>Se observa color, iridiscencia y material flotante.
Altitud: 2551 msnm</v>
      </c>
      <c r="H1095" s="45">
        <f>IFERROR(__xludf.DUMMYFUNCTION("""COMPUTED_VALUE"""),0.5)</f>
        <v>0.5</v>
      </c>
      <c r="I1095" s="45">
        <f>IFERROR(__xludf.DUMMYFUNCTION("""COMPUTED_VALUE"""),0.5833333333321207)</f>
        <v>0.5833333333</v>
      </c>
      <c r="J1095" s="12">
        <f>IFERROR(__xludf.DUMMYFUNCTION("""COMPUTED_VALUE"""),8.4)</f>
        <v>8.4</v>
      </c>
      <c r="K1095" s="12">
        <f>IFERROR(__xludf.DUMMYFUNCTION("""COMPUTED_VALUE"""),0.22)</f>
        <v>0.22</v>
      </c>
      <c r="L1095" s="14">
        <f>IFERROR(__xludf.DUMMYFUNCTION("""COMPUTED_VALUE"""),552.097)</f>
        <v>552.097</v>
      </c>
      <c r="M1095" s="14">
        <f>IFERROR(__xludf.DUMMYFUNCTION("""COMPUTED_VALUE"""),549.064)</f>
        <v>549.064</v>
      </c>
      <c r="N1095" s="14">
        <f>IFERROR(__xludf.DUMMYFUNCTION("""COMPUTED_VALUE"""),554.773)</f>
        <v>554.773</v>
      </c>
      <c r="O1095" s="14">
        <f>IFERROR(__xludf.DUMMYFUNCTION("""COMPUTED_VALUE"""),551.15)</f>
        <v>551.15</v>
      </c>
      <c r="P1095" s="14">
        <f>IFERROR(__xludf.DUMMYFUNCTION("""COMPUTED_VALUE"""),547.489)</f>
        <v>547.489</v>
      </c>
      <c r="Q1095" s="14">
        <f>IFERROR(__xludf.DUMMYFUNCTION("""COMPUTED_VALUE"""),550.915)</f>
        <v>550.915</v>
      </c>
      <c r="R1095" s="48">
        <f>IFERROR(__xludf.DUMMYFUNCTION("""COMPUTED_VALUE"""),7.54)</f>
        <v>7.54</v>
      </c>
      <c r="S1095" s="48">
        <f>IFERROR(__xludf.DUMMYFUNCTION("""COMPUTED_VALUE"""),7.57)</f>
        <v>7.57</v>
      </c>
      <c r="T1095" s="48">
        <f>IFERROR(__xludf.DUMMYFUNCTION("""COMPUTED_VALUE"""),7.79)</f>
        <v>7.79</v>
      </c>
      <c r="U1095" s="48">
        <f>IFERROR(__xludf.DUMMYFUNCTION("""COMPUTED_VALUE"""),7.59)</f>
        <v>7.59</v>
      </c>
      <c r="V1095" s="48">
        <f>IFERROR(__xludf.DUMMYFUNCTION("""COMPUTED_VALUE"""),7.5)</f>
        <v>7.5</v>
      </c>
      <c r="W1095" s="14">
        <f>IFERROR(__xludf.DUMMYFUNCTION("""COMPUTED_VALUE"""),7.597999999999999)</f>
        <v>7.598</v>
      </c>
      <c r="X1095" s="14">
        <f>IFERROR(__xludf.DUMMYFUNCTION("""COMPUTED_VALUE"""),22.9)</f>
        <v>22.9</v>
      </c>
      <c r="Y1095" s="14">
        <f>IFERROR(__xludf.DUMMYFUNCTION("""COMPUTED_VALUE"""),22.9)</f>
        <v>22.9</v>
      </c>
      <c r="Z1095" s="14">
        <f>IFERROR(__xludf.DUMMYFUNCTION("""COMPUTED_VALUE"""),23.0)</f>
        <v>23</v>
      </c>
      <c r="AA1095" s="14">
        <f>IFERROR(__xludf.DUMMYFUNCTION("""COMPUTED_VALUE"""),23.6)</f>
        <v>23.6</v>
      </c>
      <c r="AB1095" s="14">
        <f>IFERROR(__xludf.DUMMYFUNCTION("""COMPUTED_VALUE"""),22.6)</f>
        <v>22.6</v>
      </c>
      <c r="AC1095" s="14">
        <f>IFERROR(__xludf.DUMMYFUNCTION("""COMPUTED_VALUE"""),23.0)</f>
        <v>23</v>
      </c>
      <c r="AD1095" s="48">
        <f>IFERROR(__xludf.DUMMYFUNCTION("""COMPUTED_VALUE"""),591.0)</f>
        <v>591</v>
      </c>
      <c r="AE1095" s="48">
        <f>IFERROR(__xludf.DUMMYFUNCTION("""COMPUTED_VALUE"""),611.0)</f>
        <v>611</v>
      </c>
      <c r="AF1095" s="48">
        <f>IFERROR(__xludf.DUMMYFUNCTION("""COMPUTED_VALUE"""),612.0)</f>
        <v>612</v>
      </c>
      <c r="AG1095" s="48">
        <f>IFERROR(__xludf.DUMMYFUNCTION("""COMPUTED_VALUE"""),612.0)</f>
        <v>612</v>
      </c>
      <c r="AH1095" s="48">
        <f>IFERROR(__xludf.DUMMYFUNCTION("""COMPUTED_VALUE"""),642.0)</f>
        <v>642</v>
      </c>
      <c r="AI1095" s="14">
        <f>IFERROR(__xludf.DUMMYFUNCTION("""COMPUTED_VALUE"""),613.6)</f>
        <v>613.6</v>
      </c>
      <c r="AJ1095" s="14">
        <f>IFERROR(__xludf.DUMMYFUNCTION("""COMPUTED_VALUE"""),1.03)</f>
        <v>1.03</v>
      </c>
      <c r="AK1095" s="14">
        <f>IFERROR(__xludf.DUMMYFUNCTION("""COMPUTED_VALUE"""),1.13)</f>
        <v>1.13</v>
      </c>
      <c r="AL1095" s="14">
        <f>IFERROR(__xludf.DUMMYFUNCTION("""COMPUTED_VALUE"""),1.22)</f>
        <v>1.22</v>
      </c>
      <c r="AM1095" s="14">
        <f>IFERROR(__xludf.DUMMYFUNCTION("""COMPUTED_VALUE"""),1.21)</f>
        <v>1.21</v>
      </c>
      <c r="AN1095" s="14">
        <f>IFERROR(__xludf.DUMMYFUNCTION("""COMPUTED_VALUE"""),1.17)</f>
        <v>1.17</v>
      </c>
      <c r="AO1095" s="14">
        <f>IFERROR(__xludf.DUMMYFUNCTION("""COMPUTED_VALUE"""),1.152)</f>
        <v>1.152</v>
      </c>
      <c r="AP1095" s="14">
        <f>IFERROR(__xludf.DUMMYFUNCTION("""COMPUTED_VALUE"""),197.0)</f>
        <v>197</v>
      </c>
      <c r="AQ1095" s="14">
        <f>IFERROR(__xludf.DUMMYFUNCTION("""COMPUTED_VALUE"""),263.0)</f>
        <v>263</v>
      </c>
      <c r="AR1095" s="14">
        <f>IFERROR(__xludf.DUMMYFUNCTION("""COMPUTED_VALUE"""),188.0)</f>
        <v>188</v>
      </c>
      <c r="AS1095" s="14">
        <f>IFERROR(__xludf.DUMMYFUNCTION("""COMPUTED_VALUE"""),40.0)</f>
        <v>40</v>
      </c>
      <c r="AT1095" s="14">
        <f>IFERROR(__xludf.DUMMYFUNCTION("""COMPUTED_VALUE"""),8.67)</f>
        <v>8.67</v>
      </c>
      <c r="AU1095" s="14">
        <f>IFERROR(__xludf.DUMMYFUNCTION("""COMPUTED_VALUE"""),1.134E7)</f>
        <v>11340000</v>
      </c>
      <c r="AV1095" s="14">
        <f>IFERROR(__xludf.DUMMYFUNCTION("""COMPUTED_VALUE"""),4.59)</f>
        <v>4.59</v>
      </c>
      <c r="AW1095" s="14">
        <f>IFERROR(__xludf.DUMMYFUNCTION("""COMPUTED_VALUE"""),28.0)</f>
        <v>28</v>
      </c>
      <c r="AX1095" s="14">
        <f>IFERROR(__xludf.DUMMYFUNCTION("""COMPUTED_VALUE"""),7590000.0)</f>
        <v>7590000</v>
      </c>
      <c r="AY1095" s="14">
        <f>IFERROR(__xludf.DUMMYFUNCTION("""COMPUTED_VALUE"""),0.7)</f>
        <v>0.7</v>
      </c>
      <c r="AZ1095" s="14">
        <f>IFERROR(__xludf.DUMMYFUNCTION("""COMPUTED_VALUE"""),0.007)</f>
        <v>0.007</v>
      </c>
      <c r="BA1095" s="14">
        <f t="shared" si="1"/>
        <v>28.707</v>
      </c>
    </row>
    <row r="1096" ht="14.25" customHeight="1">
      <c r="A1096" s="10" t="str">
        <f>IFERROR(__xludf.DUMMYFUNCTION("""COMPUTED_VALUE"""),"110724FM02")</f>
        <v>110724FM02</v>
      </c>
      <c r="B1096" s="12" t="str">
        <f>IFERROR(__xludf.DUMMYFUNCTION("""COMPUTED_VALUE"""),"CMO-Pepe Sierra")</f>
        <v>CMO-Pepe Sierra</v>
      </c>
      <c r="C1096" s="12"/>
      <c r="D1096" s="12"/>
      <c r="E1096" s="44">
        <f>IFERROR(__xludf.DUMMYFUNCTION("""COMPUTED_VALUE"""),45484.0)</f>
        <v>45484</v>
      </c>
      <c r="F1096" s="12" t="str">
        <f>IFERROR(__xludf.DUMMYFUNCTION("""COMPUTED_VALUE"""),"TIPO I")</f>
        <v>TIPO I</v>
      </c>
      <c r="G1096" s="12" t="str">
        <f>IFERROR(__xludf.DUMMYFUNCTION("""COMPUTED_VALUE"""),"Durante e monitoreo se percibe olor y se observa color. En margen izquierda del cauce se observa color azul. 
Altitud. 2558 msnm")</f>
        <v>Durante e monitoreo se percibe olor y se observa color. En margen izquierda del cauce se observa color azul. 
Altitud. 2558 msnm</v>
      </c>
      <c r="H1096" s="45">
        <f>IFERROR(__xludf.DUMMYFUNCTION("""COMPUTED_VALUE"""),0.5)</f>
        <v>0.5</v>
      </c>
      <c r="I1096" s="45">
        <f>IFERROR(__xludf.DUMMYFUNCTION("""COMPUTED_VALUE"""),0.5833333333321207)</f>
        <v>0.5833333333</v>
      </c>
      <c r="J1096" s="12">
        <f>IFERROR(__xludf.DUMMYFUNCTION("""COMPUTED_VALUE"""),7.0)</f>
        <v>7</v>
      </c>
      <c r="K1096" s="12">
        <f>IFERROR(__xludf.DUMMYFUNCTION("""COMPUTED_VALUE"""),0.17)</f>
        <v>0.17</v>
      </c>
      <c r="L1096" s="14">
        <f>IFERROR(__xludf.DUMMYFUNCTION("""COMPUTED_VALUE"""),270.76)</f>
        <v>270.76</v>
      </c>
      <c r="M1096" s="14">
        <f>IFERROR(__xludf.DUMMYFUNCTION("""COMPUTED_VALUE"""),266.396)</f>
        <v>266.396</v>
      </c>
      <c r="N1096" s="14">
        <f>IFERROR(__xludf.DUMMYFUNCTION("""COMPUTED_VALUE"""),263.433)</f>
        <v>263.433</v>
      </c>
      <c r="O1096" s="14">
        <f>IFERROR(__xludf.DUMMYFUNCTION("""COMPUTED_VALUE"""),272.4)</f>
        <v>272.4</v>
      </c>
      <c r="P1096" s="14">
        <f>IFERROR(__xludf.DUMMYFUNCTION("""COMPUTED_VALUE"""),270.587)</f>
        <v>270.587</v>
      </c>
      <c r="Q1096" s="14">
        <f>IFERROR(__xludf.DUMMYFUNCTION("""COMPUTED_VALUE"""),268.715)</f>
        <v>268.715</v>
      </c>
      <c r="R1096" s="48">
        <f>IFERROR(__xludf.DUMMYFUNCTION("""COMPUTED_VALUE"""),8.29)</f>
        <v>8.29</v>
      </c>
      <c r="S1096" s="48">
        <f>IFERROR(__xludf.DUMMYFUNCTION("""COMPUTED_VALUE"""),7.89)</f>
        <v>7.89</v>
      </c>
      <c r="T1096" s="48">
        <f>IFERROR(__xludf.DUMMYFUNCTION("""COMPUTED_VALUE"""),7.78)</f>
        <v>7.78</v>
      </c>
      <c r="U1096" s="48">
        <f>IFERROR(__xludf.DUMMYFUNCTION("""COMPUTED_VALUE"""),7.98)</f>
        <v>7.98</v>
      </c>
      <c r="V1096" s="48">
        <f>IFERROR(__xludf.DUMMYFUNCTION("""COMPUTED_VALUE"""),8.02)</f>
        <v>8.02</v>
      </c>
      <c r="W1096" s="14">
        <f>IFERROR(__xludf.DUMMYFUNCTION("""COMPUTED_VALUE"""),7.992)</f>
        <v>7.992</v>
      </c>
      <c r="X1096" s="14">
        <f>IFERROR(__xludf.DUMMYFUNCTION("""COMPUTED_VALUE"""),20.8)</f>
        <v>20.8</v>
      </c>
      <c r="Y1096" s="14">
        <f>IFERROR(__xludf.DUMMYFUNCTION("""COMPUTED_VALUE"""),20.6)</f>
        <v>20.6</v>
      </c>
      <c r="Z1096" s="14">
        <f>IFERROR(__xludf.DUMMYFUNCTION("""COMPUTED_VALUE"""),20.5)</f>
        <v>20.5</v>
      </c>
      <c r="AA1096" s="14">
        <f>IFERROR(__xludf.DUMMYFUNCTION("""COMPUTED_VALUE"""),21.7)</f>
        <v>21.7</v>
      </c>
      <c r="AB1096" s="14">
        <f>IFERROR(__xludf.DUMMYFUNCTION("""COMPUTED_VALUE"""),21.8)</f>
        <v>21.8</v>
      </c>
      <c r="AC1096" s="14">
        <f>IFERROR(__xludf.DUMMYFUNCTION("""COMPUTED_VALUE"""),21.080000000000002)</f>
        <v>21.08</v>
      </c>
      <c r="AD1096" s="48">
        <f>IFERROR(__xludf.DUMMYFUNCTION("""COMPUTED_VALUE"""),372.0)</f>
        <v>372</v>
      </c>
      <c r="AE1096" s="48">
        <f>IFERROR(__xludf.DUMMYFUNCTION("""COMPUTED_VALUE"""),342.0)</f>
        <v>342</v>
      </c>
      <c r="AF1096" s="48">
        <f>IFERROR(__xludf.DUMMYFUNCTION("""COMPUTED_VALUE"""),338.0)</f>
        <v>338</v>
      </c>
      <c r="AG1096" s="48">
        <f>IFERROR(__xludf.DUMMYFUNCTION("""COMPUTED_VALUE"""),388.0)</f>
        <v>388</v>
      </c>
      <c r="AH1096" s="48">
        <f>IFERROR(__xludf.DUMMYFUNCTION("""COMPUTED_VALUE"""),398.0)</f>
        <v>398</v>
      </c>
      <c r="AI1096" s="14">
        <f>IFERROR(__xludf.DUMMYFUNCTION("""COMPUTED_VALUE"""),367.6)</f>
        <v>367.6</v>
      </c>
      <c r="AJ1096" s="14">
        <f>IFERROR(__xludf.DUMMYFUNCTION("""COMPUTED_VALUE"""),2.24)</f>
        <v>2.24</v>
      </c>
      <c r="AK1096" s="14">
        <f>IFERROR(__xludf.DUMMYFUNCTION("""COMPUTED_VALUE"""),1.94)</f>
        <v>1.94</v>
      </c>
      <c r="AL1096" s="14">
        <f>IFERROR(__xludf.DUMMYFUNCTION("""COMPUTED_VALUE"""),2.05)</f>
        <v>2.05</v>
      </c>
      <c r="AM1096" s="14">
        <f>IFERROR(__xludf.DUMMYFUNCTION("""COMPUTED_VALUE"""),1.89)</f>
        <v>1.89</v>
      </c>
      <c r="AN1096" s="14">
        <f>IFERROR(__xludf.DUMMYFUNCTION("""COMPUTED_VALUE"""),2.5)</f>
        <v>2.5</v>
      </c>
      <c r="AO1096" s="14">
        <f>IFERROR(__xludf.DUMMYFUNCTION("""COMPUTED_VALUE"""),2.1239999999999997)</f>
        <v>2.124</v>
      </c>
      <c r="AP1096" s="14">
        <f>IFERROR(__xludf.DUMMYFUNCTION("""COMPUTED_VALUE"""),82.0)</f>
        <v>82</v>
      </c>
      <c r="AQ1096" s="14">
        <f>IFERROR(__xludf.DUMMYFUNCTION("""COMPUTED_VALUE"""),120.0)</f>
        <v>120</v>
      </c>
      <c r="AR1096" s="14">
        <f>IFERROR(__xludf.DUMMYFUNCTION("""COMPUTED_VALUE"""),34.0)</f>
        <v>34</v>
      </c>
      <c r="AS1096" s="14">
        <f>IFERROR(__xludf.DUMMYFUNCTION("""COMPUTED_VALUE"""),10.9)</f>
        <v>10.9</v>
      </c>
      <c r="AT1096" s="14">
        <f>IFERROR(__xludf.DUMMYFUNCTION("""COMPUTED_VALUE"""),2.48)</f>
        <v>2.48</v>
      </c>
      <c r="AU1096" s="14">
        <f>IFERROR(__xludf.DUMMYFUNCTION("""COMPUTED_VALUE"""),1.16E7)</f>
        <v>11600000</v>
      </c>
      <c r="AV1096" s="14">
        <f>IFERROR(__xludf.DUMMYFUNCTION("""COMPUTED_VALUE"""),2.8)</f>
        <v>2.8</v>
      </c>
      <c r="AW1096" s="14">
        <f>IFERROR(__xludf.DUMMYFUNCTION("""COMPUTED_VALUE"""),17.1)</f>
        <v>17.1</v>
      </c>
      <c r="AX1096" s="14">
        <f>IFERROR(__xludf.DUMMYFUNCTION("""COMPUTED_VALUE"""),4200000.0)</f>
        <v>4200000</v>
      </c>
      <c r="AY1096" s="14">
        <f>IFERROR(__xludf.DUMMYFUNCTION("""COMPUTED_VALUE"""),1.2)</f>
        <v>1.2</v>
      </c>
      <c r="AZ1096" s="14">
        <f>IFERROR(__xludf.DUMMYFUNCTION("""COMPUTED_VALUE"""),0.007)</f>
        <v>0.007</v>
      </c>
      <c r="BA1096" s="14">
        <f t="shared" si="1"/>
        <v>18.307</v>
      </c>
    </row>
    <row r="1097" ht="14.25" customHeight="1">
      <c r="A1097" s="10" t="str">
        <f>IFERROR(__xludf.DUMMYFUNCTION("""COMPUTED_VALUE"""),"090724FE01")</f>
        <v>090724FE01</v>
      </c>
      <c r="B1097" s="12" t="str">
        <f>IFERROR(__xludf.DUMMYFUNCTION("""COMPUTED_VALUE"""),"CRN-Quebrada Chicó")</f>
        <v>CRN-Quebrada Chicó</v>
      </c>
      <c r="C1097" s="12"/>
      <c r="D1097" s="12"/>
      <c r="E1097" s="44">
        <f>IFERROR(__xludf.DUMMYFUNCTION("""COMPUTED_VALUE"""),45482.0)</f>
        <v>45482</v>
      </c>
      <c r="F1097" s="12" t="str">
        <f>IFERROR(__xludf.DUMMYFUNCTION("""COMPUTED_VALUE"""),"TIPO I")</f>
        <v>TIPO I</v>
      </c>
      <c r="G1097" s="12" t="str">
        <f>IFERROR(__xludf.DUMMYFUNCTION("""COMPUTED_VALUE"""),"Toma de muestra en tubería en concreto de 1.70 metros de diámetro, durante el desarrollo del monitoreo no se observa color y no se percibe olor, entre la tercera y cuarta alícuota se presentan lluvias leves.
Altitud: 2622 msnm. ")</f>
        <v>Toma de muestra en tubería en concreto de 1.70 metros de diámetro, durante el desarrollo del monitoreo no se observa color y no se percibe olor, entre la tercera y cuarta alícuota se presentan lluvias leves.
Altitud: 2622 msnm. </v>
      </c>
      <c r="H1097" s="45">
        <f>IFERROR(__xludf.DUMMYFUNCTION("""COMPUTED_VALUE"""),0.3333333333321207)</f>
        <v>0.3333333333</v>
      </c>
      <c r="I1097" s="45">
        <f>IFERROR(__xludf.DUMMYFUNCTION("""COMPUTED_VALUE"""),0.4166666666678793)</f>
        <v>0.4166666667</v>
      </c>
      <c r="J1097" s="12"/>
      <c r="K1097" s="12"/>
      <c r="L1097" s="14">
        <f>IFERROR(__xludf.DUMMYFUNCTION("""COMPUTED_VALUE"""),1.641)</f>
        <v>1.641</v>
      </c>
      <c r="M1097" s="14">
        <f>IFERROR(__xludf.DUMMYFUNCTION("""COMPUTED_VALUE"""),1.719)</f>
        <v>1.719</v>
      </c>
      <c r="N1097" s="14">
        <f>IFERROR(__xludf.DUMMYFUNCTION("""COMPUTED_VALUE"""),1.654)</f>
        <v>1.654</v>
      </c>
      <c r="O1097" s="14">
        <f>IFERROR(__xludf.DUMMYFUNCTION("""COMPUTED_VALUE"""),1.633)</f>
        <v>1.633</v>
      </c>
      <c r="P1097" s="14">
        <f>IFERROR(__xludf.DUMMYFUNCTION("""COMPUTED_VALUE"""),1.64)</f>
        <v>1.64</v>
      </c>
      <c r="Q1097" s="14">
        <f>IFERROR(__xludf.DUMMYFUNCTION("""COMPUTED_VALUE"""),1.657)</f>
        <v>1.657</v>
      </c>
      <c r="R1097" s="48">
        <f>IFERROR(__xludf.DUMMYFUNCTION("""COMPUTED_VALUE"""),6.73)</f>
        <v>6.73</v>
      </c>
      <c r="S1097" s="48">
        <f>IFERROR(__xludf.DUMMYFUNCTION("""COMPUTED_VALUE"""),6.53)</f>
        <v>6.53</v>
      </c>
      <c r="T1097" s="48">
        <f>IFERROR(__xludf.DUMMYFUNCTION("""COMPUTED_VALUE"""),6.4)</f>
        <v>6.4</v>
      </c>
      <c r="U1097" s="48">
        <f>IFERROR(__xludf.DUMMYFUNCTION("""COMPUTED_VALUE"""),6.3)</f>
        <v>6.3</v>
      </c>
      <c r="V1097" s="48">
        <f>IFERROR(__xludf.DUMMYFUNCTION("""COMPUTED_VALUE"""),6.44)</f>
        <v>6.44</v>
      </c>
      <c r="W1097" s="14">
        <f>IFERROR(__xludf.DUMMYFUNCTION("""COMPUTED_VALUE"""),6.480000000000001)</f>
        <v>6.48</v>
      </c>
      <c r="X1097" s="14">
        <f>IFERROR(__xludf.DUMMYFUNCTION("""COMPUTED_VALUE"""),15.6)</f>
        <v>15.6</v>
      </c>
      <c r="Y1097" s="14">
        <f>IFERROR(__xludf.DUMMYFUNCTION("""COMPUTED_VALUE"""),15.6)</f>
        <v>15.6</v>
      </c>
      <c r="Z1097" s="14">
        <f>IFERROR(__xludf.DUMMYFUNCTION("""COMPUTED_VALUE"""),15.4)</f>
        <v>15.4</v>
      </c>
      <c r="AA1097" s="14">
        <f>IFERROR(__xludf.DUMMYFUNCTION("""COMPUTED_VALUE"""),15.3)</f>
        <v>15.3</v>
      </c>
      <c r="AB1097" s="14">
        <f>IFERROR(__xludf.DUMMYFUNCTION("""COMPUTED_VALUE"""),15.5)</f>
        <v>15.5</v>
      </c>
      <c r="AC1097" s="14">
        <f>IFERROR(__xludf.DUMMYFUNCTION("""COMPUTED_VALUE"""),15.48)</f>
        <v>15.48</v>
      </c>
      <c r="AD1097" s="48">
        <f>IFERROR(__xludf.DUMMYFUNCTION("""COMPUTED_VALUE"""),93.5)</f>
        <v>93.5</v>
      </c>
      <c r="AE1097" s="48">
        <f>IFERROR(__xludf.DUMMYFUNCTION("""COMPUTED_VALUE"""),83.5)</f>
        <v>83.5</v>
      </c>
      <c r="AF1097" s="48">
        <f>IFERROR(__xludf.DUMMYFUNCTION("""COMPUTED_VALUE"""),82.7)</f>
        <v>82.7</v>
      </c>
      <c r="AG1097" s="48">
        <f>IFERROR(__xludf.DUMMYFUNCTION("""COMPUTED_VALUE"""),75.6)</f>
        <v>75.6</v>
      </c>
      <c r="AH1097" s="48">
        <f>IFERROR(__xludf.DUMMYFUNCTION("""COMPUTED_VALUE"""),76.4)</f>
        <v>76.4</v>
      </c>
      <c r="AI1097" s="14">
        <f>IFERROR(__xludf.DUMMYFUNCTION("""COMPUTED_VALUE"""),82.33999999999999)</f>
        <v>82.34</v>
      </c>
      <c r="AJ1097" s="14">
        <f>IFERROR(__xludf.DUMMYFUNCTION("""COMPUTED_VALUE"""),4.6)</f>
        <v>4.6</v>
      </c>
      <c r="AK1097" s="14">
        <f>IFERROR(__xludf.DUMMYFUNCTION("""COMPUTED_VALUE"""),4.74)</f>
        <v>4.74</v>
      </c>
      <c r="AL1097" s="14">
        <f>IFERROR(__xludf.DUMMYFUNCTION("""COMPUTED_VALUE"""),4.72)</f>
        <v>4.72</v>
      </c>
      <c r="AM1097" s="14">
        <f>IFERROR(__xludf.DUMMYFUNCTION("""COMPUTED_VALUE"""),4.65)</f>
        <v>4.65</v>
      </c>
      <c r="AN1097" s="14">
        <f>IFERROR(__xludf.DUMMYFUNCTION("""COMPUTED_VALUE"""),4.52)</f>
        <v>4.52</v>
      </c>
      <c r="AO1097" s="14">
        <f>IFERROR(__xludf.DUMMYFUNCTION("""COMPUTED_VALUE"""),4.646)</f>
        <v>4.646</v>
      </c>
      <c r="AP1097" s="14">
        <f>IFERROR(__xludf.DUMMYFUNCTION("""COMPUTED_VALUE"""),6.0)</f>
        <v>6</v>
      </c>
      <c r="AQ1097" s="14">
        <f>IFERROR(__xludf.DUMMYFUNCTION("""COMPUTED_VALUE"""),18.0)</f>
        <v>18</v>
      </c>
      <c r="AR1097" s="14">
        <f>IFERROR(__xludf.DUMMYFUNCTION("""COMPUTED_VALUE"""),5.0)</f>
        <v>5</v>
      </c>
      <c r="AS1097" s="14">
        <f>IFERROR(__xludf.DUMMYFUNCTION("""COMPUTED_VALUE"""),10.5)</f>
        <v>10.5</v>
      </c>
      <c r="AT1097" s="14">
        <f>IFERROR(__xludf.DUMMYFUNCTION("""COMPUTED_VALUE"""),0.07)</f>
        <v>0.07</v>
      </c>
      <c r="AU1097" s="14">
        <f>IFERROR(__xludf.DUMMYFUNCTION("""COMPUTED_VALUE"""),1.621E7)</f>
        <v>16210000</v>
      </c>
      <c r="AV1097" s="14">
        <f>IFERROR(__xludf.DUMMYFUNCTION("""COMPUTED_VALUE"""),0.55)</f>
        <v>0.55</v>
      </c>
      <c r="AW1097" s="14">
        <f>IFERROR(__xludf.DUMMYFUNCTION("""COMPUTED_VALUE"""),3.6)</f>
        <v>3.6</v>
      </c>
      <c r="AX1097" s="14">
        <f>IFERROR(__xludf.DUMMYFUNCTION("""COMPUTED_VALUE"""),1.526E7)</f>
        <v>15260000</v>
      </c>
      <c r="AY1097" s="14">
        <f>IFERROR(__xludf.DUMMYFUNCTION("""COMPUTED_VALUE"""),1.2)</f>
        <v>1.2</v>
      </c>
      <c r="AZ1097" s="14">
        <f>IFERROR(__xludf.DUMMYFUNCTION("""COMPUTED_VALUE"""),0.127)</f>
        <v>0.127</v>
      </c>
      <c r="BA1097" s="14">
        <f t="shared" si="1"/>
        <v>4.927</v>
      </c>
    </row>
    <row r="1098" ht="14.25" customHeight="1">
      <c r="A1098" s="10" t="str">
        <f>IFERROR(__xludf.DUMMYFUNCTION("""COMPUTED_VALUE"""),"090724FE02")</f>
        <v>090724FE02</v>
      </c>
      <c r="B1098" s="12" t="str">
        <f>IFERROR(__xludf.DUMMYFUNCTION("""COMPUTED_VALUE"""),"CRN-El Virrey")</f>
        <v>CRN-El Virrey</v>
      </c>
      <c r="C1098" s="12"/>
      <c r="D1098" s="12"/>
      <c r="E1098" s="44">
        <f>IFERROR(__xludf.DUMMYFUNCTION("""COMPUTED_VALUE"""),45482.0)</f>
        <v>45482</v>
      </c>
      <c r="F1098" s="12" t="str">
        <f>IFERROR(__xludf.DUMMYFUNCTION("""COMPUTED_VALUE"""),"TIPO I")</f>
        <v>TIPO I</v>
      </c>
      <c r="G1098" s="12" t="str">
        <f>IFERROR(__xludf.DUMMYFUNCTION("""COMPUTED_VALUE"""),"Toma de muestra en canal artificial en mampostería, durante el monitoreo se percibe olor, se observa color y material flotante.
Altitud: 2571 msnm. ")</f>
        <v>Toma de muestra en canal artificial en mampostería, durante el monitoreo se percibe olor, se observa color y material flotante.
Altitud: 2571 msnm. </v>
      </c>
      <c r="H1098" s="45">
        <f>IFERROR(__xludf.DUMMYFUNCTION("""COMPUTED_VALUE"""),0.5)</f>
        <v>0.5</v>
      </c>
      <c r="I1098" s="45">
        <f>IFERROR(__xludf.DUMMYFUNCTION("""COMPUTED_VALUE"""),0.5833333333321207)</f>
        <v>0.5833333333</v>
      </c>
      <c r="J1098" s="12">
        <f>IFERROR(__xludf.DUMMYFUNCTION("""COMPUTED_VALUE"""),1.6)</f>
        <v>1.6</v>
      </c>
      <c r="K1098" s="12">
        <f>IFERROR(__xludf.DUMMYFUNCTION("""COMPUTED_VALUE"""),0.12)</f>
        <v>0.12</v>
      </c>
      <c r="L1098" s="14">
        <f>IFERROR(__xludf.DUMMYFUNCTION("""COMPUTED_VALUE"""),64.23)</f>
        <v>64.23</v>
      </c>
      <c r="M1098" s="14">
        <f>IFERROR(__xludf.DUMMYFUNCTION("""COMPUTED_VALUE"""),63.278)</f>
        <v>63.278</v>
      </c>
      <c r="N1098" s="14">
        <f>IFERROR(__xludf.DUMMYFUNCTION("""COMPUTED_VALUE"""),63.907)</f>
        <v>63.907</v>
      </c>
      <c r="O1098" s="14">
        <f>IFERROR(__xludf.DUMMYFUNCTION("""COMPUTED_VALUE"""),64.527)</f>
        <v>64.527</v>
      </c>
      <c r="P1098" s="14">
        <f>IFERROR(__xludf.DUMMYFUNCTION("""COMPUTED_VALUE"""),64.875)</f>
        <v>64.875</v>
      </c>
      <c r="Q1098" s="14">
        <f>IFERROR(__xludf.DUMMYFUNCTION("""COMPUTED_VALUE"""),64.163)</f>
        <v>64.163</v>
      </c>
      <c r="R1098" s="48">
        <f>IFERROR(__xludf.DUMMYFUNCTION("""COMPUTED_VALUE"""),7.21)</f>
        <v>7.21</v>
      </c>
      <c r="S1098" s="48">
        <f>IFERROR(__xludf.DUMMYFUNCTION("""COMPUTED_VALUE"""),7.19)</f>
        <v>7.19</v>
      </c>
      <c r="T1098" s="48">
        <f>IFERROR(__xludf.DUMMYFUNCTION("""COMPUTED_VALUE"""),7.13)</f>
        <v>7.13</v>
      </c>
      <c r="U1098" s="48">
        <f>IFERROR(__xludf.DUMMYFUNCTION("""COMPUTED_VALUE"""),7.15)</f>
        <v>7.15</v>
      </c>
      <c r="V1098" s="48">
        <f>IFERROR(__xludf.DUMMYFUNCTION("""COMPUTED_VALUE"""),7.08)</f>
        <v>7.08</v>
      </c>
      <c r="W1098" s="14">
        <f>IFERROR(__xludf.DUMMYFUNCTION("""COMPUTED_VALUE"""),7.151999999999999)</f>
        <v>7.152</v>
      </c>
      <c r="X1098" s="14">
        <f>IFERROR(__xludf.DUMMYFUNCTION("""COMPUTED_VALUE"""),19.7)</f>
        <v>19.7</v>
      </c>
      <c r="Y1098" s="14">
        <f>IFERROR(__xludf.DUMMYFUNCTION("""COMPUTED_VALUE"""),20.2)</f>
        <v>20.2</v>
      </c>
      <c r="Z1098" s="14">
        <f>IFERROR(__xludf.DUMMYFUNCTION("""COMPUTED_VALUE"""),20.6)</f>
        <v>20.6</v>
      </c>
      <c r="AA1098" s="14">
        <f>IFERROR(__xludf.DUMMYFUNCTION("""COMPUTED_VALUE"""),19.7)</f>
        <v>19.7</v>
      </c>
      <c r="AB1098" s="14">
        <f>IFERROR(__xludf.DUMMYFUNCTION("""COMPUTED_VALUE"""),19.7)</f>
        <v>19.7</v>
      </c>
      <c r="AC1098" s="14">
        <f>IFERROR(__xludf.DUMMYFUNCTION("""COMPUTED_VALUE"""),19.98)</f>
        <v>19.98</v>
      </c>
      <c r="AD1098" s="48">
        <f>IFERROR(__xludf.DUMMYFUNCTION("""COMPUTED_VALUE"""),442.0)</f>
        <v>442</v>
      </c>
      <c r="AE1098" s="48">
        <f>IFERROR(__xludf.DUMMYFUNCTION("""COMPUTED_VALUE"""),407.0)</f>
        <v>407</v>
      </c>
      <c r="AF1098" s="48">
        <f>IFERROR(__xludf.DUMMYFUNCTION("""COMPUTED_VALUE"""),415.0)</f>
        <v>415</v>
      </c>
      <c r="AG1098" s="48">
        <f>IFERROR(__xludf.DUMMYFUNCTION("""COMPUTED_VALUE"""),386.0)</f>
        <v>386</v>
      </c>
      <c r="AH1098" s="48">
        <f>IFERROR(__xludf.DUMMYFUNCTION("""COMPUTED_VALUE"""),356.0)</f>
        <v>356</v>
      </c>
      <c r="AI1098" s="14">
        <f>IFERROR(__xludf.DUMMYFUNCTION("""COMPUTED_VALUE"""),401.2)</f>
        <v>401.2</v>
      </c>
      <c r="AJ1098" s="14">
        <f>IFERROR(__xludf.DUMMYFUNCTION("""COMPUTED_VALUE"""),1.94)</f>
        <v>1.94</v>
      </c>
      <c r="AK1098" s="14">
        <f>IFERROR(__xludf.DUMMYFUNCTION("""COMPUTED_VALUE"""),2.15)</f>
        <v>2.15</v>
      </c>
      <c r="AL1098" s="14">
        <f>IFERROR(__xludf.DUMMYFUNCTION("""COMPUTED_VALUE"""),2.02)</f>
        <v>2.02</v>
      </c>
      <c r="AM1098" s="14">
        <f>IFERROR(__xludf.DUMMYFUNCTION("""COMPUTED_VALUE"""),2.0)</f>
        <v>2</v>
      </c>
      <c r="AN1098" s="14">
        <f>IFERROR(__xludf.DUMMYFUNCTION("""COMPUTED_VALUE"""),2.03)</f>
        <v>2.03</v>
      </c>
      <c r="AO1098" s="14">
        <f>IFERROR(__xludf.DUMMYFUNCTION("""COMPUTED_VALUE"""),2.0279999999999996)</f>
        <v>2.028</v>
      </c>
      <c r="AP1098" s="14">
        <f>IFERROR(__xludf.DUMMYFUNCTION("""COMPUTED_VALUE"""),155.0)</f>
        <v>155</v>
      </c>
      <c r="AQ1098" s="14">
        <f>IFERROR(__xludf.DUMMYFUNCTION("""COMPUTED_VALUE"""),231.0)</f>
        <v>231</v>
      </c>
      <c r="AR1098" s="14">
        <f>IFERROR(__xludf.DUMMYFUNCTION("""COMPUTED_VALUE"""),74.0)</f>
        <v>74</v>
      </c>
      <c r="AS1098" s="14">
        <f>IFERROR(__xludf.DUMMYFUNCTION("""COMPUTED_VALUE"""),31.0)</f>
        <v>31</v>
      </c>
      <c r="AT1098" s="14">
        <f>IFERROR(__xludf.DUMMYFUNCTION("""COMPUTED_VALUE"""),10.32)</f>
        <v>10.32</v>
      </c>
      <c r="AU1098" s="14">
        <f>IFERROR(__xludf.DUMMYFUNCTION("""COMPUTED_VALUE"""),2.452E7)</f>
        <v>24520000</v>
      </c>
      <c r="AV1098" s="14">
        <f>IFERROR(__xludf.DUMMYFUNCTION("""COMPUTED_VALUE"""),2.74)</f>
        <v>2.74</v>
      </c>
      <c r="AW1098" s="14">
        <f>IFERROR(__xludf.DUMMYFUNCTION("""COMPUTED_VALUE"""),21.8)</f>
        <v>21.8</v>
      </c>
      <c r="AX1098" s="14">
        <f>IFERROR(__xludf.DUMMYFUNCTION("""COMPUTED_VALUE"""),2.334E7)</f>
        <v>23340000</v>
      </c>
      <c r="AY1098" s="14">
        <f>IFERROR(__xludf.DUMMYFUNCTION("""COMPUTED_VALUE"""),0.8)</f>
        <v>0.8</v>
      </c>
      <c r="AZ1098" s="14">
        <f>IFERROR(__xludf.DUMMYFUNCTION("""COMPUTED_VALUE"""),0.007)</f>
        <v>0.007</v>
      </c>
      <c r="BA1098" s="14">
        <f t="shared" si="1"/>
        <v>22.607</v>
      </c>
    </row>
    <row r="1099" ht="14.25" customHeight="1">
      <c r="A1099" s="10" t="str">
        <f>IFERROR(__xludf.DUMMYFUNCTION("""COMPUTED_VALUE"""),"090724FE03")</f>
        <v>090724FE03</v>
      </c>
      <c r="B1099" s="12" t="str">
        <f>IFERROR(__xludf.DUMMYFUNCTION("""COMPUTED_VALUE"""),"HCO-Los Lagartos")</f>
        <v>HCO-Los Lagartos</v>
      </c>
      <c r="C1099" s="12"/>
      <c r="D1099" s="12"/>
      <c r="E1099" s="44">
        <f>IFERROR(__xludf.DUMMYFUNCTION("""COMPUTED_VALUE"""),45482.0)</f>
        <v>45482</v>
      </c>
      <c r="F1099" s="12" t="str">
        <f>IFERROR(__xludf.DUMMYFUNCTION("""COMPUTED_VALUE"""),"TIPO I")</f>
        <v>TIPO I</v>
      </c>
      <c r="G1099" s="12" t="str">
        <f>IFERROR(__xludf.DUMMYFUNCTION("""COMPUTED_VALUE"""),"Toma de muestra en canal artificial en concreto, durante el monitoreo se percibe olor, se observa color y material flotante.
Altitud: 2566 msnm. ")</f>
        <v>Toma de muestra en canal artificial en concreto, durante el monitoreo se percibe olor, se observa color y material flotante.
Altitud: 2566 msnm. </v>
      </c>
      <c r="H1099" s="45">
        <f>IFERROR(__xludf.DUMMYFUNCTION("""COMPUTED_VALUE"""),0.6666666666678793)</f>
        <v>0.6666666667</v>
      </c>
      <c r="I1099" s="45">
        <f>IFERROR(__xludf.DUMMYFUNCTION("""COMPUTED_VALUE"""),0.75)</f>
        <v>0.75</v>
      </c>
      <c r="J1099" s="12">
        <f>IFERROR(__xludf.DUMMYFUNCTION("""COMPUTED_VALUE"""),6.2)</f>
        <v>6.2</v>
      </c>
      <c r="K1099" s="12">
        <f>IFERROR(__xludf.DUMMYFUNCTION("""COMPUTED_VALUE"""),0.68)</f>
        <v>0.68</v>
      </c>
      <c r="L1099" s="14">
        <f>IFERROR(__xludf.DUMMYFUNCTION("""COMPUTED_VALUE"""),765.595)</f>
        <v>765.595</v>
      </c>
      <c r="M1099" s="14">
        <f>IFERROR(__xludf.DUMMYFUNCTION("""COMPUTED_VALUE"""),763.363)</f>
        <v>763.363</v>
      </c>
      <c r="N1099" s="14">
        <f>IFERROR(__xludf.DUMMYFUNCTION("""COMPUTED_VALUE"""),762.333)</f>
        <v>762.333</v>
      </c>
      <c r="O1099" s="14">
        <f>IFERROR(__xludf.DUMMYFUNCTION("""COMPUTED_VALUE"""),762.848)</f>
        <v>762.848</v>
      </c>
      <c r="P1099" s="14">
        <f>IFERROR(__xludf.DUMMYFUNCTION("""COMPUTED_VALUE"""),763.878)</f>
        <v>763.878</v>
      </c>
      <c r="Q1099" s="14">
        <f>IFERROR(__xludf.DUMMYFUNCTION("""COMPUTED_VALUE"""),763.603)</f>
        <v>763.603</v>
      </c>
      <c r="R1099" s="48">
        <f>IFERROR(__xludf.DUMMYFUNCTION("""COMPUTED_VALUE"""),6.49)</f>
        <v>6.49</v>
      </c>
      <c r="S1099" s="48">
        <f>IFERROR(__xludf.DUMMYFUNCTION("""COMPUTED_VALUE"""),6.48)</f>
        <v>6.48</v>
      </c>
      <c r="T1099" s="48">
        <f>IFERROR(__xludf.DUMMYFUNCTION("""COMPUTED_VALUE"""),6.47)</f>
        <v>6.47</v>
      </c>
      <c r="U1099" s="48">
        <f>IFERROR(__xludf.DUMMYFUNCTION("""COMPUTED_VALUE"""),6.5)</f>
        <v>6.5</v>
      </c>
      <c r="V1099" s="48">
        <f>IFERROR(__xludf.DUMMYFUNCTION("""COMPUTED_VALUE"""),6.53)</f>
        <v>6.53</v>
      </c>
      <c r="W1099" s="14">
        <f>IFERROR(__xludf.DUMMYFUNCTION("""COMPUTED_VALUE"""),6.494)</f>
        <v>6.494</v>
      </c>
      <c r="X1099" s="14">
        <f>IFERROR(__xludf.DUMMYFUNCTION("""COMPUTED_VALUE"""),18.2)</f>
        <v>18.2</v>
      </c>
      <c r="Y1099" s="14">
        <f>IFERROR(__xludf.DUMMYFUNCTION("""COMPUTED_VALUE"""),18.0)</f>
        <v>18</v>
      </c>
      <c r="Z1099" s="14">
        <f>IFERROR(__xludf.DUMMYFUNCTION("""COMPUTED_VALUE"""),18.0)</f>
        <v>18</v>
      </c>
      <c r="AA1099" s="14">
        <f>IFERROR(__xludf.DUMMYFUNCTION("""COMPUTED_VALUE"""),18.0)</f>
        <v>18</v>
      </c>
      <c r="AB1099" s="14">
        <f>IFERROR(__xludf.DUMMYFUNCTION("""COMPUTED_VALUE"""),18.2)</f>
        <v>18.2</v>
      </c>
      <c r="AC1099" s="14">
        <f>IFERROR(__xludf.DUMMYFUNCTION("""COMPUTED_VALUE"""),18.080000000000002)</f>
        <v>18.08</v>
      </c>
      <c r="AD1099" s="48">
        <f>IFERROR(__xludf.DUMMYFUNCTION("""COMPUTED_VALUE"""),216.0)</f>
        <v>216</v>
      </c>
      <c r="AE1099" s="48">
        <f>IFERROR(__xludf.DUMMYFUNCTION("""COMPUTED_VALUE"""),213.0)</f>
        <v>213</v>
      </c>
      <c r="AF1099" s="48">
        <f>IFERROR(__xludf.DUMMYFUNCTION("""COMPUTED_VALUE"""),214.0)</f>
        <v>214</v>
      </c>
      <c r="AG1099" s="48">
        <f>IFERROR(__xludf.DUMMYFUNCTION("""COMPUTED_VALUE"""),215.0)</f>
        <v>215</v>
      </c>
      <c r="AH1099" s="48">
        <f>IFERROR(__xludf.DUMMYFUNCTION("""COMPUTED_VALUE"""),220.0)</f>
        <v>220</v>
      </c>
      <c r="AI1099" s="14">
        <f>IFERROR(__xludf.DUMMYFUNCTION("""COMPUTED_VALUE"""),215.6)</f>
        <v>215.6</v>
      </c>
      <c r="AJ1099" s="14">
        <f>IFERROR(__xludf.DUMMYFUNCTION("""COMPUTED_VALUE"""),1.69)</f>
        <v>1.69</v>
      </c>
      <c r="AK1099" s="14">
        <f>IFERROR(__xludf.DUMMYFUNCTION("""COMPUTED_VALUE"""),1.35)</f>
        <v>1.35</v>
      </c>
      <c r="AL1099" s="14">
        <f>IFERROR(__xludf.DUMMYFUNCTION("""COMPUTED_VALUE"""),1.4)</f>
        <v>1.4</v>
      </c>
      <c r="AM1099" s="14">
        <f>IFERROR(__xludf.DUMMYFUNCTION("""COMPUTED_VALUE"""),1.39)</f>
        <v>1.39</v>
      </c>
      <c r="AN1099" s="14">
        <f>IFERROR(__xludf.DUMMYFUNCTION("""COMPUTED_VALUE"""),1.3)</f>
        <v>1.3</v>
      </c>
      <c r="AO1099" s="14">
        <f>IFERROR(__xludf.DUMMYFUNCTION("""COMPUTED_VALUE"""),1.4259999999999997)</f>
        <v>1.426</v>
      </c>
      <c r="AP1099" s="14">
        <f>IFERROR(__xludf.DUMMYFUNCTION("""COMPUTED_VALUE"""),12.0)</f>
        <v>12</v>
      </c>
      <c r="AQ1099" s="14">
        <f>IFERROR(__xludf.DUMMYFUNCTION("""COMPUTED_VALUE"""),25.0)</f>
        <v>25</v>
      </c>
      <c r="AR1099" s="14">
        <f>IFERROR(__xludf.DUMMYFUNCTION("""COMPUTED_VALUE"""),16.0)</f>
        <v>16</v>
      </c>
      <c r="AS1099" s="14">
        <f>IFERROR(__xludf.DUMMYFUNCTION("""COMPUTED_VALUE"""),4.6)</f>
        <v>4.6</v>
      </c>
      <c r="AT1099" s="14">
        <f>IFERROR(__xludf.DUMMYFUNCTION("""COMPUTED_VALUE"""),0.2)</f>
        <v>0.2</v>
      </c>
      <c r="AU1099" s="14">
        <f>IFERROR(__xludf.DUMMYFUNCTION("""COMPUTED_VALUE"""),1.815E7)</f>
        <v>18150000</v>
      </c>
      <c r="AV1099" s="14">
        <f>IFERROR(__xludf.DUMMYFUNCTION("""COMPUTED_VALUE"""),0.51)</f>
        <v>0.51</v>
      </c>
      <c r="AW1099" s="14">
        <f>IFERROR(__xludf.DUMMYFUNCTION("""COMPUTED_VALUE"""),5.6)</f>
        <v>5.6</v>
      </c>
      <c r="AX1099" s="14">
        <f>IFERROR(__xludf.DUMMYFUNCTION("""COMPUTED_VALUE"""),1.661E7)</f>
        <v>16610000</v>
      </c>
      <c r="AY1099" s="14">
        <f>IFERROR(__xludf.DUMMYFUNCTION("""COMPUTED_VALUE"""),0.3)</f>
        <v>0.3</v>
      </c>
      <c r="AZ1099" s="14">
        <f>IFERROR(__xludf.DUMMYFUNCTION("""COMPUTED_VALUE"""),0.1)</f>
        <v>0.1</v>
      </c>
      <c r="BA1099" s="14">
        <f t="shared" si="1"/>
        <v>6</v>
      </c>
    </row>
    <row r="1100" ht="14.25" customHeight="1">
      <c r="A1100" s="10" t="str">
        <f>IFERROR(__xludf.DUMMYFUNCTION("""COMPUTED_VALUE"""),"100724HA01")</f>
        <v>100724HA01</v>
      </c>
      <c r="B1100" s="12" t="str">
        <f>IFERROR(__xludf.DUMMYFUNCTION("""COMPUTED_VALUE"""),"CON-Callejas")</f>
        <v>CON-Callejas</v>
      </c>
      <c r="C1100" s="12"/>
      <c r="D1100" s="12"/>
      <c r="E1100" s="44">
        <f>IFERROR(__xludf.DUMMYFUNCTION("""COMPUTED_VALUE"""),45483.0)</f>
        <v>45483</v>
      </c>
      <c r="F1100" s="12" t="str">
        <f>IFERROR(__xludf.DUMMYFUNCTION("""COMPUTED_VALUE"""),"TIPO I")</f>
        <v>TIPO I</v>
      </c>
      <c r="G1100" s="12" t="str">
        <f>IFERROR(__xludf.DUMMYFUNCTION("""COMPUTED_VALUE"""),"Toma de muestra en canal artificial en concreto, durante el desarrollo del monitoreo se observa color, no se percibe olor. ")</f>
        <v>Toma de muestra en canal artificial en concreto, durante el desarrollo del monitoreo se observa color, no se percibe olor. </v>
      </c>
      <c r="H1100" s="45">
        <f>IFERROR(__xludf.DUMMYFUNCTION("""COMPUTED_VALUE"""),0.25)</f>
        <v>0.25</v>
      </c>
      <c r="I1100" s="45">
        <f>IFERROR(__xludf.DUMMYFUNCTION("""COMPUTED_VALUE"""),0.3333333333321207)</f>
        <v>0.3333333333</v>
      </c>
      <c r="J1100" s="12">
        <f>IFERROR(__xludf.DUMMYFUNCTION("""COMPUTED_VALUE"""),3.0)</f>
        <v>3</v>
      </c>
      <c r="K1100" s="12">
        <f>IFERROR(__xludf.DUMMYFUNCTION("""COMPUTED_VALUE"""),0.08)</f>
        <v>0.08</v>
      </c>
      <c r="L1100" s="14">
        <f>IFERROR(__xludf.DUMMYFUNCTION("""COMPUTED_VALUE"""),10.853)</f>
        <v>10.853</v>
      </c>
      <c r="M1100" s="14">
        <f>IFERROR(__xludf.DUMMYFUNCTION("""COMPUTED_VALUE"""),10.843)</f>
        <v>10.843</v>
      </c>
      <c r="N1100" s="14">
        <f>IFERROR(__xludf.DUMMYFUNCTION("""COMPUTED_VALUE"""),10.888)</f>
        <v>10.888</v>
      </c>
      <c r="O1100" s="14">
        <f>IFERROR(__xludf.DUMMYFUNCTION("""COMPUTED_VALUE"""),10.898)</f>
        <v>10.898</v>
      </c>
      <c r="P1100" s="14">
        <f>IFERROR(__xludf.DUMMYFUNCTION("""COMPUTED_VALUE"""),10.904)</f>
        <v>10.904</v>
      </c>
      <c r="Q1100" s="14">
        <f>IFERROR(__xludf.DUMMYFUNCTION("""COMPUTED_VALUE"""),10.877)</f>
        <v>10.877</v>
      </c>
      <c r="R1100" s="48">
        <f>IFERROR(__xludf.DUMMYFUNCTION("""COMPUTED_VALUE"""),7.91)</f>
        <v>7.91</v>
      </c>
      <c r="S1100" s="48">
        <f>IFERROR(__xludf.DUMMYFUNCTION("""COMPUTED_VALUE"""),7.9)</f>
        <v>7.9</v>
      </c>
      <c r="T1100" s="48">
        <f>IFERROR(__xludf.DUMMYFUNCTION("""COMPUTED_VALUE"""),8.03)</f>
        <v>8.03</v>
      </c>
      <c r="U1100" s="48">
        <f>IFERROR(__xludf.DUMMYFUNCTION("""COMPUTED_VALUE"""),8.22)</f>
        <v>8.22</v>
      </c>
      <c r="V1100" s="48">
        <f>IFERROR(__xludf.DUMMYFUNCTION("""COMPUTED_VALUE"""),8.35)</f>
        <v>8.35</v>
      </c>
      <c r="W1100" s="14">
        <f>IFERROR(__xludf.DUMMYFUNCTION("""COMPUTED_VALUE"""),8.082)</f>
        <v>8.082</v>
      </c>
      <c r="X1100" s="14">
        <f>IFERROR(__xludf.DUMMYFUNCTION("""COMPUTED_VALUE"""),15.1)</f>
        <v>15.1</v>
      </c>
      <c r="Y1100" s="14">
        <f>IFERROR(__xludf.DUMMYFUNCTION("""COMPUTED_VALUE"""),15.2)</f>
        <v>15.2</v>
      </c>
      <c r="Z1100" s="14">
        <f>IFERROR(__xludf.DUMMYFUNCTION("""COMPUTED_VALUE"""),15.5)</f>
        <v>15.5</v>
      </c>
      <c r="AA1100" s="14">
        <f>IFERROR(__xludf.DUMMYFUNCTION("""COMPUTED_VALUE"""),15.6)</f>
        <v>15.6</v>
      </c>
      <c r="AB1100" s="14">
        <f>IFERROR(__xludf.DUMMYFUNCTION("""COMPUTED_VALUE"""),16.1)</f>
        <v>16.1</v>
      </c>
      <c r="AC1100" s="14">
        <f>IFERROR(__xludf.DUMMYFUNCTION("""COMPUTED_VALUE"""),15.5)</f>
        <v>15.5</v>
      </c>
      <c r="AD1100" s="48">
        <f>IFERROR(__xludf.DUMMYFUNCTION("""COMPUTED_VALUE"""),247.0)</f>
        <v>247</v>
      </c>
      <c r="AE1100" s="48">
        <f>IFERROR(__xludf.DUMMYFUNCTION("""COMPUTED_VALUE"""),250.0)</f>
        <v>250</v>
      </c>
      <c r="AF1100" s="48">
        <f>IFERROR(__xludf.DUMMYFUNCTION("""COMPUTED_VALUE"""),252.0)</f>
        <v>252</v>
      </c>
      <c r="AG1100" s="48">
        <f>IFERROR(__xludf.DUMMYFUNCTION("""COMPUTED_VALUE"""),248.0)</f>
        <v>248</v>
      </c>
      <c r="AH1100" s="48">
        <f>IFERROR(__xludf.DUMMYFUNCTION("""COMPUTED_VALUE"""),253.0)</f>
        <v>253</v>
      </c>
      <c r="AI1100" s="14">
        <f>IFERROR(__xludf.DUMMYFUNCTION("""COMPUTED_VALUE"""),250.0)</f>
        <v>250</v>
      </c>
      <c r="AJ1100" s="14">
        <f>IFERROR(__xludf.DUMMYFUNCTION("""COMPUTED_VALUE"""),3.17)</f>
        <v>3.17</v>
      </c>
      <c r="AK1100" s="14">
        <f>IFERROR(__xludf.DUMMYFUNCTION("""COMPUTED_VALUE"""),3.41)</f>
        <v>3.41</v>
      </c>
      <c r="AL1100" s="14">
        <f>IFERROR(__xludf.DUMMYFUNCTION("""COMPUTED_VALUE"""),4.9)</f>
        <v>4.9</v>
      </c>
      <c r="AM1100" s="14">
        <f>IFERROR(__xludf.DUMMYFUNCTION("""COMPUTED_VALUE"""),5.6)</f>
        <v>5.6</v>
      </c>
      <c r="AN1100" s="14">
        <f>IFERROR(__xludf.DUMMYFUNCTION("""COMPUTED_VALUE"""),5.97)</f>
        <v>5.97</v>
      </c>
      <c r="AO1100" s="14">
        <f>IFERROR(__xludf.DUMMYFUNCTION("""COMPUTED_VALUE"""),4.609999999999999)</f>
        <v>4.61</v>
      </c>
      <c r="AP1100" s="14">
        <f>IFERROR(__xludf.DUMMYFUNCTION("""COMPUTED_VALUE"""),22.0)</f>
        <v>22</v>
      </c>
      <c r="AQ1100" s="14">
        <f>IFERROR(__xludf.DUMMYFUNCTION("""COMPUTED_VALUE"""),56.0)</f>
        <v>56</v>
      </c>
      <c r="AR1100" s="14">
        <f>IFERROR(__xludf.DUMMYFUNCTION("""COMPUTED_VALUE"""),7.0)</f>
        <v>7</v>
      </c>
      <c r="AS1100" s="14">
        <f>IFERROR(__xludf.DUMMYFUNCTION("""COMPUTED_VALUE"""),9.5)</f>
        <v>9.5</v>
      </c>
      <c r="AT1100" s="14">
        <f>IFERROR(__xludf.DUMMYFUNCTION("""COMPUTED_VALUE"""),1.27)</f>
        <v>1.27</v>
      </c>
      <c r="AU1100" s="14">
        <f>IFERROR(__xludf.DUMMYFUNCTION("""COMPUTED_VALUE"""),1730000.0)</f>
        <v>1730000</v>
      </c>
      <c r="AV1100" s="14">
        <f>IFERROR(__xludf.DUMMYFUNCTION("""COMPUTED_VALUE"""),1.17)</f>
        <v>1.17</v>
      </c>
      <c r="AW1100" s="14">
        <f>IFERROR(__xludf.DUMMYFUNCTION("""COMPUTED_VALUE"""),12.3)</f>
        <v>12.3</v>
      </c>
      <c r="AX1100" s="14">
        <f>IFERROR(__xludf.DUMMYFUNCTION("""COMPUTED_VALUE"""),1657000.0)</f>
        <v>1657000</v>
      </c>
      <c r="AY1100" s="14">
        <f>IFERROR(__xludf.DUMMYFUNCTION("""COMPUTED_VALUE"""),0.7)</f>
        <v>0.7</v>
      </c>
      <c r="AZ1100" s="14">
        <f>IFERROR(__xludf.DUMMYFUNCTION("""COMPUTED_VALUE"""),0.04)</f>
        <v>0.04</v>
      </c>
      <c r="BA1100" s="14">
        <f t="shared" si="1"/>
        <v>13.04</v>
      </c>
    </row>
    <row r="1101" ht="14.25" customHeight="1">
      <c r="A1101" s="10" t="str">
        <f>IFERROR(__xludf.DUMMYFUNCTION("""COMPUTED_VALUE"""),"100724HA02")</f>
        <v>100724HA02</v>
      </c>
      <c r="B1101" s="12" t="str">
        <f>IFERROR(__xludf.DUMMYFUNCTION("""COMPUTED_VALUE"""),"CON-Camino del Contador")</f>
        <v>CON-Camino del Contador</v>
      </c>
      <c r="C1101" s="12"/>
      <c r="D1101" s="12"/>
      <c r="E1101" s="44">
        <f>IFERROR(__xludf.DUMMYFUNCTION("""COMPUTED_VALUE"""),45483.0)</f>
        <v>45483</v>
      </c>
      <c r="F1101" s="12" t="str">
        <f>IFERROR(__xludf.DUMMYFUNCTION("""COMPUTED_VALUE"""),"TIPO I")</f>
        <v>TIPO I</v>
      </c>
      <c r="G1101" s="12" t="str">
        <f>IFERROR(__xludf.DUMMYFUNCTION("""COMPUTED_VALUE"""),"Toma de muestra en canal artificial en concreto, durante el desarrollo del monitoreo no se observa color, se percibe olor. ")</f>
        <v>Toma de muestra en canal artificial en concreto, durante el desarrollo del monitoreo no se observa color, se percibe olor. </v>
      </c>
      <c r="H1101" s="45">
        <f>IFERROR(__xludf.DUMMYFUNCTION("""COMPUTED_VALUE"""),0.4166666666678793)</f>
        <v>0.4166666667</v>
      </c>
      <c r="I1101" s="45">
        <f>IFERROR(__xludf.DUMMYFUNCTION("""COMPUTED_VALUE"""),0.5)</f>
        <v>0.5</v>
      </c>
      <c r="J1101" s="12">
        <f>IFERROR(__xludf.DUMMYFUNCTION("""COMPUTED_VALUE"""),4.7)</f>
        <v>4.7</v>
      </c>
      <c r="K1101" s="12">
        <f>IFERROR(__xludf.DUMMYFUNCTION("""COMPUTED_VALUE"""),0.07)</f>
        <v>0.07</v>
      </c>
      <c r="L1101" s="14">
        <f>IFERROR(__xludf.DUMMYFUNCTION("""COMPUTED_VALUE"""),17.07)</f>
        <v>17.07</v>
      </c>
      <c r="M1101" s="14">
        <f>IFERROR(__xludf.DUMMYFUNCTION("""COMPUTED_VALUE"""),17.14)</f>
        <v>17.14</v>
      </c>
      <c r="N1101" s="14">
        <f>IFERROR(__xludf.DUMMYFUNCTION("""COMPUTED_VALUE"""),17.228)</f>
        <v>17.228</v>
      </c>
      <c r="O1101" s="14">
        <f>IFERROR(__xludf.DUMMYFUNCTION("""COMPUTED_VALUE"""),17.361)</f>
        <v>17.361</v>
      </c>
      <c r="P1101" s="14">
        <f>IFERROR(__xludf.DUMMYFUNCTION("""COMPUTED_VALUE"""),17.395)</f>
        <v>17.395</v>
      </c>
      <c r="Q1101" s="14">
        <f>IFERROR(__xludf.DUMMYFUNCTION("""COMPUTED_VALUE"""),17.239)</f>
        <v>17.239</v>
      </c>
      <c r="R1101" s="48">
        <f>IFERROR(__xludf.DUMMYFUNCTION("""COMPUTED_VALUE"""),8.22)</f>
        <v>8.22</v>
      </c>
      <c r="S1101" s="48">
        <f>IFERROR(__xludf.DUMMYFUNCTION("""COMPUTED_VALUE"""),8.27)</f>
        <v>8.27</v>
      </c>
      <c r="T1101" s="48">
        <f>IFERROR(__xludf.DUMMYFUNCTION("""COMPUTED_VALUE"""),8.3)</f>
        <v>8.3</v>
      </c>
      <c r="U1101" s="48">
        <f>IFERROR(__xludf.DUMMYFUNCTION("""COMPUTED_VALUE"""),8.46)</f>
        <v>8.46</v>
      </c>
      <c r="V1101" s="48">
        <f>IFERROR(__xludf.DUMMYFUNCTION("""COMPUTED_VALUE"""),8.54)</f>
        <v>8.54</v>
      </c>
      <c r="W1101" s="14">
        <f>IFERROR(__xludf.DUMMYFUNCTION("""COMPUTED_VALUE"""),8.358)</f>
        <v>8.358</v>
      </c>
      <c r="X1101" s="14">
        <f>IFERROR(__xludf.DUMMYFUNCTION("""COMPUTED_VALUE"""),18.4)</f>
        <v>18.4</v>
      </c>
      <c r="Y1101" s="14">
        <f>IFERROR(__xludf.DUMMYFUNCTION("""COMPUTED_VALUE"""),18.9)</f>
        <v>18.9</v>
      </c>
      <c r="Z1101" s="14">
        <f>IFERROR(__xludf.DUMMYFUNCTION("""COMPUTED_VALUE"""),18.6)</f>
        <v>18.6</v>
      </c>
      <c r="AA1101" s="14">
        <f>IFERROR(__xludf.DUMMYFUNCTION("""COMPUTED_VALUE"""),18.5)</f>
        <v>18.5</v>
      </c>
      <c r="AB1101" s="14">
        <f>IFERROR(__xludf.DUMMYFUNCTION("""COMPUTED_VALUE"""),18.5)</f>
        <v>18.5</v>
      </c>
      <c r="AC1101" s="14">
        <f>IFERROR(__xludf.DUMMYFUNCTION("""COMPUTED_VALUE"""),18.580000000000002)</f>
        <v>18.58</v>
      </c>
      <c r="AD1101" s="48">
        <f>IFERROR(__xludf.DUMMYFUNCTION("""COMPUTED_VALUE"""),256.0)</f>
        <v>256</v>
      </c>
      <c r="AE1101" s="48">
        <f>IFERROR(__xludf.DUMMYFUNCTION("""COMPUTED_VALUE"""),360.0)</f>
        <v>360</v>
      </c>
      <c r="AF1101" s="48">
        <f>IFERROR(__xludf.DUMMYFUNCTION("""COMPUTED_VALUE"""),388.0)</f>
        <v>388</v>
      </c>
      <c r="AG1101" s="48">
        <f>IFERROR(__xludf.DUMMYFUNCTION("""COMPUTED_VALUE"""),361.0)</f>
        <v>361</v>
      </c>
      <c r="AH1101" s="48">
        <f>IFERROR(__xludf.DUMMYFUNCTION("""COMPUTED_VALUE"""),349.0)</f>
        <v>349</v>
      </c>
      <c r="AI1101" s="14">
        <f>IFERROR(__xludf.DUMMYFUNCTION("""COMPUTED_VALUE"""),342.8)</f>
        <v>342.8</v>
      </c>
      <c r="AJ1101" s="14">
        <f>IFERROR(__xludf.DUMMYFUNCTION("""COMPUTED_VALUE"""),5.57)</f>
        <v>5.57</v>
      </c>
      <c r="AK1101" s="14">
        <f>IFERROR(__xludf.DUMMYFUNCTION("""COMPUTED_VALUE"""),6.6)</f>
        <v>6.6</v>
      </c>
      <c r="AL1101" s="14">
        <f>IFERROR(__xludf.DUMMYFUNCTION("""COMPUTED_VALUE"""),6.38)</f>
        <v>6.38</v>
      </c>
      <c r="AM1101" s="14">
        <f>IFERROR(__xludf.DUMMYFUNCTION("""COMPUTED_VALUE"""),6.07)</f>
        <v>6.07</v>
      </c>
      <c r="AN1101" s="14">
        <f>IFERROR(__xludf.DUMMYFUNCTION("""COMPUTED_VALUE"""),6.41)</f>
        <v>6.41</v>
      </c>
      <c r="AO1101" s="14">
        <f>IFERROR(__xludf.DUMMYFUNCTION("""COMPUTED_VALUE"""),6.206)</f>
        <v>6.206</v>
      </c>
      <c r="AP1101" s="14">
        <f>IFERROR(__xludf.DUMMYFUNCTION("""COMPUTED_VALUE"""),24.0)</f>
        <v>24</v>
      </c>
      <c r="AQ1101" s="14">
        <f>IFERROR(__xludf.DUMMYFUNCTION("""COMPUTED_VALUE"""),52.0)</f>
        <v>52</v>
      </c>
      <c r="AR1101" s="14">
        <f>IFERROR(__xludf.DUMMYFUNCTION("""COMPUTED_VALUE"""),9.0)</f>
        <v>9</v>
      </c>
      <c r="AS1101" s="14">
        <f>IFERROR(__xludf.DUMMYFUNCTION("""COMPUTED_VALUE"""),7.1)</f>
        <v>7.1</v>
      </c>
      <c r="AT1101" s="14">
        <f>IFERROR(__xludf.DUMMYFUNCTION("""COMPUTED_VALUE"""),1.35)</f>
        <v>1.35</v>
      </c>
      <c r="AU1101" s="14">
        <f>IFERROR(__xludf.DUMMYFUNCTION("""COMPUTED_VALUE"""),1615000.0)</f>
        <v>1615000</v>
      </c>
      <c r="AV1101" s="14">
        <f>IFERROR(__xludf.DUMMYFUNCTION("""COMPUTED_VALUE"""),1.31)</f>
        <v>1.31</v>
      </c>
      <c r="AW1101" s="14">
        <f>IFERROR(__xludf.DUMMYFUNCTION("""COMPUTED_VALUE"""),10.4)</f>
        <v>10.4</v>
      </c>
      <c r="AX1101" s="14">
        <f>IFERROR(__xludf.DUMMYFUNCTION("""COMPUTED_VALUE"""),1494000.0)</f>
        <v>1494000</v>
      </c>
      <c r="AY1101" s="14">
        <f>IFERROR(__xludf.DUMMYFUNCTION("""COMPUTED_VALUE"""),0.5)</f>
        <v>0.5</v>
      </c>
      <c r="AZ1101" s="14">
        <f>IFERROR(__xludf.DUMMYFUNCTION("""COMPUTED_VALUE"""),0.007)</f>
        <v>0.007</v>
      </c>
      <c r="BA1101" s="14">
        <f t="shared" si="1"/>
        <v>10.907</v>
      </c>
    </row>
    <row r="1102" ht="14.25" customHeight="1">
      <c r="A1102" s="10" t="str">
        <f>IFERROR(__xludf.DUMMYFUNCTION("""COMPUTED_VALUE"""),"100724FE01")</f>
        <v>100724FE01</v>
      </c>
      <c r="B1102" s="12" t="str">
        <f>IFERROR(__xludf.DUMMYFUNCTION("""COMPUTED_VALUE"""),"CON-Bella Suiza")</f>
        <v>CON-Bella Suiza</v>
      </c>
      <c r="C1102" s="12"/>
      <c r="D1102" s="12"/>
      <c r="E1102" s="44">
        <f>IFERROR(__xludf.DUMMYFUNCTION("""COMPUTED_VALUE"""),45483.0)</f>
        <v>45483</v>
      </c>
      <c r="F1102" s="12" t="str">
        <f>IFERROR(__xludf.DUMMYFUNCTION("""COMPUTED_VALUE"""),"TIPO I")</f>
        <v>TIPO I</v>
      </c>
      <c r="G1102" s="12" t="str">
        <f>IFERROR(__xludf.DUMMYFUNCTION("""COMPUTED_VALUE"""),"Toma de muestra en canal artificial en concreto, durante el monitoreo se observa color y se percibe olor. 
Altitud: 2560 msnm. ")</f>
        <v>Toma de muestra en canal artificial en concreto, durante el monitoreo se observa color y se percibe olor. 
Altitud: 2560 msnm. </v>
      </c>
      <c r="H1102" s="45">
        <f>IFERROR(__xludf.DUMMYFUNCTION("""COMPUTED_VALUE"""),0.3333333333321207)</f>
        <v>0.3333333333</v>
      </c>
      <c r="I1102" s="45">
        <f>IFERROR(__xludf.DUMMYFUNCTION("""COMPUTED_VALUE"""),0.4166666666678793)</f>
        <v>0.4166666667</v>
      </c>
      <c r="J1102" s="12">
        <f>IFERROR(__xludf.DUMMYFUNCTION("""COMPUTED_VALUE"""),1.0)</f>
        <v>1</v>
      </c>
      <c r="K1102" s="12">
        <f>IFERROR(__xludf.DUMMYFUNCTION("""COMPUTED_VALUE"""),0.07)</f>
        <v>0.07</v>
      </c>
      <c r="L1102" s="14">
        <f>IFERROR(__xludf.DUMMYFUNCTION("""COMPUTED_VALUE"""),19.457)</f>
        <v>19.457</v>
      </c>
      <c r="M1102" s="14">
        <f>IFERROR(__xludf.DUMMYFUNCTION("""COMPUTED_VALUE"""),19.814)</f>
        <v>19.814</v>
      </c>
      <c r="N1102" s="14">
        <f>IFERROR(__xludf.DUMMYFUNCTION("""COMPUTED_VALUE"""),19.322)</f>
        <v>19.322</v>
      </c>
      <c r="O1102" s="14">
        <f>IFERROR(__xludf.DUMMYFUNCTION("""COMPUTED_VALUE"""),19.294)</f>
        <v>19.294</v>
      </c>
      <c r="P1102" s="14">
        <f>IFERROR(__xludf.DUMMYFUNCTION("""COMPUTED_VALUE"""),18.862)</f>
        <v>18.862</v>
      </c>
      <c r="Q1102" s="14">
        <f>IFERROR(__xludf.DUMMYFUNCTION("""COMPUTED_VALUE"""),19.35)</f>
        <v>19.35</v>
      </c>
      <c r="R1102" s="48">
        <f>IFERROR(__xludf.DUMMYFUNCTION("""COMPUTED_VALUE"""),7.86)</f>
        <v>7.86</v>
      </c>
      <c r="S1102" s="48">
        <f>IFERROR(__xludf.DUMMYFUNCTION("""COMPUTED_VALUE"""),7.71)</f>
        <v>7.71</v>
      </c>
      <c r="T1102" s="48">
        <f>IFERROR(__xludf.DUMMYFUNCTION("""COMPUTED_VALUE"""),7.93)</f>
        <v>7.93</v>
      </c>
      <c r="U1102" s="48">
        <f>IFERROR(__xludf.DUMMYFUNCTION("""COMPUTED_VALUE"""),7.62)</f>
        <v>7.62</v>
      </c>
      <c r="V1102" s="48">
        <f>IFERROR(__xludf.DUMMYFUNCTION("""COMPUTED_VALUE"""),7.98)</f>
        <v>7.98</v>
      </c>
      <c r="W1102" s="14">
        <f>IFERROR(__xludf.DUMMYFUNCTION("""COMPUTED_VALUE"""),7.82)</f>
        <v>7.82</v>
      </c>
      <c r="X1102" s="14">
        <f>IFERROR(__xludf.DUMMYFUNCTION("""COMPUTED_VALUE"""),19.3)</f>
        <v>19.3</v>
      </c>
      <c r="Y1102" s="14">
        <f>IFERROR(__xludf.DUMMYFUNCTION("""COMPUTED_VALUE"""),19.0)</f>
        <v>19</v>
      </c>
      <c r="Z1102" s="14">
        <f>IFERROR(__xludf.DUMMYFUNCTION("""COMPUTED_VALUE"""),19.1)</f>
        <v>19.1</v>
      </c>
      <c r="AA1102" s="14">
        <f>IFERROR(__xludf.DUMMYFUNCTION("""COMPUTED_VALUE"""),18.9)</f>
        <v>18.9</v>
      </c>
      <c r="AB1102" s="14">
        <f>IFERROR(__xludf.DUMMYFUNCTION("""COMPUTED_VALUE"""),19.2)</f>
        <v>19.2</v>
      </c>
      <c r="AC1102" s="14">
        <f>IFERROR(__xludf.DUMMYFUNCTION("""COMPUTED_VALUE"""),19.1)</f>
        <v>19.1</v>
      </c>
      <c r="AD1102" s="48">
        <f>IFERROR(__xludf.DUMMYFUNCTION("""COMPUTED_VALUE"""),344.0)</f>
        <v>344</v>
      </c>
      <c r="AE1102" s="48">
        <f>IFERROR(__xludf.DUMMYFUNCTION("""COMPUTED_VALUE"""),315.0)</f>
        <v>315</v>
      </c>
      <c r="AF1102" s="48">
        <f>IFERROR(__xludf.DUMMYFUNCTION("""COMPUTED_VALUE"""),335.0)</f>
        <v>335</v>
      </c>
      <c r="AG1102" s="48">
        <f>IFERROR(__xludf.DUMMYFUNCTION("""COMPUTED_VALUE"""),329.0)</f>
        <v>329</v>
      </c>
      <c r="AH1102" s="48">
        <f>IFERROR(__xludf.DUMMYFUNCTION("""COMPUTED_VALUE"""),348.0)</f>
        <v>348</v>
      </c>
      <c r="AI1102" s="14">
        <f>IFERROR(__xludf.DUMMYFUNCTION("""COMPUTED_VALUE"""),334.2)</f>
        <v>334.2</v>
      </c>
      <c r="AJ1102" s="14">
        <f>IFERROR(__xludf.DUMMYFUNCTION("""COMPUTED_VALUE"""),3.37)</f>
        <v>3.37</v>
      </c>
      <c r="AK1102" s="14">
        <f>IFERROR(__xludf.DUMMYFUNCTION("""COMPUTED_VALUE"""),3.75)</f>
        <v>3.75</v>
      </c>
      <c r="AL1102" s="14">
        <f>IFERROR(__xludf.DUMMYFUNCTION("""COMPUTED_VALUE"""),3.92)</f>
        <v>3.92</v>
      </c>
      <c r="AM1102" s="14">
        <f>IFERROR(__xludf.DUMMYFUNCTION("""COMPUTED_VALUE"""),3.23)</f>
        <v>3.23</v>
      </c>
      <c r="AN1102" s="14">
        <f>IFERROR(__xludf.DUMMYFUNCTION("""COMPUTED_VALUE"""),3.87)</f>
        <v>3.87</v>
      </c>
      <c r="AO1102" s="14">
        <f>IFERROR(__xludf.DUMMYFUNCTION("""COMPUTED_VALUE"""),3.628)</f>
        <v>3.628</v>
      </c>
      <c r="AP1102" s="14">
        <f>IFERROR(__xludf.DUMMYFUNCTION("""COMPUTED_VALUE"""),27.0)</f>
        <v>27</v>
      </c>
      <c r="AQ1102" s="14">
        <f>IFERROR(__xludf.DUMMYFUNCTION("""COMPUTED_VALUE"""),39.0)</f>
        <v>39</v>
      </c>
      <c r="AR1102" s="14">
        <f>IFERROR(__xludf.DUMMYFUNCTION("""COMPUTED_VALUE"""),13.0)</f>
        <v>13</v>
      </c>
      <c r="AS1102" s="14">
        <f>IFERROR(__xludf.DUMMYFUNCTION("""COMPUTED_VALUE"""),12.4)</f>
        <v>12.4</v>
      </c>
      <c r="AT1102" s="14">
        <f>IFERROR(__xludf.DUMMYFUNCTION("""COMPUTED_VALUE"""),1.23)</f>
        <v>1.23</v>
      </c>
      <c r="AU1102" s="14">
        <f>IFERROR(__xludf.DUMMYFUNCTION("""COMPUTED_VALUE"""),132400.0)</f>
        <v>132400</v>
      </c>
      <c r="AV1102" s="14">
        <f>IFERROR(__xludf.DUMMYFUNCTION("""COMPUTED_VALUE"""),1.01)</f>
        <v>1.01</v>
      </c>
      <c r="AW1102" s="14">
        <f>IFERROR(__xludf.DUMMYFUNCTION("""COMPUTED_VALUE"""),10.9)</f>
        <v>10.9</v>
      </c>
      <c r="AX1102" s="14">
        <f>IFERROR(__xludf.DUMMYFUNCTION("""COMPUTED_VALUE"""),124700.0)</f>
        <v>124700</v>
      </c>
      <c r="AY1102" s="14">
        <f>IFERROR(__xludf.DUMMYFUNCTION("""COMPUTED_VALUE"""),0.1)</f>
        <v>0.1</v>
      </c>
      <c r="AZ1102" s="14">
        <f>IFERROR(__xludf.DUMMYFUNCTION("""COMPUTED_VALUE"""),0.239)</f>
        <v>0.239</v>
      </c>
      <c r="BA1102" s="14">
        <f t="shared" si="1"/>
        <v>11.239</v>
      </c>
    </row>
    <row r="1103" ht="14.25" customHeight="1">
      <c r="A1103" s="10" t="str">
        <f>IFERROR(__xludf.DUMMYFUNCTION("""COMPUTED_VALUE"""),"110724DU02")</f>
        <v>110724DU02</v>
      </c>
      <c r="B1103" s="12" t="str">
        <f>IFERROR(__xludf.DUMMYFUNCTION("""COMPUTED_VALUE"""),"CRN-Quebrada Chicó")</f>
        <v>CRN-Quebrada Chicó</v>
      </c>
      <c r="C1103" s="12"/>
      <c r="D1103" s="12"/>
      <c r="E1103" s="44">
        <f>IFERROR(__xludf.DUMMYFUNCTION("""COMPUTED_VALUE"""),45484.0)</f>
        <v>45484</v>
      </c>
      <c r="F1103" s="12" t="str">
        <f>IFERROR(__xludf.DUMMYFUNCTION("""COMPUTED_VALUE"""),"TIPO I")</f>
        <v>TIPO I</v>
      </c>
      <c r="G1103" s="12" t="str">
        <f>IFERROR(__xludf.DUMMYFUNCTION("""COMPUTED_VALUE"""),"Lecho artificial tubería en concreto con diámetro de 1.70m, no se percibe olor, no se observa color.
Coordenadas de campo: N 4°40'7.5""   W 74°02'43,1""")</f>
        <v>Lecho artificial tubería en concreto con diámetro de 1.70m, no se percibe olor, no se observa color.
Coordenadas de campo: N 4°40'7.5"   W 74°02'43,1"</v>
      </c>
      <c r="H1103" s="45">
        <f>IFERROR(__xludf.DUMMYFUNCTION("""COMPUTED_VALUE"""),0.5)</f>
        <v>0.5</v>
      </c>
      <c r="I1103" s="45">
        <f>IFERROR(__xludf.DUMMYFUNCTION("""COMPUTED_VALUE"""),0.5833333333321207)</f>
        <v>0.5833333333</v>
      </c>
      <c r="J1103" s="12"/>
      <c r="K1103" s="12"/>
      <c r="L1103" s="14">
        <f>IFERROR(__xludf.DUMMYFUNCTION("""COMPUTED_VALUE"""),2.466)</f>
        <v>2.466</v>
      </c>
      <c r="M1103" s="14">
        <f>IFERROR(__xludf.DUMMYFUNCTION("""COMPUTED_VALUE"""),2.439)</f>
        <v>2.439</v>
      </c>
      <c r="N1103" s="14">
        <f>IFERROR(__xludf.DUMMYFUNCTION("""COMPUTED_VALUE"""),2.476)</f>
        <v>2.476</v>
      </c>
      <c r="O1103" s="14">
        <f>IFERROR(__xludf.DUMMYFUNCTION("""COMPUTED_VALUE"""),2.301)</f>
        <v>2.301</v>
      </c>
      <c r="P1103" s="14">
        <f>IFERROR(__xludf.DUMMYFUNCTION("""COMPUTED_VALUE"""),2.316)</f>
        <v>2.316</v>
      </c>
      <c r="Q1103" s="14">
        <f>IFERROR(__xludf.DUMMYFUNCTION("""COMPUTED_VALUE"""),2.4)</f>
        <v>2.4</v>
      </c>
      <c r="R1103" s="48">
        <f>IFERROR(__xludf.DUMMYFUNCTION("""COMPUTED_VALUE"""),6.33)</f>
        <v>6.33</v>
      </c>
      <c r="S1103" s="48">
        <f>IFERROR(__xludf.DUMMYFUNCTION("""COMPUTED_VALUE"""),6.12)</f>
        <v>6.12</v>
      </c>
      <c r="T1103" s="48">
        <f>IFERROR(__xludf.DUMMYFUNCTION("""COMPUTED_VALUE"""),6.18)</f>
        <v>6.18</v>
      </c>
      <c r="U1103" s="48">
        <f>IFERROR(__xludf.DUMMYFUNCTION("""COMPUTED_VALUE"""),6.05)</f>
        <v>6.05</v>
      </c>
      <c r="V1103" s="48">
        <f>IFERROR(__xludf.DUMMYFUNCTION("""COMPUTED_VALUE"""),6.1)</f>
        <v>6.1</v>
      </c>
      <c r="W1103" s="14">
        <f>IFERROR(__xludf.DUMMYFUNCTION("""COMPUTED_VALUE"""),6.156000000000001)</f>
        <v>6.156</v>
      </c>
      <c r="X1103" s="14">
        <f>IFERROR(__xludf.DUMMYFUNCTION("""COMPUTED_VALUE"""),15.8)</f>
        <v>15.8</v>
      </c>
      <c r="Y1103" s="14">
        <f>IFERROR(__xludf.DUMMYFUNCTION("""COMPUTED_VALUE"""),15.9)</f>
        <v>15.9</v>
      </c>
      <c r="Z1103" s="14">
        <f>IFERROR(__xludf.DUMMYFUNCTION("""COMPUTED_VALUE"""),15.7)</f>
        <v>15.7</v>
      </c>
      <c r="AA1103" s="14">
        <f>IFERROR(__xludf.DUMMYFUNCTION("""COMPUTED_VALUE"""),15.6)</f>
        <v>15.6</v>
      </c>
      <c r="AB1103" s="14">
        <f>IFERROR(__xludf.DUMMYFUNCTION("""COMPUTED_VALUE"""),15.6)</f>
        <v>15.6</v>
      </c>
      <c r="AC1103" s="14">
        <f>IFERROR(__xludf.DUMMYFUNCTION("""COMPUTED_VALUE"""),15.720000000000002)</f>
        <v>15.72</v>
      </c>
      <c r="AD1103" s="48">
        <f>IFERROR(__xludf.DUMMYFUNCTION("""COMPUTED_VALUE"""),79.3)</f>
        <v>79.3</v>
      </c>
      <c r="AE1103" s="48">
        <f>IFERROR(__xludf.DUMMYFUNCTION("""COMPUTED_VALUE"""),76.3)</f>
        <v>76.3</v>
      </c>
      <c r="AF1103" s="48">
        <f>IFERROR(__xludf.DUMMYFUNCTION("""COMPUTED_VALUE"""),74.6)</f>
        <v>74.6</v>
      </c>
      <c r="AG1103" s="48">
        <f>IFERROR(__xludf.DUMMYFUNCTION("""COMPUTED_VALUE"""),78.0)</f>
        <v>78</v>
      </c>
      <c r="AH1103" s="48">
        <f>IFERROR(__xludf.DUMMYFUNCTION("""COMPUTED_VALUE"""),75.1)</f>
        <v>75.1</v>
      </c>
      <c r="AI1103" s="14">
        <f>IFERROR(__xludf.DUMMYFUNCTION("""COMPUTED_VALUE"""),76.66)</f>
        <v>76.66</v>
      </c>
      <c r="AJ1103" s="14">
        <f>IFERROR(__xludf.DUMMYFUNCTION("""COMPUTED_VALUE"""),4.38)</f>
        <v>4.38</v>
      </c>
      <c r="AK1103" s="14">
        <f>IFERROR(__xludf.DUMMYFUNCTION("""COMPUTED_VALUE"""),4.53)</f>
        <v>4.53</v>
      </c>
      <c r="AL1103" s="14">
        <f>IFERROR(__xludf.DUMMYFUNCTION("""COMPUTED_VALUE"""),4.24)</f>
        <v>4.24</v>
      </c>
      <c r="AM1103" s="14">
        <f>IFERROR(__xludf.DUMMYFUNCTION("""COMPUTED_VALUE"""),4.19)</f>
        <v>4.19</v>
      </c>
      <c r="AN1103" s="14">
        <f>IFERROR(__xludf.DUMMYFUNCTION("""COMPUTED_VALUE"""),4.35)</f>
        <v>4.35</v>
      </c>
      <c r="AO1103" s="14">
        <f>IFERROR(__xludf.DUMMYFUNCTION("""COMPUTED_VALUE"""),4.337999999999999)</f>
        <v>4.338</v>
      </c>
      <c r="AP1103" s="14">
        <f>IFERROR(__xludf.DUMMYFUNCTION("""COMPUTED_VALUE"""),12.0)</f>
        <v>12</v>
      </c>
      <c r="AQ1103" s="14">
        <f>IFERROR(__xludf.DUMMYFUNCTION("""COMPUTED_VALUE"""),20.0)</f>
        <v>20</v>
      </c>
      <c r="AR1103" s="14">
        <f>IFERROR(__xludf.DUMMYFUNCTION("""COMPUTED_VALUE"""),6.0)</f>
        <v>6</v>
      </c>
      <c r="AS1103" s="14">
        <f>IFERROR(__xludf.DUMMYFUNCTION("""COMPUTED_VALUE"""),9.4)</f>
        <v>9.4</v>
      </c>
      <c r="AT1103" s="14">
        <f>IFERROR(__xludf.DUMMYFUNCTION("""COMPUTED_VALUE"""),1.32)</f>
        <v>1.32</v>
      </c>
      <c r="AU1103" s="14">
        <f>IFERROR(__xludf.DUMMYFUNCTION("""COMPUTED_VALUE"""),1.414E7)</f>
        <v>14140000</v>
      </c>
      <c r="AV1103" s="14">
        <f>IFERROR(__xludf.DUMMYFUNCTION("""COMPUTED_VALUE"""),0.38)</f>
        <v>0.38</v>
      </c>
      <c r="AW1103" s="14">
        <f>IFERROR(__xludf.DUMMYFUNCTION("""COMPUTED_VALUE"""),2.2)</f>
        <v>2.2</v>
      </c>
      <c r="AX1103" s="14">
        <f>IFERROR(__xludf.DUMMYFUNCTION("""COMPUTED_VALUE"""),1.291E7)</f>
        <v>12910000</v>
      </c>
      <c r="AY1103" s="14">
        <f>IFERROR(__xludf.DUMMYFUNCTION("""COMPUTED_VALUE"""),1.0)</f>
        <v>1</v>
      </c>
      <c r="AZ1103" s="14">
        <f>IFERROR(__xludf.DUMMYFUNCTION("""COMPUTED_VALUE"""),0.049)</f>
        <v>0.049</v>
      </c>
      <c r="BA1103" s="14">
        <f t="shared" si="1"/>
        <v>3.249</v>
      </c>
    </row>
    <row r="1104" ht="14.25" customHeight="1">
      <c r="A1104" s="10" t="str">
        <f>IFERROR(__xludf.DUMMYFUNCTION("""COMPUTED_VALUE"""),"100724FE02")</f>
        <v>100724FE02</v>
      </c>
      <c r="B1104" s="12" t="str">
        <f>IFERROR(__xludf.DUMMYFUNCTION("""COMPUTED_VALUE"""),"CON-Country")</f>
        <v>CON-Country</v>
      </c>
      <c r="C1104" s="12"/>
      <c r="D1104" s="12"/>
      <c r="E1104" s="44">
        <f>IFERROR(__xludf.DUMMYFUNCTION("""COMPUTED_VALUE"""),45483.0)</f>
        <v>45483</v>
      </c>
      <c r="F1104" s="12" t="str">
        <f>IFERROR(__xludf.DUMMYFUNCTION("""COMPUTED_VALUE"""),"TIPO I")</f>
        <v>TIPO I</v>
      </c>
      <c r="G1104" s="12" t="str">
        <f>IFERROR(__xludf.DUMMYFUNCTION("""COMPUTED_VALUE"""),"Toma de muestra en canal artificial en concreto , durante el monitoreo se percibe olor y se observa color.
Altitud: 2558 msnm. ")</f>
        <v>Toma de muestra en canal artificial en concreto , durante el monitoreo se percibe olor y se observa color.
Altitud: 2558 msnm. </v>
      </c>
      <c r="H1104" s="45">
        <f>IFERROR(__xludf.DUMMYFUNCTION("""COMPUTED_VALUE"""),0.5)</f>
        <v>0.5</v>
      </c>
      <c r="I1104" s="45">
        <f>IFERROR(__xludf.DUMMYFUNCTION("""COMPUTED_VALUE"""),0.5833333333321207)</f>
        <v>0.5833333333</v>
      </c>
      <c r="J1104" s="12">
        <f>IFERROR(__xludf.DUMMYFUNCTION("""COMPUTED_VALUE"""),2.3)</f>
        <v>2.3</v>
      </c>
      <c r="K1104" s="12">
        <f>IFERROR(__xludf.DUMMYFUNCTION("""COMPUTED_VALUE"""),0.07)</f>
        <v>0.07</v>
      </c>
      <c r="L1104" s="14">
        <f>IFERROR(__xludf.DUMMYFUNCTION("""COMPUTED_VALUE"""),25.437)</f>
        <v>25.437</v>
      </c>
      <c r="M1104" s="14">
        <f>IFERROR(__xludf.DUMMYFUNCTION("""COMPUTED_VALUE"""),27.086)</f>
        <v>27.086</v>
      </c>
      <c r="N1104" s="14">
        <f>IFERROR(__xludf.DUMMYFUNCTION("""COMPUTED_VALUE"""),28.044)</f>
        <v>28.044</v>
      </c>
      <c r="O1104" s="14">
        <f>IFERROR(__xludf.DUMMYFUNCTION("""COMPUTED_VALUE"""),29.232)</f>
        <v>29.232</v>
      </c>
      <c r="P1104" s="14">
        <f>IFERROR(__xludf.DUMMYFUNCTION("""COMPUTED_VALUE"""),30.055)</f>
        <v>30.055</v>
      </c>
      <c r="Q1104" s="14">
        <f>IFERROR(__xludf.DUMMYFUNCTION("""COMPUTED_VALUE"""),27.971)</f>
        <v>27.971</v>
      </c>
      <c r="R1104" s="48">
        <f>IFERROR(__xludf.DUMMYFUNCTION("""COMPUTED_VALUE"""),7.73)</f>
        <v>7.73</v>
      </c>
      <c r="S1104" s="48">
        <f>IFERROR(__xludf.DUMMYFUNCTION("""COMPUTED_VALUE"""),7.65)</f>
        <v>7.65</v>
      </c>
      <c r="T1104" s="48">
        <f>IFERROR(__xludf.DUMMYFUNCTION("""COMPUTED_VALUE"""),7.51)</f>
        <v>7.51</v>
      </c>
      <c r="U1104" s="48">
        <f>IFERROR(__xludf.DUMMYFUNCTION("""COMPUTED_VALUE"""),7.81)</f>
        <v>7.81</v>
      </c>
      <c r="V1104" s="48">
        <f>IFERROR(__xludf.DUMMYFUNCTION("""COMPUTED_VALUE"""),7.38)</f>
        <v>7.38</v>
      </c>
      <c r="W1104" s="14">
        <f>IFERROR(__xludf.DUMMYFUNCTION("""COMPUTED_VALUE"""),7.616)</f>
        <v>7.616</v>
      </c>
      <c r="X1104" s="14">
        <f>IFERROR(__xludf.DUMMYFUNCTION("""COMPUTED_VALUE"""),23.2)</f>
        <v>23.2</v>
      </c>
      <c r="Y1104" s="14">
        <f>IFERROR(__xludf.DUMMYFUNCTION("""COMPUTED_VALUE"""),24.0)</f>
        <v>24</v>
      </c>
      <c r="Z1104" s="14">
        <f>IFERROR(__xludf.DUMMYFUNCTION("""COMPUTED_VALUE"""),24.7)</f>
        <v>24.7</v>
      </c>
      <c r="AA1104" s="14">
        <f>IFERROR(__xludf.DUMMYFUNCTION("""COMPUTED_VALUE"""),24.5)</f>
        <v>24.5</v>
      </c>
      <c r="AB1104" s="14">
        <f>IFERROR(__xludf.DUMMYFUNCTION("""COMPUTED_VALUE"""),25.1)</f>
        <v>25.1</v>
      </c>
      <c r="AC1104" s="14">
        <f>IFERROR(__xludf.DUMMYFUNCTION("""COMPUTED_VALUE"""),24.3)</f>
        <v>24.3</v>
      </c>
      <c r="AD1104" s="48">
        <f>IFERROR(__xludf.DUMMYFUNCTION("""COMPUTED_VALUE"""),356.0)</f>
        <v>356</v>
      </c>
      <c r="AE1104" s="48">
        <f>IFERROR(__xludf.DUMMYFUNCTION("""COMPUTED_VALUE"""),367.0)</f>
        <v>367</v>
      </c>
      <c r="AF1104" s="48">
        <f>IFERROR(__xludf.DUMMYFUNCTION("""COMPUTED_VALUE"""),372.0)</f>
        <v>372</v>
      </c>
      <c r="AG1104" s="48">
        <f>IFERROR(__xludf.DUMMYFUNCTION("""COMPUTED_VALUE"""),341.0)</f>
        <v>341</v>
      </c>
      <c r="AH1104" s="48">
        <f>IFERROR(__xludf.DUMMYFUNCTION("""COMPUTED_VALUE"""),383.0)</f>
        <v>383</v>
      </c>
      <c r="AI1104" s="14">
        <f>IFERROR(__xludf.DUMMYFUNCTION("""COMPUTED_VALUE"""),363.8)</f>
        <v>363.8</v>
      </c>
      <c r="AJ1104" s="14">
        <f>IFERROR(__xludf.DUMMYFUNCTION("""COMPUTED_VALUE"""),4.27)</f>
        <v>4.27</v>
      </c>
      <c r="AK1104" s="14">
        <f>IFERROR(__xludf.DUMMYFUNCTION("""COMPUTED_VALUE"""),4.36)</f>
        <v>4.36</v>
      </c>
      <c r="AL1104" s="14">
        <f>IFERROR(__xludf.DUMMYFUNCTION("""COMPUTED_VALUE"""),4.57)</f>
        <v>4.57</v>
      </c>
      <c r="AM1104" s="14">
        <f>IFERROR(__xludf.DUMMYFUNCTION("""COMPUTED_VALUE"""),4.41)</f>
        <v>4.41</v>
      </c>
      <c r="AN1104" s="14">
        <f>IFERROR(__xludf.DUMMYFUNCTION("""COMPUTED_VALUE"""),4.65)</f>
        <v>4.65</v>
      </c>
      <c r="AO1104" s="14">
        <f>IFERROR(__xludf.DUMMYFUNCTION("""COMPUTED_VALUE"""),4.452)</f>
        <v>4.452</v>
      </c>
      <c r="AP1104" s="14">
        <f>IFERROR(__xludf.DUMMYFUNCTION("""COMPUTED_VALUE"""),26.0)</f>
        <v>26</v>
      </c>
      <c r="AQ1104" s="14">
        <f>IFERROR(__xludf.DUMMYFUNCTION("""COMPUTED_VALUE"""),60.0)</f>
        <v>60</v>
      </c>
      <c r="AR1104" s="14">
        <f>IFERROR(__xludf.DUMMYFUNCTION("""COMPUTED_VALUE"""),17.0)</f>
        <v>17</v>
      </c>
      <c r="AS1104" s="14">
        <f>IFERROR(__xludf.DUMMYFUNCTION("""COMPUTED_VALUE"""),8.6)</f>
        <v>8.6</v>
      </c>
      <c r="AT1104" s="14">
        <f>IFERROR(__xludf.DUMMYFUNCTION("""COMPUTED_VALUE"""),0.99)</f>
        <v>0.99</v>
      </c>
      <c r="AU1104" s="14">
        <f>IFERROR(__xludf.DUMMYFUNCTION("""COMPUTED_VALUE"""),1811000.0)</f>
        <v>1811000</v>
      </c>
      <c r="AV1104" s="14">
        <f>IFERROR(__xludf.DUMMYFUNCTION("""COMPUTED_VALUE"""),1.13)</f>
        <v>1.13</v>
      </c>
      <c r="AW1104" s="14">
        <f>IFERROR(__xludf.DUMMYFUNCTION("""COMPUTED_VALUE"""),15.4)</f>
        <v>15.4</v>
      </c>
      <c r="AX1104" s="14">
        <f>IFERROR(__xludf.DUMMYFUNCTION("""COMPUTED_VALUE"""),1686000.0)</f>
        <v>1686000</v>
      </c>
      <c r="AY1104" s="14">
        <f>IFERROR(__xludf.DUMMYFUNCTION("""COMPUTED_VALUE"""),0.4)</f>
        <v>0.4</v>
      </c>
      <c r="AZ1104" s="14">
        <f>IFERROR(__xludf.DUMMYFUNCTION("""COMPUTED_VALUE"""),0.464)</f>
        <v>0.464</v>
      </c>
      <c r="BA1104" s="14">
        <f t="shared" si="1"/>
        <v>16.264</v>
      </c>
    </row>
    <row r="1105" ht="14.25" customHeight="1">
      <c r="A1105" s="10" t="str">
        <f>IFERROR(__xludf.DUMMYFUNCTION("""COMPUTED_VALUE"""),"110724FM03")</f>
        <v>110724FM03</v>
      </c>
      <c r="B1105" s="12" t="str">
        <f>IFERROR(__xludf.DUMMYFUNCTION("""COMPUTED_VALUE"""),"CMO-Alhambra")</f>
        <v>CMO-Alhambra</v>
      </c>
      <c r="C1105" s="12"/>
      <c r="D1105" s="12"/>
      <c r="E1105" s="44">
        <f>IFERROR(__xludf.DUMMYFUNCTION("""COMPUTED_VALUE"""),45484.0)</f>
        <v>45484</v>
      </c>
      <c r="F1105" s="12" t="str">
        <f>IFERROR(__xludf.DUMMYFUNCTION("""COMPUTED_VALUE"""),"TIPO I")</f>
        <v>TIPO I</v>
      </c>
      <c r="G1105" s="12" t="str">
        <f>IFERROR(__xludf.DUMMYFUNCTION("""COMPUTED_VALUE"""),"Lecho artificial canal en concreto, durante el monitoreo se percibe olor, se observa color, lodos y algas, residuos solidos aguas arriba del punto de monitoreo.")</f>
        <v>Lecho artificial canal en concreto, durante el monitoreo se percibe olor, se observa color, lodos y algas, residuos solidos aguas arriba del punto de monitoreo.</v>
      </c>
      <c r="H1105" s="45">
        <f>IFERROR(__xludf.DUMMYFUNCTION("""COMPUTED_VALUE"""),0.6666666666678793)</f>
        <v>0.6666666667</v>
      </c>
      <c r="I1105" s="45">
        <f>IFERROR(__xludf.DUMMYFUNCTION("""COMPUTED_VALUE"""),0.75)</f>
        <v>0.75</v>
      </c>
      <c r="J1105" s="12">
        <f>IFERROR(__xludf.DUMMYFUNCTION("""COMPUTED_VALUE"""),7.8)</f>
        <v>7.8</v>
      </c>
      <c r="K1105" s="12">
        <f>IFERROR(__xludf.DUMMYFUNCTION("""COMPUTED_VALUE"""),0.15)</f>
        <v>0.15</v>
      </c>
      <c r="L1105" s="14">
        <f>IFERROR(__xludf.DUMMYFUNCTION("""COMPUTED_VALUE"""),274.473)</f>
        <v>274.473</v>
      </c>
      <c r="M1105" s="14">
        <f>IFERROR(__xludf.DUMMYFUNCTION("""COMPUTED_VALUE"""),275.712)</f>
        <v>275.712</v>
      </c>
      <c r="N1105" s="14">
        <f>IFERROR(__xludf.DUMMYFUNCTION("""COMPUTED_VALUE"""),271.171)</f>
        <v>271.171</v>
      </c>
      <c r="O1105" s="14">
        <f>IFERROR(__xludf.DUMMYFUNCTION("""COMPUTED_VALUE"""),274.954)</f>
        <v>274.954</v>
      </c>
      <c r="P1105" s="14">
        <f>IFERROR(__xludf.DUMMYFUNCTION("""COMPUTED_VALUE"""),276.461)</f>
        <v>276.461</v>
      </c>
      <c r="Q1105" s="14">
        <f>IFERROR(__xludf.DUMMYFUNCTION("""COMPUTED_VALUE"""),274.554)</f>
        <v>274.554</v>
      </c>
      <c r="R1105" s="48">
        <f>IFERROR(__xludf.DUMMYFUNCTION("""COMPUTED_VALUE"""),8.13)</f>
        <v>8.13</v>
      </c>
      <c r="S1105" s="48">
        <f>IFERROR(__xludf.DUMMYFUNCTION("""COMPUTED_VALUE"""),8.04)</f>
        <v>8.04</v>
      </c>
      <c r="T1105" s="48">
        <f>IFERROR(__xludf.DUMMYFUNCTION("""COMPUTED_VALUE"""),7.9)</f>
        <v>7.9</v>
      </c>
      <c r="U1105" s="48">
        <f>IFERROR(__xludf.DUMMYFUNCTION("""COMPUTED_VALUE"""),8.09)</f>
        <v>8.09</v>
      </c>
      <c r="V1105" s="48">
        <f>IFERROR(__xludf.DUMMYFUNCTION("""COMPUTED_VALUE"""),7.87)</f>
        <v>7.87</v>
      </c>
      <c r="W1105" s="14">
        <f>IFERROR(__xludf.DUMMYFUNCTION("""COMPUTED_VALUE"""),8.005999999999998)</f>
        <v>8.006</v>
      </c>
      <c r="X1105" s="14">
        <f>IFERROR(__xludf.DUMMYFUNCTION("""COMPUTED_VALUE"""),22.1)</f>
        <v>22.1</v>
      </c>
      <c r="Y1105" s="14">
        <f>IFERROR(__xludf.DUMMYFUNCTION("""COMPUTED_VALUE"""),21.0)</f>
        <v>21</v>
      </c>
      <c r="Z1105" s="14">
        <f>IFERROR(__xludf.DUMMYFUNCTION("""COMPUTED_VALUE"""),20.5)</f>
        <v>20.5</v>
      </c>
      <c r="AA1105" s="14">
        <f>IFERROR(__xludf.DUMMYFUNCTION("""COMPUTED_VALUE"""),19.8)</f>
        <v>19.8</v>
      </c>
      <c r="AB1105" s="14">
        <f>IFERROR(__xludf.DUMMYFUNCTION("""COMPUTED_VALUE"""),19.4)</f>
        <v>19.4</v>
      </c>
      <c r="AC1105" s="14">
        <f>IFERROR(__xludf.DUMMYFUNCTION("""COMPUTED_VALUE"""),20.560000000000002)</f>
        <v>20.56</v>
      </c>
      <c r="AD1105" s="48">
        <f>IFERROR(__xludf.DUMMYFUNCTION("""COMPUTED_VALUE"""),477.0)</f>
        <v>477</v>
      </c>
      <c r="AE1105" s="48">
        <f>IFERROR(__xludf.DUMMYFUNCTION("""COMPUTED_VALUE"""),481.0)</f>
        <v>481</v>
      </c>
      <c r="AF1105" s="48">
        <f>IFERROR(__xludf.DUMMYFUNCTION("""COMPUTED_VALUE"""),447.0)</f>
        <v>447</v>
      </c>
      <c r="AG1105" s="48">
        <f>IFERROR(__xludf.DUMMYFUNCTION("""COMPUTED_VALUE"""),491.0)</f>
        <v>491</v>
      </c>
      <c r="AH1105" s="48">
        <f>IFERROR(__xludf.DUMMYFUNCTION("""COMPUTED_VALUE"""),446.0)</f>
        <v>446</v>
      </c>
      <c r="AI1105" s="14">
        <f>IFERROR(__xludf.DUMMYFUNCTION("""COMPUTED_VALUE"""),468.4)</f>
        <v>468.4</v>
      </c>
      <c r="AJ1105" s="14">
        <f>IFERROR(__xludf.DUMMYFUNCTION("""COMPUTED_VALUE"""),1.97)</f>
        <v>1.97</v>
      </c>
      <c r="AK1105" s="14">
        <f>IFERROR(__xludf.DUMMYFUNCTION("""COMPUTED_VALUE"""),1.71)</f>
        <v>1.71</v>
      </c>
      <c r="AL1105" s="14">
        <f>IFERROR(__xludf.DUMMYFUNCTION("""COMPUTED_VALUE"""),1.8)</f>
        <v>1.8</v>
      </c>
      <c r="AM1105" s="14">
        <f>IFERROR(__xludf.DUMMYFUNCTION("""COMPUTED_VALUE"""),1.65)</f>
        <v>1.65</v>
      </c>
      <c r="AN1105" s="14">
        <f>IFERROR(__xludf.DUMMYFUNCTION("""COMPUTED_VALUE"""),1.54)</f>
        <v>1.54</v>
      </c>
      <c r="AO1105" s="14">
        <f>IFERROR(__xludf.DUMMYFUNCTION("""COMPUTED_VALUE"""),1.7339999999999995)</f>
        <v>1.734</v>
      </c>
      <c r="AP1105" s="14">
        <f>IFERROR(__xludf.DUMMYFUNCTION("""COMPUTED_VALUE"""),107.0)</f>
        <v>107</v>
      </c>
      <c r="AQ1105" s="14">
        <f>IFERROR(__xludf.DUMMYFUNCTION("""COMPUTED_VALUE"""),160.0)</f>
        <v>160</v>
      </c>
      <c r="AR1105" s="14">
        <f>IFERROR(__xludf.DUMMYFUNCTION("""COMPUTED_VALUE"""),46.0)</f>
        <v>46</v>
      </c>
      <c r="AS1105" s="14">
        <f>IFERROR(__xludf.DUMMYFUNCTION("""COMPUTED_VALUE"""),14.5)</f>
        <v>14.5</v>
      </c>
      <c r="AT1105" s="14">
        <f>IFERROR(__xludf.DUMMYFUNCTION("""COMPUTED_VALUE"""),3.7)</f>
        <v>3.7</v>
      </c>
      <c r="AU1105" s="14">
        <f>IFERROR(__xludf.DUMMYFUNCTION("""COMPUTED_VALUE"""),1.263E7)</f>
        <v>12630000</v>
      </c>
      <c r="AV1105" s="14">
        <f>IFERROR(__xludf.DUMMYFUNCTION("""COMPUTED_VALUE"""),3.18)</f>
        <v>3.18</v>
      </c>
      <c r="AW1105" s="14">
        <f>IFERROR(__xludf.DUMMYFUNCTION("""COMPUTED_VALUE"""),27.4)</f>
        <v>27.4</v>
      </c>
      <c r="AX1105" s="14">
        <f>IFERROR(__xludf.DUMMYFUNCTION("""COMPUTED_VALUE"""),8360000.0)</f>
        <v>8360000</v>
      </c>
      <c r="AY1105" s="14">
        <f>IFERROR(__xludf.DUMMYFUNCTION("""COMPUTED_VALUE"""),1.3)</f>
        <v>1.3</v>
      </c>
      <c r="AZ1105" s="14">
        <f>IFERROR(__xludf.DUMMYFUNCTION("""COMPUTED_VALUE"""),0.007)</f>
        <v>0.007</v>
      </c>
      <c r="BA1105" s="14">
        <f t="shared" si="1"/>
        <v>28.707</v>
      </c>
    </row>
    <row r="1106" ht="14.25" customHeight="1">
      <c r="A1106" s="10" t="str">
        <f>IFERROR(__xludf.DUMMYFUNCTION("""COMPUTED_VALUE"""),"110724DU03")</f>
        <v>110724DU03</v>
      </c>
      <c r="B1106" s="12" t="str">
        <f>IFERROR(__xludf.DUMMYFUNCTION("""COMPUTED_VALUE"""),"CRN-El Virrey")</f>
        <v>CRN-El Virrey</v>
      </c>
      <c r="C1106" s="12"/>
      <c r="D1106" s="12"/>
      <c r="E1106" s="44">
        <f>IFERROR(__xludf.DUMMYFUNCTION("""COMPUTED_VALUE"""),45484.0)</f>
        <v>45484</v>
      </c>
      <c r="F1106" s="12" t="str">
        <f>IFERROR(__xludf.DUMMYFUNCTION("""COMPUTED_VALUE"""),"TIPO I")</f>
        <v>TIPO I</v>
      </c>
      <c r="G1106" s="12" t="str">
        <f>IFERROR(__xludf.DUMMYFUNCTION("""COMPUTED_VALUE"""),"Durante el monitoreo se observa color y material flotante (material vegetal) en los costados, se percibe olor.
Altitud: 2591 msnm")</f>
        <v>Durante el monitoreo se observa color y material flotante (material vegetal) en los costados, se percibe olor.
Altitud: 2591 msnm</v>
      </c>
      <c r="H1106" s="45">
        <f>IFERROR(__xludf.DUMMYFUNCTION("""COMPUTED_VALUE"""),0.6666666666678793)</f>
        <v>0.6666666667</v>
      </c>
      <c r="I1106" s="45">
        <f>IFERROR(__xludf.DUMMYFUNCTION("""COMPUTED_VALUE"""),0.75)</f>
        <v>0.75</v>
      </c>
      <c r="J1106" s="12">
        <f>IFERROR(__xludf.DUMMYFUNCTION("""COMPUTED_VALUE"""),1.4)</f>
        <v>1.4</v>
      </c>
      <c r="K1106" s="12">
        <f>IFERROR(__xludf.DUMMYFUNCTION("""COMPUTED_VALUE"""),0.12)</f>
        <v>0.12</v>
      </c>
      <c r="L1106" s="14">
        <f>IFERROR(__xludf.DUMMYFUNCTION("""COMPUTED_VALUE"""),37.014)</f>
        <v>37.014</v>
      </c>
      <c r="M1106" s="14">
        <f>IFERROR(__xludf.DUMMYFUNCTION("""COMPUTED_VALUE"""),36.765)</f>
        <v>36.765</v>
      </c>
      <c r="N1106" s="14">
        <f>IFERROR(__xludf.DUMMYFUNCTION("""COMPUTED_VALUE"""),37.369)</f>
        <v>37.369</v>
      </c>
      <c r="O1106" s="14">
        <f>IFERROR(__xludf.DUMMYFUNCTION("""COMPUTED_VALUE"""),37.459)</f>
        <v>37.459</v>
      </c>
      <c r="P1106" s="14">
        <f>IFERROR(__xludf.DUMMYFUNCTION("""COMPUTED_VALUE"""),37.218)</f>
        <v>37.218</v>
      </c>
      <c r="Q1106" s="14">
        <f>IFERROR(__xludf.DUMMYFUNCTION("""COMPUTED_VALUE"""),37.165)</f>
        <v>37.165</v>
      </c>
      <c r="R1106" s="48">
        <f>IFERROR(__xludf.DUMMYFUNCTION("""COMPUTED_VALUE"""),7.02)</f>
        <v>7.02</v>
      </c>
      <c r="S1106" s="48">
        <f>IFERROR(__xludf.DUMMYFUNCTION("""COMPUTED_VALUE"""),6.89)</f>
        <v>6.89</v>
      </c>
      <c r="T1106" s="48">
        <f>IFERROR(__xludf.DUMMYFUNCTION("""COMPUTED_VALUE"""),6.83)</f>
        <v>6.83</v>
      </c>
      <c r="U1106" s="48">
        <f>IFERROR(__xludf.DUMMYFUNCTION("""COMPUTED_VALUE"""),6.95)</f>
        <v>6.95</v>
      </c>
      <c r="V1106" s="48">
        <f>IFERROR(__xludf.DUMMYFUNCTION("""COMPUTED_VALUE"""),6.82)</f>
        <v>6.82</v>
      </c>
      <c r="W1106" s="14">
        <f>IFERROR(__xludf.DUMMYFUNCTION("""COMPUTED_VALUE"""),6.902000000000001)</f>
        <v>6.902</v>
      </c>
      <c r="X1106" s="14">
        <f>IFERROR(__xludf.DUMMYFUNCTION("""COMPUTED_VALUE"""),19.9)</f>
        <v>19.9</v>
      </c>
      <c r="Y1106" s="14">
        <f>IFERROR(__xludf.DUMMYFUNCTION("""COMPUTED_VALUE"""),19.5)</f>
        <v>19.5</v>
      </c>
      <c r="Z1106" s="14">
        <f>IFERROR(__xludf.DUMMYFUNCTION("""COMPUTED_VALUE"""),19.7)</f>
        <v>19.7</v>
      </c>
      <c r="AA1106" s="14">
        <f>IFERROR(__xludf.DUMMYFUNCTION("""COMPUTED_VALUE"""),19.6)</f>
        <v>19.6</v>
      </c>
      <c r="AB1106" s="14">
        <f>IFERROR(__xludf.DUMMYFUNCTION("""COMPUTED_VALUE"""),19.5)</f>
        <v>19.5</v>
      </c>
      <c r="AC1106" s="14">
        <f>IFERROR(__xludf.DUMMYFUNCTION("""COMPUTED_VALUE"""),19.639999999999997)</f>
        <v>19.64</v>
      </c>
      <c r="AD1106" s="48">
        <f>IFERROR(__xludf.DUMMYFUNCTION("""COMPUTED_VALUE"""),478.0)</f>
        <v>478</v>
      </c>
      <c r="AE1106" s="48">
        <f>IFERROR(__xludf.DUMMYFUNCTION("""COMPUTED_VALUE"""),499.0)</f>
        <v>499</v>
      </c>
      <c r="AF1106" s="48">
        <f>IFERROR(__xludf.DUMMYFUNCTION("""COMPUTED_VALUE"""),487.0)</f>
        <v>487</v>
      </c>
      <c r="AG1106" s="48">
        <f>IFERROR(__xludf.DUMMYFUNCTION("""COMPUTED_VALUE"""),505.0)</f>
        <v>505</v>
      </c>
      <c r="AH1106" s="48">
        <f>IFERROR(__xludf.DUMMYFUNCTION("""COMPUTED_VALUE"""),514.0)</f>
        <v>514</v>
      </c>
      <c r="AI1106" s="14">
        <f>IFERROR(__xludf.DUMMYFUNCTION("""COMPUTED_VALUE"""),496.6)</f>
        <v>496.6</v>
      </c>
      <c r="AJ1106" s="14">
        <f>IFERROR(__xludf.DUMMYFUNCTION("""COMPUTED_VALUE"""),1.18)</f>
        <v>1.18</v>
      </c>
      <c r="AK1106" s="14">
        <f>IFERROR(__xludf.DUMMYFUNCTION("""COMPUTED_VALUE"""),1.3)</f>
        <v>1.3</v>
      </c>
      <c r="AL1106" s="14">
        <f>IFERROR(__xludf.DUMMYFUNCTION("""COMPUTED_VALUE"""),1.25)</f>
        <v>1.25</v>
      </c>
      <c r="AM1106" s="14">
        <f>IFERROR(__xludf.DUMMYFUNCTION("""COMPUTED_VALUE"""),1.33)</f>
        <v>1.33</v>
      </c>
      <c r="AN1106" s="14">
        <f>IFERROR(__xludf.DUMMYFUNCTION("""COMPUTED_VALUE"""),1.29)</f>
        <v>1.29</v>
      </c>
      <c r="AO1106" s="14">
        <f>IFERROR(__xludf.DUMMYFUNCTION("""COMPUTED_VALUE"""),1.27)</f>
        <v>1.27</v>
      </c>
      <c r="AP1106" s="14">
        <f>IFERROR(__xludf.DUMMYFUNCTION("""COMPUTED_VALUE"""),209.0)</f>
        <v>209</v>
      </c>
      <c r="AQ1106" s="14">
        <f>IFERROR(__xludf.DUMMYFUNCTION("""COMPUTED_VALUE"""),280.0)</f>
        <v>280</v>
      </c>
      <c r="AR1106" s="14">
        <f>IFERROR(__xludf.DUMMYFUNCTION("""COMPUTED_VALUE"""),72.0)</f>
        <v>72</v>
      </c>
      <c r="AS1106" s="14">
        <f>IFERROR(__xludf.DUMMYFUNCTION("""COMPUTED_VALUE"""),57.0)</f>
        <v>57</v>
      </c>
      <c r="AT1106" s="14">
        <f>IFERROR(__xludf.DUMMYFUNCTION("""COMPUTED_VALUE"""),12.31)</f>
        <v>12.31</v>
      </c>
      <c r="AU1106" s="14">
        <f>IFERROR(__xludf.DUMMYFUNCTION("""COMPUTED_VALUE"""),1.112E7)</f>
        <v>11120000</v>
      </c>
      <c r="AV1106" s="14">
        <f>IFERROR(__xludf.DUMMYFUNCTION("""COMPUTED_VALUE"""),5.26)</f>
        <v>5.26</v>
      </c>
      <c r="AW1106" s="14">
        <f>IFERROR(__xludf.DUMMYFUNCTION("""COMPUTED_VALUE"""),23.8)</f>
        <v>23.8</v>
      </c>
      <c r="AX1106" s="14">
        <f>IFERROR(__xludf.DUMMYFUNCTION("""COMPUTED_VALUE"""),6170000.0)</f>
        <v>6170000</v>
      </c>
      <c r="AY1106" s="14">
        <f>IFERROR(__xludf.DUMMYFUNCTION("""COMPUTED_VALUE"""),1.5)</f>
        <v>1.5</v>
      </c>
      <c r="AZ1106" s="14">
        <f>IFERROR(__xludf.DUMMYFUNCTION("""COMPUTED_VALUE"""),0.007)</f>
        <v>0.007</v>
      </c>
      <c r="BA1106" s="14">
        <f t="shared" si="1"/>
        <v>25.307</v>
      </c>
    </row>
    <row r="1107" ht="14.25" customHeight="1">
      <c r="A1107" s="10" t="str">
        <f>IFERROR(__xludf.DUMMYFUNCTION("""COMPUTED_VALUE"""),"160724DU03")</f>
        <v>160724DU03</v>
      </c>
      <c r="B1107" s="12" t="str">
        <f>IFERROR(__xludf.DUMMYFUNCTION("""COMPUTED_VALUE"""),"COR-Prado Veraniego")</f>
        <v>COR-Prado Veraniego</v>
      </c>
      <c r="C1107" s="12"/>
      <c r="D1107" s="12"/>
      <c r="E1107" s="44">
        <f>IFERROR(__xludf.DUMMYFUNCTION("""COMPUTED_VALUE"""),45489.0)</f>
        <v>45489</v>
      </c>
      <c r="F1107" s="12" t="str">
        <f>IFERROR(__xludf.DUMMYFUNCTION("""COMPUTED_VALUE"""),"TIPO I")</f>
        <v>TIPO I</v>
      </c>
      <c r="G1107" s="12" t="str">
        <f>IFERROR(__xludf.DUMMYFUNCTION("""COMPUTED_VALUE"""),"Agua del cauce se observa color y no se percibe olor. 
Altitud: 2566 msnm")</f>
        <v>Agua del cauce se observa color y no se percibe olor. 
Altitud: 2566 msnm</v>
      </c>
      <c r="H1107" s="45">
        <f>IFERROR(__xludf.DUMMYFUNCTION("""COMPUTED_VALUE"""),0.4166666666678793)</f>
        <v>0.4166666667</v>
      </c>
      <c r="I1107" s="45">
        <f>IFERROR(__xludf.DUMMYFUNCTION("""COMPUTED_VALUE"""),0.5)</f>
        <v>0.5</v>
      </c>
      <c r="J1107" s="12">
        <f>IFERROR(__xludf.DUMMYFUNCTION("""COMPUTED_VALUE"""),3.3)</f>
        <v>3.3</v>
      </c>
      <c r="K1107" s="12">
        <f>IFERROR(__xludf.DUMMYFUNCTION("""COMPUTED_VALUE"""),0.16)</f>
        <v>0.16</v>
      </c>
      <c r="L1107" s="14">
        <f>IFERROR(__xludf.DUMMYFUNCTION("""COMPUTED_VALUE"""),74.112)</f>
        <v>74.112</v>
      </c>
      <c r="M1107" s="14">
        <f>IFERROR(__xludf.DUMMYFUNCTION("""COMPUTED_VALUE"""),76.6)</f>
        <v>76.6</v>
      </c>
      <c r="N1107" s="14">
        <f>IFERROR(__xludf.DUMMYFUNCTION("""COMPUTED_VALUE"""),76.148)</f>
        <v>76.148</v>
      </c>
      <c r="O1107" s="14">
        <f>IFERROR(__xludf.DUMMYFUNCTION("""COMPUTED_VALUE"""),76.301)</f>
        <v>76.301</v>
      </c>
      <c r="P1107" s="14">
        <f>IFERROR(__xludf.DUMMYFUNCTION("""COMPUTED_VALUE"""),76.431)</f>
        <v>76.431</v>
      </c>
      <c r="Q1107" s="14">
        <f>IFERROR(__xludf.DUMMYFUNCTION("""COMPUTED_VALUE"""),75.918)</f>
        <v>75.918</v>
      </c>
      <c r="R1107" s="48">
        <f>IFERROR(__xludf.DUMMYFUNCTION("""COMPUTED_VALUE"""),8.93)</f>
        <v>8.93</v>
      </c>
      <c r="S1107" s="48">
        <f>IFERROR(__xludf.DUMMYFUNCTION("""COMPUTED_VALUE"""),8.39)</f>
        <v>8.39</v>
      </c>
      <c r="T1107" s="48">
        <f>IFERROR(__xludf.DUMMYFUNCTION("""COMPUTED_VALUE"""),9.03)</f>
        <v>9.03</v>
      </c>
      <c r="U1107" s="48">
        <f>IFERROR(__xludf.DUMMYFUNCTION("""COMPUTED_VALUE"""),8.79)</f>
        <v>8.79</v>
      </c>
      <c r="V1107" s="48">
        <f>IFERROR(__xludf.DUMMYFUNCTION("""COMPUTED_VALUE"""),8.94)</f>
        <v>8.94</v>
      </c>
      <c r="W1107" s="14">
        <f>IFERROR(__xludf.DUMMYFUNCTION("""COMPUTED_VALUE"""),8.815999999999999)</f>
        <v>8.816</v>
      </c>
      <c r="X1107" s="14">
        <f>IFERROR(__xludf.DUMMYFUNCTION("""COMPUTED_VALUE"""),22.3)</f>
        <v>22.3</v>
      </c>
      <c r="Y1107" s="14">
        <f>IFERROR(__xludf.DUMMYFUNCTION("""COMPUTED_VALUE"""),21.2)</f>
        <v>21.2</v>
      </c>
      <c r="Z1107" s="14">
        <f>IFERROR(__xludf.DUMMYFUNCTION("""COMPUTED_VALUE"""),21.2)</f>
        <v>21.2</v>
      </c>
      <c r="AA1107" s="14">
        <f>IFERROR(__xludf.DUMMYFUNCTION("""COMPUTED_VALUE"""),21.6)</f>
        <v>21.6</v>
      </c>
      <c r="AB1107" s="14">
        <f>IFERROR(__xludf.DUMMYFUNCTION("""COMPUTED_VALUE"""),22.0)</f>
        <v>22</v>
      </c>
      <c r="AC1107" s="14">
        <f>IFERROR(__xludf.DUMMYFUNCTION("""COMPUTED_VALUE"""),21.660000000000004)</f>
        <v>21.66</v>
      </c>
      <c r="AD1107" s="48">
        <f>IFERROR(__xludf.DUMMYFUNCTION("""COMPUTED_VALUE"""),334.0)</f>
        <v>334</v>
      </c>
      <c r="AE1107" s="48">
        <f>IFERROR(__xludf.DUMMYFUNCTION("""COMPUTED_VALUE"""),307.0)</f>
        <v>307</v>
      </c>
      <c r="AF1107" s="48">
        <f>IFERROR(__xludf.DUMMYFUNCTION("""COMPUTED_VALUE"""),328.0)</f>
        <v>328</v>
      </c>
      <c r="AG1107" s="48">
        <f>IFERROR(__xludf.DUMMYFUNCTION("""COMPUTED_VALUE"""),297.0)</f>
        <v>297</v>
      </c>
      <c r="AH1107" s="48">
        <f>IFERROR(__xludf.DUMMYFUNCTION("""COMPUTED_VALUE"""),316.0)</f>
        <v>316</v>
      </c>
      <c r="AI1107" s="14">
        <f>IFERROR(__xludf.DUMMYFUNCTION("""COMPUTED_VALUE"""),316.4)</f>
        <v>316.4</v>
      </c>
      <c r="AJ1107" s="14">
        <f>IFERROR(__xludf.DUMMYFUNCTION("""COMPUTED_VALUE"""),5.89)</f>
        <v>5.89</v>
      </c>
      <c r="AK1107" s="14">
        <f>IFERROR(__xludf.DUMMYFUNCTION("""COMPUTED_VALUE"""),5.05)</f>
        <v>5.05</v>
      </c>
      <c r="AL1107" s="14">
        <f>IFERROR(__xludf.DUMMYFUNCTION("""COMPUTED_VALUE"""),6.71)</f>
        <v>6.71</v>
      </c>
      <c r="AM1107" s="14">
        <f>IFERROR(__xludf.DUMMYFUNCTION("""COMPUTED_VALUE"""),6.92)</f>
        <v>6.92</v>
      </c>
      <c r="AN1107" s="14">
        <f>IFERROR(__xludf.DUMMYFUNCTION("""COMPUTED_VALUE"""),7.28)</f>
        <v>7.28</v>
      </c>
      <c r="AO1107" s="14">
        <f>IFERROR(__xludf.DUMMYFUNCTION("""COMPUTED_VALUE"""),6.37)</f>
        <v>6.37</v>
      </c>
      <c r="AP1107" s="14">
        <f>IFERROR(__xludf.DUMMYFUNCTION("""COMPUTED_VALUE"""),18.0)</f>
        <v>18</v>
      </c>
      <c r="AQ1107" s="14">
        <f>IFERROR(__xludf.DUMMYFUNCTION("""COMPUTED_VALUE"""),33.0)</f>
        <v>33</v>
      </c>
      <c r="AR1107" s="14">
        <f>IFERROR(__xludf.DUMMYFUNCTION("""COMPUTED_VALUE"""),8.0)</f>
        <v>8</v>
      </c>
      <c r="AS1107" s="14">
        <f>IFERROR(__xludf.DUMMYFUNCTION("""COMPUTED_VALUE"""),10.5)</f>
        <v>10.5</v>
      </c>
      <c r="AT1107" s="14">
        <f>IFERROR(__xludf.DUMMYFUNCTION("""COMPUTED_VALUE"""),0.07)</f>
        <v>0.07</v>
      </c>
      <c r="AU1107" s="14">
        <f>IFERROR(__xludf.DUMMYFUNCTION("""COMPUTED_VALUE"""),1382000.0)</f>
        <v>1382000</v>
      </c>
      <c r="AV1107" s="14">
        <f>IFERROR(__xludf.DUMMYFUNCTION("""COMPUTED_VALUE"""),0.52)</f>
        <v>0.52</v>
      </c>
      <c r="AW1107" s="14">
        <f>IFERROR(__xludf.DUMMYFUNCTION("""COMPUTED_VALUE"""),8.1)</f>
        <v>8.1</v>
      </c>
      <c r="AX1107" s="14">
        <f>IFERROR(__xludf.DUMMYFUNCTION("""COMPUTED_VALUE"""),1213000.0)</f>
        <v>1213000</v>
      </c>
      <c r="AY1107" s="14">
        <f>IFERROR(__xludf.DUMMYFUNCTION("""COMPUTED_VALUE"""),4.0)</f>
        <v>4</v>
      </c>
      <c r="AZ1107" s="14">
        <f>IFERROR(__xludf.DUMMYFUNCTION("""COMPUTED_VALUE"""),0.315)</f>
        <v>0.315</v>
      </c>
      <c r="BA1107" s="14">
        <f t="shared" si="1"/>
        <v>12.415</v>
      </c>
    </row>
    <row r="1108" ht="14.25" customHeight="1">
      <c r="A1108" s="10" t="str">
        <f>IFERROR(__xludf.DUMMYFUNCTION("""COMPUTED_VALUE"""),"170724HA02")</f>
        <v>170724HA02</v>
      </c>
      <c r="B1108" s="12" t="str">
        <f>IFERROR(__xludf.DUMMYFUNCTION("""COMPUTED_VALUE"""),"CMO-Santa Ana")</f>
        <v>CMO-Santa Ana</v>
      </c>
      <c r="C1108" s="12"/>
      <c r="D1108" s="12"/>
      <c r="E1108" s="44">
        <f>IFERROR(__xludf.DUMMYFUNCTION("""COMPUTED_VALUE"""),45490.0)</f>
        <v>45490</v>
      </c>
      <c r="F1108" s="12" t="str">
        <f>IFERROR(__xludf.DUMMYFUNCTION("""COMPUTED_VALUE"""),"TIPO I")</f>
        <v>TIPO I</v>
      </c>
      <c r="G1108" s="12" t="str">
        <f>IFERROR(__xludf.DUMMYFUNCTION("""COMPUTED_VALUE"""),"Durante el monitoreo se observa color y se percibe olor. 
Altitud. 2556 msnm ")</f>
        <v>Durante el monitoreo se observa color y se percibe olor. 
Altitud. 2556 msnm </v>
      </c>
      <c r="H1108" s="45">
        <f>IFERROR(__xludf.DUMMYFUNCTION("""COMPUTED_VALUE"""),0.4166666666678793)</f>
        <v>0.4166666667</v>
      </c>
      <c r="I1108" s="45">
        <f>IFERROR(__xludf.DUMMYFUNCTION("""COMPUTED_VALUE"""),0.5)</f>
        <v>0.5</v>
      </c>
      <c r="J1108" s="12">
        <f>IFERROR(__xludf.DUMMYFUNCTION("""COMPUTED_VALUE"""),3.3)</f>
        <v>3.3</v>
      </c>
      <c r="K1108" s="12">
        <f>IFERROR(__xludf.DUMMYFUNCTION("""COMPUTED_VALUE"""),0.14)</f>
        <v>0.14</v>
      </c>
      <c r="L1108" s="14">
        <f>IFERROR(__xludf.DUMMYFUNCTION("""COMPUTED_VALUE"""),165.56)</f>
        <v>165.56</v>
      </c>
      <c r="M1108" s="14">
        <f>IFERROR(__xludf.DUMMYFUNCTION("""COMPUTED_VALUE"""),166.147)</f>
        <v>166.147</v>
      </c>
      <c r="N1108" s="14">
        <f>IFERROR(__xludf.DUMMYFUNCTION("""COMPUTED_VALUE"""),166.871)</f>
        <v>166.871</v>
      </c>
      <c r="O1108" s="14">
        <f>IFERROR(__xludf.DUMMYFUNCTION("""COMPUTED_VALUE"""),166.269)</f>
        <v>166.269</v>
      </c>
      <c r="P1108" s="14">
        <f>IFERROR(__xludf.DUMMYFUNCTION("""COMPUTED_VALUE"""),167.093)</f>
        <v>167.093</v>
      </c>
      <c r="Q1108" s="14">
        <f>IFERROR(__xludf.DUMMYFUNCTION("""COMPUTED_VALUE"""),166.388)</f>
        <v>166.388</v>
      </c>
      <c r="R1108" s="48">
        <f>IFERROR(__xludf.DUMMYFUNCTION("""COMPUTED_VALUE"""),7.78)</f>
        <v>7.78</v>
      </c>
      <c r="S1108" s="48">
        <f>IFERROR(__xludf.DUMMYFUNCTION("""COMPUTED_VALUE"""),7.63)</f>
        <v>7.63</v>
      </c>
      <c r="T1108" s="48">
        <f>IFERROR(__xludf.DUMMYFUNCTION("""COMPUTED_VALUE"""),7.48)</f>
        <v>7.48</v>
      </c>
      <c r="U1108" s="48">
        <f>IFERROR(__xludf.DUMMYFUNCTION("""COMPUTED_VALUE"""),7.59)</f>
        <v>7.59</v>
      </c>
      <c r="V1108" s="48">
        <f>IFERROR(__xludf.DUMMYFUNCTION("""COMPUTED_VALUE"""),7.32)</f>
        <v>7.32</v>
      </c>
      <c r="W1108" s="14">
        <f>IFERROR(__xludf.DUMMYFUNCTION("""COMPUTED_VALUE"""),7.56)</f>
        <v>7.56</v>
      </c>
      <c r="X1108" s="14">
        <f>IFERROR(__xludf.DUMMYFUNCTION("""COMPUTED_VALUE"""),17.9)</f>
        <v>17.9</v>
      </c>
      <c r="Y1108" s="14">
        <f>IFERROR(__xludf.DUMMYFUNCTION("""COMPUTED_VALUE"""),18.3)</f>
        <v>18.3</v>
      </c>
      <c r="Z1108" s="14">
        <f>IFERROR(__xludf.DUMMYFUNCTION("""COMPUTED_VALUE"""),18.9)</f>
        <v>18.9</v>
      </c>
      <c r="AA1108" s="14">
        <f>IFERROR(__xludf.DUMMYFUNCTION("""COMPUTED_VALUE"""),18.2)</f>
        <v>18.2</v>
      </c>
      <c r="AB1108" s="14">
        <f>IFERROR(__xludf.DUMMYFUNCTION("""COMPUTED_VALUE"""),17.5)</f>
        <v>17.5</v>
      </c>
      <c r="AC1108" s="14">
        <f>IFERROR(__xludf.DUMMYFUNCTION("""COMPUTED_VALUE"""),18.16)</f>
        <v>18.16</v>
      </c>
      <c r="AD1108" s="48">
        <f>IFERROR(__xludf.DUMMYFUNCTION("""COMPUTED_VALUE"""),339.0)</f>
        <v>339</v>
      </c>
      <c r="AE1108" s="48">
        <f>IFERROR(__xludf.DUMMYFUNCTION("""COMPUTED_VALUE"""),342.0)</f>
        <v>342</v>
      </c>
      <c r="AF1108" s="48">
        <f>IFERROR(__xludf.DUMMYFUNCTION("""COMPUTED_VALUE"""),324.0)</f>
        <v>324</v>
      </c>
      <c r="AG1108" s="48">
        <f>IFERROR(__xludf.DUMMYFUNCTION("""COMPUTED_VALUE"""),346.0)</f>
        <v>346</v>
      </c>
      <c r="AH1108" s="48">
        <f>IFERROR(__xludf.DUMMYFUNCTION("""COMPUTED_VALUE"""),365.0)</f>
        <v>365</v>
      </c>
      <c r="AI1108" s="14">
        <f>IFERROR(__xludf.DUMMYFUNCTION("""COMPUTED_VALUE"""),343.2)</f>
        <v>343.2</v>
      </c>
      <c r="AJ1108" s="14">
        <f>IFERROR(__xludf.DUMMYFUNCTION("""COMPUTED_VALUE"""),2.8)</f>
        <v>2.8</v>
      </c>
      <c r="AK1108" s="14">
        <f>IFERROR(__xludf.DUMMYFUNCTION("""COMPUTED_VALUE"""),2.91)</f>
        <v>2.91</v>
      </c>
      <c r="AL1108" s="14">
        <f>IFERROR(__xludf.DUMMYFUNCTION("""COMPUTED_VALUE"""),2.39)</f>
        <v>2.39</v>
      </c>
      <c r="AM1108" s="14">
        <f>IFERROR(__xludf.DUMMYFUNCTION("""COMPUTED_VALUE"""),2.12)</f>
        <v>2.12</v>
      </c>
      <c r="AN1108" s="14">
        <f>IFERROR(__xludf.DUMMYFUNCTION("""COMPUTED_VALUE"""),2.33)</f>
        <v>2.33</v>
      </c>
      <c r="AO1108" s="14">
        <f>IFERROR(__xludf.DUMMYFUNCTION("""COMPUTED_VALUE"""),2.51)</f>
        <v>2.51</v>
      </c>
      <c r="AP1108" s="14">
        <f>IFERROR(__xludf.DUMMYFUNCTION("""COMPUTED_VALUE"""),26.0)</f>
        <v>26</v>
      </c>
      <c r="AQ1108" s="14">
        <f>IFERROR(__xludf.DUMMYFUNCTION("""COMPUTED_VALUE"""),66.0)</f>
        <v>66</v>
      </c>
      <c r="AR1108" s="14">
        <f>IFERROR(__xludf.DUMMYFUNCTION("""COMPUTED_VALUE"""),28.0)</f>
        <v>28</v>
      </c>
      <c r="AS1108" s="14">
        <f>IFERROR(__xludf.DUMMYFUNCTION("""COMPUTED_VALUE"""),12.9)</f>
        <v>12.9</v>
      </c>
      <c r="AT1108" s="14">
        <f>IFERROR(__xludf.DUMMYFUNCTION("""COMPUTED_VALUE"""),2.46)</f>
        <v>2.46</v>
      </c>
      <c r="AU1108" s="14">
        <f>IFERROR(__xludf.DUMMYFUNCTION("""COMPUTED_VALUE"""),1850000.0)</f>
        <v>1850000</v>
      </c>
      <c r="AV1108" s="14">
        <f>IFERROR(__xludf.DUMMYFUNCTION("""COMPUTED_VALUE"""),0.46)</f>
        <v>0.46</v>
      </c>
      <c r="AW1108" s="14">
        <f>IFERROR(__xludf.DUMMYFUNCTION("""COMPUTED_VALUE"""),1.4)</f>
        <v>1.4</v>
      </c>
      <c r="AX1108" s="14">
        <f>IFERROR(__xludf.DUMMYFUNCTION("""COMPUTED_VALUE"""),1541000.0)</f>
        <v>1541000</v>
      </c>
      <c r="AY1108" s="14">
        <f>IFERROR(__xludf.DUMMYFUNCTION("""COMPUTED_VALUE"""),0.5)</f>
        <v>0.5</v>
      </c>
      <c r="AZ1108" s="14">
        <f>IFERROR(__xludf.DUMMYFUNCTION("""COMPUTED_VALUE"""),0.007)</f>
        <v>0.007</v>
      </c>
      <c r="BA1108" s="14">
        <f t="shared" si="1"/>
        <v>1.907</v>
      </c>
    </row>
    <row r="1109" ht="14.25" customHeight="1">
      <c r="A1109" s="10" t="str">
        <f>IFERROR(__xludf.DUMMYFUNCTION("""COMPUTED_VALUE"""),"040724FE03")</f>
        <v>040724FE03</v>
      </c>
      <c r="B1109" s="12" t="str">
        <f>IFERROR(__xludf.DUMMYFUNCTION("""COMPUTED_VALUE"""),"QSL-Barranquillita")</f>
        <v>QSL-Barranquillita</v>
      </c>
      <c r="C1109" s="12"/>
      <c r="D1109" s="12"/>
      <c r="E1109" s="44">
        <f>IFERROR(__xludf.DUMMYFUNCTION("""COMPUTED_VALUE"""),45477.0)</f>
        <v>45477</v>
      </c>
      <c r="F1109" s="12" t="str">
        <f>IFERROR(__xludf.DUMMYFUNCTION("""COMPUTED_VALUE"""),"TIPO I")</f>
        <v>TIPO I</v>
      </c>
      <c r="G1109" s="12" t="str">
        <f>IFERROR(__xludf.DUMMYFUNCTION("""COMPUTED_VALUE"""),"Durante el monitoreo se percibe olor, se observa color. 
Altitud: 2615 msnm")</f>
        <v>Durante el monitoreo se percibe olor, se observa color. 
Altitud: 2615 msnm</v>
      </c>
      <c r="H1109" s="45">
        <f>IFERROR(__xludf.DUMMYFUNCTION("""COMPUTED_VALUE"""),0.5833333333321207)</f>
        <v>0.5833333333</v>
      </c>
      <c r="I1109" s="45">
        <f>IFERROR(__xludf.DUMMYFUNCTION("""COMPUTED_VALUE"""),0.6666666666678793)</f>
        <v>0.6666666667</v>
      </c>
      <c r="J1109" s="12">
        <f>IFERROR(__xludf.DUMMYFUNCTION("""COMPUTED_VALUE"""),1.4)</f>
        <v>1.4</v>
      </c>
      <c r="K1109" s="12">
        <f>IFERROR(__xludf.DUMMYFUNCTION("""COMPUTED_VALUE"""),0.1)</f>
        <v>0.1</v>
      </c>
      <c r="L1109" s="14">
        <f>IFERROR(__xludf.DUMMYFUNCTION("""COMPUTED_VALUE"""),31.277)</f>
        <v>31.277</v>
      </c>
      <c r="M1109" s="14">
        <f>IFERROR(__xludf.DUMMYFUNCTION("""COMPUTED_VALUE"""),33.21)</f>
        <v>33.21</v>
      </c>
      <c r="N1109" s="14">
        <f>IFERROR(__xludf.DUMMYFUNCTION("""COMPUTED_VALUE"""),34.978)</f>
        <v>34.978</v>
      </c>
      <c r="O1109" s="14">
        <f>IFERROR(__xludf.DUMMYFUNCTION("""COMPUTED_VALUE"""),36.183)</f>
        <v>36.183</v>
      </c>
      <c r="P1109" s="14">
        <f>IFERROR(__xludf.DUMMYFUNCTION("""COMPUTED_VALUE"""),37.341)</f>
        <v>37.341</v>
      </c>
      <c r="Q1109" s="14">
        <f>IFERROR(__xludf.DUMMYFUNCTION("""COMPUTED_VALUE"""),34598.0)</f>
        <v>34598</v>
      </c>
      <c r="R1109" s="48">
        <f>IFERROR(__xludf.DUMMYFUNCTION("""COMPUTED_VALUE"""),8.19)</f>
        <v>8.19</v>
      </c>
      <c r="S1109" s="48">
        <f>IFERROR(__xludf.DUMMYFUNCTION("""COMPUTED_VALUE"""),8.07)</f>
        <v>8.07</v>
      </c>
      <c r="T1109" s="48">
        <f>IFERROR(__xludf.DUMMYFUNCTION("""COMPUTED_VALUE"""),7.95)</f>
        <v>7.95</v>
      </c>
      <c r="U1109" s="48">
        <f>IFERROR(__xludf.DUMMYFUNCTION("""COMPUTED_VALUE"""),8.16)</f>
        <v>8.16</v>
      </c>
      <c r="V1109" s="48">
        <f>IFERROR(__xludf.DUMMYFUNCTION("""COMPUTED_VALUE"""),7.6)</f>
        <v>7.6</v>
      </c>
      <c r="W1109" s="14">
        <f>IFERROR(__xludf.DUMMYFUNCTION("""COMPUTED_VALUE"""),7.994)</f>
        <v>7.994</v>
      </c>
      <c r="X1109" s="14">
        <f>IFERROR(__xludf.DUMMYFUNCTION("""COMPUTED_VALUE"""),16.6)</f>
        <v>16.6</v>
      </c>
      <c r="Y1109" s="14">
        <f>IFERROR(__xludf.DUMMYFUNCTION("""COMPUTED_VALUE"""),17.4)</f>
        <v>17.4</v>
      </c>
      <c r="Z1109" s="14">
        <f>IFERROR(__xludf.DUMMYFUNCTION("""COMPUTED_VALUE"""),16.8)</f>
        <v>16.8</v>
      </c>
      <c r="AA1109" s="14">
        <f>IFERROR(__xludf.DUMMYFUNCTION("""COMPUTED_VALUE"""),17.5)</f>
        <v>17.5</v>
      </c>
      <c r="AB1109" s="14">
        <f>IFERROR(__xludf.DUMMYFUNCTION("""COMPUTED_VALUE"""),17.3)</f>
        <v>17.3</v>
      </c>
      <c r="AC1109" s="14">
        <f>IFERROR(__xludf.DUMMYFUNCTION("""COMPUTED_VALUE"""),17.119999999999997)</f>
        <v>17.12</v>
      </c>
      <c r="AD1109" s="48">
        <f>IFERROR(__xludf.DUMMYFUNCTION("""COMPUTED_VALUE"""),406.0)</f>
        <v>406</v>
      </c>
      <c r="AE1109" s="48">
        <f>IFERROR(__xludf.DUMMYFUNCTION("""COMPUTED_VALUE"""),388.0)</f>
        <v>388</v>
      </c>
      <c r="AF1109" s="48">
        <f>IFERROR(__xludf.DUMMYFUNCTION("""COMPUTED_VALUE"""),402.0)</f>
        <v>402</v>
      </c>
      <c r="AG1109" s="48">
        <f>IFERROR(__xludf.DUMMYFUNCTION("""COMPUTED_VALUE"""),380.0)</f>
        <v>380</v>
      </c>
      <c r="AH1109" s="48">
        <f>IFERROR(__xludf.DUMMYFUNCTION("""COMPUTED_VALUE"""),408.0)</f>
        <v>408</v>
      </c>
      <c r="AI1109" s="14">
        <f>IFERROR(__xludf.DUMMYFUNCTION("""COMPUTED_VALUE"""),396.8)</f>
        <v>396.8</v>
      </c>
      <c r="AJ1109" s="14">
        <f>IFERROR(__xludf.DUMMYFUNCTION("""COMPUTED_VALUE"""),5.39)</f>
        <v>5.39</v>
      </c>
      <c r="AK1109" s="14">
        <f>IFERROR(__xludf.DUMMYFUNCTION("""COMPUTED_VALUE"""),5.56)</f>
        <v>5.56</v>
      </c>
      <c r="AL1109" s="14">
        <f>IFERROR(__xludf.DUMMYFUNCTION("""COMPUTED_VALUE"""),5.18)</f>
        <v>5.18</v>
      </c>
      <c r="AM1109" s="14">
        <f>IFERROR(__xludf.DUMMYFUNCTION("""COMPUTED_VALUE"""),5.68)</f>
        <v>5.68</v>
      </c>
      <c r="AN1109" s="14">
        <f>IFERROR(__xludf.DUMMYFUNCTION("""COMPUTED_VALUE"""),5.72)</f>
        <v>5.72</v>
      </c>
      <c r="AO1109" s="14">
        <f>IFERROR(__xludf.DUMMYFUNCTION("""COMPUTED_VALUE"""),5.505999999999999)</f>
        <v>5.506</v>
      </c>
      <c r="AP1109" s="14">
        <f>IFERROR(__xludf.DUMMYFUNCTION("""COMPUTED_VALUE"""),24.0)</f>
        <v>24</v>
      </c>
      <c r="AQ1109" s="14">
        <f>IFERROR(__xludf.DUMMYFUNCTION("""COMPUTED_VALUE"""),44.0)</f>
        <v>44</v>
      </c>
      <c r="AR1109" s="14">
        <f>IFERROR(__xludf.DUMMYFUNCTION("""COMPUTED_VALUE"""),16.0)</f>
        <v>16</v>
      </c>
      <c r="AS1109" s="14">
        <f>IFERROR(__xludf.DUMMYFUNCTION("""COMPUTED_VALUE"""),9.4)</f>
        <v>9.4</v>
      </c>
      <c r="AT1109" s="14">
        <f>IFERROR(__xludf.DUMMYFUNCTION("""COMPUTED_VALUE"""),0.41)</f>
        <v>0.41</v>
      </c>
      <c r="AU1109" s="14">
        <f>IFERROR(__xludf.DUMMYFUNCTION("""COMPUTED_VALUE"""),8050000.0)</f>
        <v>8050000</v>
      </c>
      <c r="AV1109" s="14">
        <f>IFERROR(__xludf.DUMMYFUNCTION("""COMPUTED_VALUE"""),1.34)</f>
        <v>1.34</v>
      </c>
      <c r="AW1109" s="14">
        <f>IFERROR(__xludf.DUMMYFUNCTION("""COMPUTED_VALUE"""),12.9)</f>
        <v>12.9</v>
      </c>
      <c r="AX1109" s="14">
        <f>IFERROR(__xludf.DUMMYFUNCTION("""COMPUTED_VALUE"""),3230000.0)</f>
        <v>3230000</v>
      </c>
      <c r="AY1109" s="14">
        <f>IFERROR(__xludf.DUMMYFUNCTION("""COMPUTED_VALUE"""),0.6)</f>
        <v>0.6</v>
      </c>
      <c r="AZ1109" s="14">
        <f>IFERROR(__xludf.DUMMYFUNCTION("""COMPUTED_VALUE"""),0.007)</f>
        <v>0.007</v>
      </c>
      <c r="BA1109" s="14">
        <f t="shared" si="1"/>
        <v>13.507</v>
      </c>
    </row>
    <row r="1110" ht="14.25" customHeight="1">
      <c r="A1110" s="10" t="str">
        <f>IFERROR(__xludf.DUMMYFUNCTION("""COMPUTED_VALUE"""),"020724HA01")</f>
        <v>020724HA01</v>
      </c>
      <c r="B1110" s="12" t="str">
        <f>IFERROR(__xludf.DUMMYFUNCTION("""COMPUTED_VALUE"""),"QZA-Molinos")</f>
        <v>QZA-Molinos</v>
      </c>
      <c r="C1110" s="12"/>
      <c r="D1110" s="12"/>
      <c r="E1110" s="44">
        <f>IFERROR(__xludf.DUMMYFUNCTION("""COMPUTED_VALUE"""),45475.0)</f>
        <v>45475</v>
      </c>
      <c r="F1110" s="12" t="str">
        <f>IFERROR(__xludf.DUMMYFUNCTION("""COMPUTED_VALUE"""),"TIPO I")</f>
        <v>TIPO I</v>
      </c>
      <c r="G1110" s="12" t="str">
        <f>IFERROR(__xludf.DUMMYFUNCTION("""COMPUTED_VALUE"""),"Toma de muestra en lecho natural rocoso, durante el monitoreo se percibe olor, se observa color y residuos sólidos en el cuerpo de agua. 
Altitud: 2615 msnm. ")</f>
        <v>Toma de muestra en lecho natural rocoso, durante el monitoreo se percibe olor, se observa color y residuos sólidos en el cuerpo de agua. 
Altitud: 2615 msnm. </v>
      </c>
      <c r="H1110" s="45">
        <f>IFERROR(__xludf.DUMMYFUNCTION("""COMPUTED_VALUE"""),0.3333333333321207)</f>
        <v>0.3333333333</v>
      </c>
      <c r="I1110" s="45">
        <f>IFERROR(__xludf.DUMMYFUNCTION("""COMPUTED_VALUE"""),0.4166666666678793)</f>
        <v>0.4166666667</v>
      </c>
      <c r="J1110" s="12">
        <f>IFERROR(__xludf.DUMMYFUNCTION("""COMPUTED_VALUE"""),4.1)</f>
        <v>4.1</v>
      </c>
      <c r="K1110" s="12">
        <f>IFERROR(__xludf.DUMMYFUNCTION("""COMPUTED_VALUE"""),0.25)</f>
        <v>0.25</v>
      </c>
      <c r="L1110" s="14">
        <f>IFERROR(__xludf.DUMMYFUNCTION("""COMPUTED_VALUE"""),316.617)</f>
        <v>316.617</v>
      </c>
      <c r="M1110" s="14">
        <f>IFERROR(__xludf.DUMMYFUNCTION("""COMPUTED_VALUE"""),322.724)</f>
        <v>322.724</v>
      </c>
      <c r="N1110" s="14">
        <f>IFERROR(__xludf.DUMMYFUNCTION("""COMPUTED_VALUE"""),326.686)</f>
        <v>326.686</v>
      </c>
      <c r="O1110" s="14">
        <f>IFERROR(__xludf.DUMMYFUNCTION("""COMPUTED_VALUE"""),320.077)</f>
        <v>320.077</v>
      </c>
      <c r="P1110" s="14">
        <f>IFERROR(__xludf.DUMMYFUNCTION("""COMPUTED_VALUE"""),322.178)</f>
        <v>322.178</v>
      </c>
      <c r="Q1110" s="14">
        <f>IFERROR(__xludf.DUMMYFUNCTION("""COMPUTED_VALUE"""),321.656)</f>
        <v>321.656</v>
      </c>
      <c r="R1110" s="48">
        <f>IFERROR(__xludf.DUMMYFUNCTION("""COMPUTED_VALUE"""),8.24)</f>
        <v>8.24</v>
      </c>
      <c r="S1110" s="48">
        <f>IFERROR(__xludf.DUMMYFUNCTION("""COMPUTED_VALUE"""),8.17)</f>
        <v>8.17</v>
      </c>
      <c r="T1110" s="48">
        <f>IFERROR(__xludf.DUMMYFUNCTION("""COMPUTED_VALUE"""),8.33)</f>
        <v>8.33</v>
      </c>
      <c r="U1110" s="48">
        <f>IFERROR(__xludf.DUMMYFUNCTION("""COMPUTED_VALUE"""),8.37)</f>
        <v>8.37</v>
      </c>
      <c r="V1110" s="48">
        <f>IFERROR(__xludf.DUMMYFUNCTION("""COMPUTED_VALUE"""),8.38)</f>
        <v>8.38</v>
      </c>
      <c r="W1110" s="14">
        <f>IFERROR(__xludf.DUMMYFUNCTION("""COMPUTED_VALUE"""),8.298)</f>
        <v>8.298</v>
      </c>
      <c r="X1110" s="14">
        <f>IFERROR(__xludf.DUMMYFUNCTION("""COMPUTED_VALUE"""),16.1)</f>
        <v>16.1</v>
      </c>
      <c r="Y1110" s="14">
        <f>IFERROR(__xludf.DUMMYFUNCTION("""COMPUTED_VALUE"""),16.2)</f>
        <v>16.2</v>
      </c>
      <c r="Z1110" s="14">
        <f>IFERROR(__xludf.DUMMYFUNCTION("""COMPUTED_VALUE"""),16.8)</f>
        <v>16.8</v>
      </c>
      <c r="AA1110" s="14">
        <f>IFERROR(__xludf.DUMMYFUNCTION("""COMPUTED_VALUE"""),17.0)</f>
        <v>17</v>
      </c>
      <c r="AB1110" s="14">
        <f>IFERROR(__xludf.DUMMYFUNCTION("""COMPUTED_VALUE"""),17.1)</f>
        <v>17.1</v>
      </c>
      <c r="AC1110" s="14">
        <f>IFERROR(__xludf.DUMMYFUNCTION("""COMPUTED_VALUE"""),16.639999999999997)</f>
        <v>16.64</v>
      </c>
      <c r="AD1110" s="48">
        <f>IFERROR(__xludf.DUMMYFUNCTION("""COMPUTED_VALUE"""),469.0)</f>
        <v>469</v>
      </c>
      <c r="AE1110" s="48">
        <f>IFERROR(__xludf.DUMMYFUNCTION("""COMPUTED_VALUE"""),539.0)</f>
        <v>539</v>
      </c>
      <c r="AF1110" s="48">
        <f>IFERROR(__xludf.DUMMYFUNCTION("""COMPUTED_VALUE"""),614.0)</f>
        <v>614</v>
      </c>
      <c r="AG1110" s="48">
        <f>IFERROR(__xludf.DUMMYFUNCTION("""COMPUTED_VALUE"""),670.0)</f>
        <v>670</v>
      </c>
      <c r="AH1110" s="48">
        <f>IFERROR(__xludf.DUMMYFUNCTION("""COMPUTED_VALUE"""),686.0)</f>
        <v>686</v>
      </c>
      <c r="AI1110" s="14">
        <f>IFERROR(__xludf.DUMMYFUNCTION("""COMPUTED_VALUE"""),595.6)</f>
        <v>595.6</v>
      </c>
      <c r="AJ1110" s="14">
        <f>IFERROR(__xludf.DUMMYFUNCTION("""COMPUTED_VALUE"""),2.72)</f>
        <v>2.72</v>
      </c>
      <c r="AK1110" s="14">
        <f>IFERROR(__xludf.DUMMYFUNCTION("""COMPUTED_VALUE"""),2.53)</f>
        <v>2.53</v>
      </c>
      <c r="AL1110" s="14">
        <f>IFERROR(__xludf.DUMMYFUNCTION("""COMPUTED_VALUE"""),2.29)</f>
        <v>2.29</v>
      </c>
      <c r="AM1110" s="14">
        <f>IFERROR(__xludf.DUMMYFUNCTION("""COMPUTED_VALUE"""),2.86)</f>
        <v>2.86</v>
      </c>
      <c r="AN1110" s="14">
        <f>IFERROR(__xludf.DUMMYFUNCTION("""COMPUTED_VALUE"""),1.33)</f>
        <v>1.33</v>
      </c>
      <c r="AO1110" s="14">
        <f>IFERROR(__xludf.DUMMYFUNCTION("""COMPUTED_VALUE"""),2.346)</f>
        <v>2.346</v>
      </c>
      <c r="AP1110" s="14">
        <f>IFERROR(__xludf.DUMMYFUNCTION("""COMPUTED_VALUE"""),74.0)</f>
        <v>74</v>
      </c>
      <c r="AQ1110" s="14">
        <f>IFERROR(__xludf.DUMMYFUNCTION("""COMPUTED_VALUE"""),148.0)</f>
        <v>148</v>
      </c>
      <c r="AR1110" s="14">
        <f>IFERROR(__xludf.DUMMYFUNCTION("""COMPUTED_VALUE"""),30.0)</f>
        <v>30</v>
      </c>
      <c r="AS1110" s="14">
        <f>IFERROR(__xludf.DUMMYFUNCTION("""COMPUTED_VALUE"""),9.1)</f>
        <v>9.1</v>
      </c>
      <c r="AT1110" s="14">
        <f>IFERROR(__xludf.DUMMYFUNCTION("""COMPUTED_VALUE"""),1.91)</f>
        <v>1.91</v>
      </c>
      <c r="AU1110" s="14">
        <f>IFERROR(__xludf.DUMMYFUNCTION("""COMPUTED_VALUE"""),1.191E7)</f>
        <v>11910000</v>
      </c>
      <c r="AV1110" s="14">
        <f>IFERROR(__xludf.DUMMYFUNCTION("""COMPUTED_VALUE"""),4.2)</f>
        <v>4.2</v>
      </c>
      <c r="AW1110" s="14">
        <f>IFERROR(__xludf.DUMMYFUNCTION("""COMPUTED_VALUE"""),35.8)</f>
        <v>35.8</v>
      </c>
      <c r="AX1110" s="14">
        <f>IFERROR(__xludf.DUMMYFUNCTION("""COMPUTED_VALUE"""),6630000.0)</f>
        <v>6630000</v>
      </c>
      <c r="AY1110" s="14">
        <f>IFERROR(__xludf.DUMMYFUNCTION("""COMPUTED_VALUE"""),0.8)</f>
        <v>0.8</v>
      </c>
      <c r="AZ1110" s="14">
        <f>IFERROR(__xludf.DUMMYFUNCTION("""COMPUTED_VALUE"""),0.007)</f>
        <v>0.007</v>
      </c>
      <c r="BA1110" s="14">
        <f t="shared" si="1"/>
        <v>36.607</v>
      </c>
    </row>
    <row r="1111" ht="14.25" customHeight="1">
      <c r="A1111" s="10" t="str">
        <f>IFERROR(__xludf.DUMMYFUNCTION("""COMPUTED_VALUE"""),"170724HA01")</f>
        <v>170724HA01</v>
      </c>
      <c r="B1111" s="12" t="str">
        <f>IFERROR(__xludf.DUMMYFUNCTION("""COMPUTED_VALUE"""),"CMO-CANTÓN NORTE
")</f>
        <v>CMO-CANTÓN NORTE
</v>
      </c>
      <c r="C1111" s="12"/>
      <c r="D1111" s="12"/>
      <c r="E1111" s="44">
        <f>IFERROR(__xludf.DUMMYFUNCTION("""COMPUTED_VALUE"""),45490.0)</f>
        <v>45490</v>
      </c>
      <c r="F1111" s="12" t="str">
        <f>IFERROR(__xludf.DUMMYFUNCTION("""COMPUTED_VALUE"""),"TIPO I")</f>
        <v>TIPO I</v>
      </c>
      <c r="G1111" s="12" t="str">
        <f>IFERROR(__xludf.DUMMYFUNCTION("""COMPUTED_VALUE"""),"Canal en concreto, se observa color, no se percibe olor.
Altitud 2583 msnm")</f>
        <v>Canal en concreto, se observa color, no se percibe olor.
Altitud 2583 msnm</v>
      </c>
      <c r="H1111" s="45">
        <f>IFERROR(__xludf.DUMMYFUNCTION("""COMPUTED_VALUE"""),0.25)</f>
        <v>0.25</v>
      </c>
      <c r="I1111" s="45">
        <f>IFERROR(__xludf.DUMMYFUNCTION("""COMPUTED_VALUE"""),0.3333333333321207)</f>
        <v>0.3333333333</v>
      </c>
      <c r="J1111" s="12">
        <f>IFERROR(__xludf.DUMMYFUNCTION("""COMPUTED_VALUE"""),1.6)</f>
        <v>1.6</v>
      </c>
      <c r="K1111" s="12">
        <f>IFERROR(__xludf.DUMMYFUNCTION("""COMPUTED_VALUE"""),0.12)</f>
        <v>0.12</v>
      </c>
      <c r="L1111" s="14">
        <f>IFERROR(__xludf.DUMMYFUNCTION("""COMPUTED_VALUE"""),62.038)</f>
        <v>62.038</v>
      </c>
      <c r="M1111" s="14">
        <f>IFERROR(__xludf.DUMMYFUNCTION("""COMPUTED_VALUE"""),62.449)</f>
        <v>62.449</v>
      </c>
      <c r="N1111" s="14">
        <f>IFERROR(__xludf.DUMMYFUNCTION("""COMPUTED_VALUE"""),62.519)</f>
        <v>62.519</v>
      </c>
      <c r="O1111" s="14">
        <f>IFERROR(__xludf.DUMMYFUNCTION("""COMPUTED_VALUE"""),63.485)</f>
        <v>63.485</v>
      </c>
      <c r="P1111" s="14">
        <f>IFERROR(__xludf.DUMMYFUNCTION("""COMPUTED_VALUE"""),64.069)</f>
        <v>64.069</v>
      </c>
      <c r="Q1111" s="14">
        <f>IFERROR(__xludf.DUMMYFUNCTION("""COMPUTED_VALUE"""),62.912)</f>
        <v>62.912</v>
      </c>
      <c r="R1111" s="48">
        <f>IFERROR(__xludf.DUMMYFUNCTION("""COMPUTED_VALUE"""),7.96)</f>
        <v>7.96</v>
      </c>
      <c r="S1111" s="48">
        <f>IFERROR(__xludf.DUMMYFUNCTION("""COMPUTED_VALUE"""),8.09)</f>
        <v>8.09</v>
      </c>
      <c r="T1111" s="48">
        <f>IFERROR(__xludf.DUMMYFUNCTION("""COMPUTED_VALUE"""),8.12)</f>
        <v>8.12</v>
      </c>
      <c r="U1111" s="48">
        <f>IFERROR(__xludf.DUMMYFUNCTION("""COMPUTED_VALUE"""),7.87)</f>
        <v>7.87</v>
      </c>
      <c r="V1111" s="48">
        <f>IFERROR(__xludf.DUMMYFUNCTION("""COMPUTED_VALUE"""),7.97)</f>
        <v>7.97</v>
      </c>
      <c r="W1111" s="14">
        <f>IFERROR(__xludf.DUMMYFUNCTION("""COMPUTED_VALUE"""),8.001999999999999)</f>
        <v>8.002</v>
      </c>
      <c r="X1111" s="14">
        <f>IFERROR(__xludf.DUMMYFUNCTION("""COMPUTED_VALUE"""),14.3)</f>
        <v>14.3</v>
      </c>
      <c r="Y1111" s="14">
        <f>IFERROR(__xludf.DUMMYFUNCTION("""COMPUTED_VALUE"""),14.2)</f>
        <v>14.2</v>
      </c>
      <c r="Z1111" s="14">
        <f>IFERROR(__xludf.DUMMYFUNCTION("""COMPUTED_VALUE"""),14.2)</f>
        <v>14.2</v>
      </c>
      <c r="AA1111" s="14">
        <f>IFERROR(__xludf.DUMMYFUNCTION("""COMPUTED_VALUE"""),14.1)</f>
        <v>14.1</v>
      </c>
      <c r="AB1111" s="14">
        <f>IFERROR(__xludf.DUMMYFUNCTION("""COMPUTED_VALUE"""),14.3)</f>
        <v>14.3</v>
      </c>
      <c r="AC1111" s="14">
        <f>IFERROR(__xludf.DUMMYFUNCTION("""COMPUTED_VALUE"""),14.220000000000002)</f>
        <v>14.22</v>
      </c>
      <c r="AD1111" s="48">
        <f>IFERROR(__xludf.DUMMYFUNCTION("""COMPUTED_VALUE"""),302.0)</f>
        <v>302</v>
      </c>
      <c r="AE1111" s="48">
        <f>IFERROR(__xludf.DUMMYFUNCTION("""COMPUTED_VALUE"""),295.0)</f>
        <v>295</v>
      </c>
      <c r="AF1111" s="48">
        <f>IFERROR(__xludf.DUMMYFUNCTION("""COMPUTED_VALUE"""),271.0)</f>
        <v>271</v>
      </c>
      <c r="AG1111" s="48">
        <f>IFERROR(__xludf.DUMMYFUNCTION("""COMPUTED_VALUE"""),266.0)</f>
        <v>266</v>
      </c>
      <c r="AH1111" s="48">
        <f>IFERROR(__xludf.DUMMYFUNCTION("""COMPUTED_VALUE"""),289.0)</f>
        <v>289</v>
      </c>
      <c r="AI1111" s="14">
        <f>IFERROR(__xludf.DUMMYFUNCTION("""COMPUTED_VALUE"""),284.6)</f>
        <v>284.6</v>
      </c>
      <c r="AJ1111" s="14">
        <f>IFERROR(__xludf.DUMMYFUNCTION("""COMPUTED_VALUE"""),5.98)</f>
        <v>5.98</v>
      </c>
      <c r="AK1111" s="14">
        <f>IFERROR(__xludf.DUMMYFUNCTION("""COMPUTED_VALUE"""),6.04)</f>
        <v>6.04</v>
      </c>
      <c r="AL1111" s="14">
        <f>IFERROR(__xludf.DUMMYFUNCTION("""COMPUTED_VALUE"""),6.27)</f>
        <v>6.27</v>
      </c>
      <c r="AM1111" s="14">
        <f>IFERROR(__xludf.DUMMYFUNCTION("""COMPUTED_VALUE"""),6.1)</f>
        <v>6.1</v>
      </c>
      <c r="AN1111" s="14">
        <f>IFERROR(__xludf.DUMMYFUNCTION("""COMPUTED_VALUE"""),5.63)</f>
        <v>5.63</v>
      </c>
      <c r="AO1111" s="14">
        <f>IFERROR(__xludf.DUMMYFUNCTION("""COMPUTED_VALUE"""),6.004)</f>
        <v>6.004</v>
      </c>
      <c r="AP1111" s="14">
        <f>IFERROR(__xludf.DUMMYFUNCTION("""COMPUTED_VALUE"""),24.0)</f>
        <v>24</v>
      </c>
      <c r="AQ1111" s="14">
        <f>IFERROR(__xludf.DUMMYFUNCTION("""COMPUTED_VALUE"""),40.0)</f>
        <v>40</v>
      </c>
      <c r="AR1111" s="14">
        <f>IFERROR(__xludf.DUMMYFUNCTION("""COMPUTED_VALUE"""),14.0)</f>
        <v>14</v>
      </c>
      <c r="AS1111" s="14">
        <f>IFERROR(__xludf.DUMMYFUNCTION("""COMPUTED_VALUE"""),11.8)</f>
        <v>11.8</v>
      </c>
      <c r="AT1111" s="14">
        <f>IFERROR(__xludf.DUMMYFUNCTION("""COMPUTED_VALUE"""),0.07)</f>
        <v>0.07</v>
      </c>
      <c r="AU1111" s="14">
        <f>IFERROR(__xludf.DUMMYFUNCTION("""COMPUTED_VALUE"""),184200.0)</f>
        <v>184200</v>
      </c>
      <c r="AV1111" s="14">
        <f>IFERROR(__xludf.DUMMYFUNCTION("""COMPUTED_VALUE"""),1.16)</f>
        <v>1.16</v>
      </c>
      <c r="AW1111" s="14">
        <f>IFERROR(__xludf.DUMMYFUNCTION("""COMPUTED_VALUE"""),4.5)</f>
        <v>4.5</v>
      </c>
      <c r="AX1111" s="14">
        <f>IFERROR(__xludf.DUMMYFUNCTION("""COMPUTED_VALUE"""),167900.0)</f>
        <v>167900</v>
      </c>
      <c r="AY1111" s="14">
        <f>IFERROR(__xludf.DUMMYFUNCTION("""COMPUTED_VALUE"""),1.0)</f>
        <v>1</v>
      </c>
      <c r="AZ1111" s="14">
        <f>IFERROR(__xludf.DUMMYFUNCTION("""COMPUTED_VALUE"""),0.154)</f>
        <v>0.154</v>
      </c>
      <c r="BA1111" s="14">
        <f t="shared" si="1"/>
        <v>5.654</v>
      </c>
    </row>
    <row r="1112" ht="14.25" customHeight="1">
      <c r="A1112" s="10" t="str">
        <f>IFERROR(__xludf.DUMMYFUNCTION("""COMPUTED_VALUE"""),"160724DU01")</f>
        <v>160724DU01</v>
      </c>
      <c r="B1112" s="12" t="str">
        <f>IFERROR(__xludf.DUMMYFUNCTION("""COMPUTED_VALUE"""),"COR-Humedal Córdoba")</f>
        <v>COR-Humedal Córdoba</v>
      </c>
      <c r="C1112" s="12"/>
      <c r="D1112" s="12"/>
      <c r="E1112" s="44">
        <f>IFERROR(__xludf.DUMMYFUNCTION("""COMPUTED_VALUE"""),45489.0)</f>
        <v>45489</v>
      </c>
      <c r="F1112" s="12" t="str">
        <f>IFERROR(__xludf.DUMMYFUNCTION("""COMPUTED_VALUE"""),"TIPO I")</f>
        <v>TIPO I</v>
      </c>
      <c r="G1112" s="12" t="str">
        <f>IFERROR(__xludf.DUMMYFUNCTION("""COMPUTED_VALUE"""),"Canal natural, rocoso-lodoso, se observa color y se percibe olor.")</f>
        <v>Canal natural, rocoso-lodoso, se observa color y se percibe olor.</v>
      </c>
      <c r="H1112" s="45">
        <f>IFERROR(__xludf.DUMMYFUNCTION("""COMPUTED_VALUE"""),0.25)</f>
        <v>0.25</v>
      </c>
      <c r="I1112" s="45">
        <f>IFERROR(__xludf.DUMMYFUNCTION("""COMPUTED_VALUE"""),0.3333333333321207)</f>
        <v>0.3333333333</v>
      </c>
      <c r="J1112" s="12">
        <f>IFERROR(__xludf.DUMMYFUNCTION("""COMPUTED_VALUE"""),8.0)</f>
        <v>8</v>
      </c>
      <c r="K1112" s="12">
        <f>IFERROR(__xludf.DUMMYFUNCTION("""COMPUTED_VALUE"""),0.59)</f>
        <v>0.59</v>
      </c>
      <c r="L1112" s="14">
        <f>IFERROR(__xludf.DUMMYFUNCTION("""COMPUTED_VALUE"""),722.326)</f>
        <v>722.326</v>
      </c>
      <c r="M1112" s="14">
        <f>IFERROR(__xludf.DUMMYFUNCTION("""COMPUTED_VALUE"""),719.587)</f>
        <v>719.587</v>
      </c>
      <c r="N1112" s="14">
        <f>IFERROR(__xludf.DUMMYFUNCTION("""COMPUTED_VALUE"""),741.651)</f>
        <v>741.651</v>
      </c>
      <c r="O1112" s="14">
        <f>IFERROR(__xludf.DUMMYFUNCTION("""COMPUTED_VALUE"""),765.767)</f>
        <v>765.767</v>
      </c>
      <c r="P1112" s="14">
        <f>IFERROR(__xludf.DUMMYFUNCTION("""COMPUTED_VALUE"""),763.57)</f>
        <v>763.57</v>
      </c>
      <c r="Q1112" s="14">
        <f>IFERROR(__xludf.DUMMYFUNCTION("""COMPUTED_VALUE"""),742.58)</f>
        <v>742.58</v>
      </c>
      <c r="R1112" s="48">
        <f>IFERROR(__xludf.DUMMYFUNCTION("""COMPUTED_VALUE"""),7.43)</f>
        <v>7.43</v>
      </c>
      <c r="S1112" s="48">
        <f>IFERROR(__xludf.DUMMYFUNCTION("""COMPUTED_VALUE"""),7.34)</f>
        <v>7.34</v>
      </c>
      <c r="T1112" s="48">
        <f>IFERROR(__xludf.DUMMYFUNCTION("""COMPUTED_VALUE"""),7.39)</f>
        <v>7.39</v>
      </c>
      <c r="U1112" s="48">
        <f>IFERROR(__xludf.DUMMYFUNCTION("""COMPUTED_VALUE"""),7.2)</f>
        <v>7.2</v>
      </c>
      <c r="V1112" s="48">
        <f>IFERROR(__xludf.DUMMYFUNCTION("""COMPUTED_VALUE"""),7.03)</f>
        <v>7.03</v>
      </c>
      <c r="W1112" s="14">
        <f>IFERROR(__xludf.DUMMYFUNCTION("""COMPUTED_VALUE"""),7.2780000000000005)</f>
        <v>7.278</v>
      </c>
      <c r="X1112" s="14">
        <f>IFERROR(__xludf.DUMMYFUNCTION("""COMPUTED_VALUE"""),17.3)</f>
        <v>17.3</v>
      </c>
      <c r="Y1112" s="14">
        <f>IFERROR(__xludf.DUMMYFUNCTION("""COMPUTED_VALUE"""),17.1)</f>
        <v>17.1</v>
      </c>
      <c r="Z1112" s="14">
        <f>IFERROR(__xludf.DUMMYFUNCTION("""COMPUTED_VALUE"""),17.8)</f>
        <v>17.8</v>
      </c>
      <c r="AA1112" s="14">
        <f>IFERROR(__xludf.DUMMYFUNCTION("""COMPUTED_VALUE"""),17.7)</f>
        <v>17.7</v>
      </c>
      <c r="AB1112" s="14">
        <f>IFERROR(__xludf.DUMMYFUNCTION("""COMPUTED_VALUE"""),17.5)</f>
        <v>17.5</v>
      </c>
      <c r="AC1112" s="14">
        <f>IFERROR(__xludf.DUMMYFUNCTION("""COMPUTED_VALUE"""),17.48)</f>
        <v>17.48</v>
      </c>
      <c r="AD1112" s="48">
        <f>IFERROR(__xludf.DUMMYFUNCTION("""COMPUTED_VALUE"""),207.0)</f>
        <v>207</v>
      </c>
      <c r="AE1112" s="48">
        <f>IFERROR(__xludf.DUMMYFUNCTION("""COMPUTED_VALUE"""),200.0)</f>
        <v>200</v>
      </c>
      <c r="AF1112" s="48">
        <f>IFERROR(__xludf.DUMMYFUNCTION("""COMPUTED_VALUE"""),227.0)</f>
        <v>227</v>
      </c>
      <c r="AG1112" s="48">
        <f>IFERROR(__xludf.DUMMYFUNCTION("""COMPUTED_VALUE"""),221.0)</f>
        <v>221</v>
      </c>
      <c r="AH1112" s="48">
        <f>IFERROR(__xludf.DUMMYFUNCTION("""COMPUTED_VALUE"""),217.0)</f>
        <v>217</v>
      </c>
      <c r="AI1112" s="14">
        <f>IFERROR(__xludf.DUMMYFUNCTION("""COMPUTED_VALUE"""),214.4)</f>
        <v>214.4</v>
      </c>
      <c r="AJ1112" s="14">
        <f>IFERROR(__xludf.DUMMYFUNCTION("""COMPUTED_VALUE"""),2.75)</f>
        <v>2.75</v>
      </c>
      <c r="AK1112" s="14">
        <f>IFERROR(__xludf.DUMMYFUNCTION("""COMPUTED_VALUE"""),2.22)</f>
        <v>2.22</v>
      </c>
      <c r="AL1112" s="14">
        <f>IFERROR(__xludf.DUMMYFUNCTION("""COMPUTED_VALUE"""),2.58)</f>
        <v>2.58</v>
      </c>
      <c r="AM1112" s="14">
        <f>IFERROR(__xludf.DUMMYFUNCTION("""COMPUTED_VALUE"""),2.66)</f>
        <v>2.66</v>
      </c>
      <c r="AN1112" s="14">
        <f>IFERROR(__xludf.DUMMYFUNCTION("""COMPUTED_VALUE"""),2.16)</f>
        <v>2.16</v>
      </c>
      <c r="AO1112" s="14">
        <f>IFERROR(__xludf.DUMMYFUNCTION("""COMPUTED_VALUE"""),2.474)</f>
        <v>2.474</v>
      </c>
      <c r="AP1112" s="14">
        <f>IFERROR(__xludf.DUMMYFUNCTION("""COMPUTED_VALUE"""),14.0)</f>
        <v>14</v>
      </c>
      <c r="AQ1112" s="14">
        <f>IFERROR(__xludf.DUMMYFUNCTION("""COMPUTED_VALUE"""),45.0)</f>
        <v>45</v>
      </c>
      <c r="AR1112" s="14">
        <f>IFERROR(__xludf.DUMMYFUNCTION("""COMPUTED_VALUE"""),24.0)</f>
        <v>24</v>
      </c>
      <c r="AS1112" s="14">
        <f>IFERROR(__xludf.DUMMYFUNCTION("""COMPUTED_VALUE"""),14.2)</f>
        <v>14.2</v>
      </c>
      <c r="AT1112" s="14">
        <f>IFERROR(__xludf.DUMMYFUNCTION("""COMPUTED_VALUE"""),0.38)</f>
        <v>0.38</v>
      </c>
      <c r="AU1112" s="14">
        <f>IFERROR(__xludf.DUMMYFUNCTION("""COMPUTED_VALUE"""),2.3E7)</f>
        <v>23000000</v>
      </c>
      <c r="AV1112" s="14">
        <f>IFERROR(__xludf.DUMMYFUNCTION("""COMPUTED_VALUE"""),0.94)</f>
        <v>0.94</v>
      </c>
      <c r="AW1112" s="14">
        <f>IFERROR(__xludf.DUMMYFUNCTION("""COMPUTED_VALUE"""),7.8)</f>
        <v>7.8</v>
      </c>
      <c r="AX1112" s="14">
        <f>IFERROR(__xludf.DUMMYFUNCTION("""COMPUTED_VALUE"""),1.903E7)</f>
        <v>19030000</v>
      </c>
      <c r="AY1112" s="14">
        <f>IFERROR(__xludf.DUMMYFUNCTION("""COMPUTED_VALUE"""),0.5)</f>
        <v>0.5</v>
      </c>
      <c r="AZ1112" s="14">
        <f>IFERROR(__xludf.DUMMYFUNCTION("""COMPUTED_VALUE"""),0.007)</f>
        <v>0.007</v>
      </c>
      <c r="BA1112" s="14">
        <f t="shared" si="1"/>
        <v>8.307</v>
      </c>
    </row>
    <row r="1113" ht="14.25" customHeight="1">
      <c r="A1113" s="10" t="str">
        <f>IFERROR(__xludf.DUMMYFUNCTION("""COMPUTED_VALUE"""),"260824HA01")</f>
        <v>260824HA01</v>
      </c>
      <c r="B1113" s="12" t="str">
        <f>IFERROR(__xludf.DUMMYFUNCTION("""COMPUTED_VALUE"""),"QTR-Acapulco")</f>
        <v>QTR-Acapulco</v>
      </c>
      <c r="C1113" s="12"/>
      <c r="D1113" s="12"/>
      <c r="E1113" s="44">
        <f>IFERROR(__xludf.DUMMYFUNCTION("""COMPUTED_VALUE"""),45530.0)</f>
        <v>45530</v>
      </c>
      <c r="F1113" s="12" t="str">
        <f>IFERROR(__xludf.DUMMYFUNCTION("""COMPUTED_VALUE"""),"TIPO I")</f>
        <v>TIPO I</v>
      </c>
      <c r="G1113" s="12" t="str">
        <f>IFERROR(__xludf.DUMMYFUNCTION("""COMPUTED_VALUE"""),"Durante el monitoreo se percibe olor, se observa color. 
Altitud:2549 msnm")</f>
        <v>Durante el monitoreo se percibe olor, se observa color. 
Altitud:2549 msnm</v>
      </c>
      <c r="H1113" s="45">
        <f>IFERROR(__xludf.DUMMYFUNCTION("""COMPUTED_VALUE"""),0.3333333333321207)</f>
        <v>0.3333333333</v>
      </c>
      <c r="I1113" s="45">
        <f>IFERROR(__xludf.DUMMYFUNCTION("""COMPUTED_VALUE"""),0.4166666666678793)</f>
        <v>0.4166666667</v>
      </c>
      <c r="J1113" s="12">
        <f>IFERROR(__xludf.DUMMYFUNCTION("""COMPUTED_VALUE"""),1.2)</f>
        <v>1.2</v>
      </c>
      <c r="K1113" s="12">
        <f>IFERROR(__xludf.DUMMYFUNCTION("""COMPUTED_VALUE"""),0.19)</f>
        <v>0.19</v>
      </c>
      <c r="L1113" s="14">
        <f>IFERROR(__xludf.DUMMYFUNCTION("""COMPUTED_VALUE"""),52.865)</f>
        <v>52.865</v>
      </c>
      <c r="M1113" s="14">
        <f>IFERROR(__xludf.DUMMYFUNCTION("""COMPUTED_VALUE"""),53.036)</f>
        <v>53.036</v>
      </c>
      <c r="N1113" s="14">
        <f>IFERROR(__xludf.DUMMYFUNCTION("""COMPUTED_VALUE"""),53.154)</f>
        <v>53.154</v>
      </c>
      <c r="O1113" s="14">
        <f>IFERROR(__xludf.DUMMYFUNCTION("""COMPUTED_VALUE"""),53.247)</f>
        <v>53.247</v>
      </c>
      <c r="P1113" s="14">
        <f>IFERROR(__xludf.DUMMYFUNCTION("""COMPUTED_VALUE"""),53.28)</f>
        <v>53.28</v>
      </c>
      <c r="Q1113" s="14">
        <f>IFERROR(__xludf.DUMMYFUNCTION("""COMPUTED_VALUE"""),53.116)</f>
        <v>53.116</v>
      </c>
      <c r="R1113" s="48">
        <f>IFERROR(__xludf.DUMMYFUNCTION("""COMPUTED_VALUE"""),8.44)</f>
        <v>8.44</v>
      </c>
      <c r="S1113" s="48">
        <f>IFERROR(__xludf.DUMMYFUNCTION("""COMPUTED_VALUE"""),8.34)</f>
        <v>8.34</v>
      </c>
      <c r="T1113" s="48">
        <f>IFERROR(__xludf.DUMMYFUNCTION("""COMPUTED_VALUE"""),8.38)</f>
        <v>8.38</v>
      </c>
      <c r="U1113" s="48">
        <f>IFERROR(__xludf.DUMMYFUNCTION("""COMPUTED_VALUE"""),8.49)</f>
        <v>8.49</v>
      </c>
      <c r="V1113" s="48">
        <f>IFERROR(__xludf.DUMMYFUNCTION("""COMPUTED_VALUE"""),8.59)</f>
        <v>8.59</v>
      </c>
      <c r="W1113" s="14">
        <f>IFERROR(__xludf.DUMMYFUNCTION("""COMPUTED_VALUE"""),8.448000000000002)</f>
        <v>8.448</v>
      </c>
      <c r="X1113" s="14">
        <f>IFERROR(__xludf.DUMMYFUNCTION("""COMPUTED_VALUE"""),13.5)</f>
        <v>13.5</v>
      </c>
      <c r="Y1113" s="14">
        <f>IFERROR(__xludf.DUMMYFUNCTION("""COMPUTED_VALUE"""),13.4)</f>
        <v>13.4</v>
      </c>
      <c r="Z1113" s="14">
        <f>IFERROR(__xludf.DUMMYFUNCTION("""COMPUTED_VALUE"""),13.5)</f>
        <v>13.5</v>
      </c>
      <c r="AA1113" s="14">
        <f>IFERROR(__xludf.DUMMYFUNCTION("""COMPUTED_VALUE"""),13.8)</f>
        <v>13.8</v>
      </c>
      <c r="AB1113" s="14">
        <f>IFERROR(__xludf.DUMMYFUNCTION("""COMPUTED_VALUE"""),14.0)</f>
        <v>14</v>
      </c>
      <c r="AC1113" s="14">
        <f>IFERROR(__xludf.DUMMYFUNCTION("""COMPUTED_VALUE"""),13.64)</f>
        <v>13.64</v>
      </c>
      <c r="AD1113" s="48">
        <f>IFERROR(__xludf.DUMMYFUNCTION("""COMPUTED_VALUE"""),504.0)</f>
        <v>504</v>
      </c>
      <c r="AE1113" s="48">
        <f>IFERROR(__xludf.DUMMYFUNCTION("""COMPUTED_VALUE"""),461.0)</f>
        <v>461</v>
      </c>
      <c r="AF1113" s="48">
        <f>IFERROR(__xludf.DUMMYFUNCTION("""COMPUTED_VALUE"""),518.0)</f>
        <v>518</v>
      </c>
      <c r="AG1113" s="48">
        <f>IFERROR(__xludf.DUMMYFUNCTION("""COMPUTED_VALUE"""),532.0)</f>
        <v>532</v>
      </c>
      <c r="AH1113" s="48">
        <f>IFERROR(__xludf.DUMMYFUNCTION("""COMPUTED_VALUE"""),548.0)</f>
        <v>548</v>
      </c>
      <c r="AI1113" s="14">
        <f>IFERROR(__xludf.DUMMYFUNCTION("""COMPUTED_VALUE"""),512.6)</f>
        <v>512.6</v>
      </c>
      <c r="AJ1113" s="14">
        <f>IFERROR(__xludf.DUMMYFUNCTION("""COMPUTED_VALUE"""),4.77)</f>
        <v>4.77</v>
      </c>
      <c r="AK1113" s="14">
        <f>IFERROR(__xludf.DUMMYFUNCTION("""COMPUTED_VALUE"""),5.93)</f>
        <v>5.93</v>
      </c>
      <c r="AL1113" s="14">
        <f>IFERROR(__xludf.DUMMYFUNCTION("""COMPUTED_VALUE"""),5.71)</f>
        <v>5.71</v>
      </c>
      <c r="AM1113" s="14">
        <f>IFERROR(__xludf.DUMMYFUNCTION("""COMPUTED_VALUE"""),5.43)</f>
        <v>5.43</v>
      </c>
      <c r="AN1113" s="14">
        <f>IFERROR(__xludf.DUMMYFUNCTION("""COMPUTED_VALUE"""),5.62)</f>
        <v>5.62</v>
      </c>
      <c r="AO1113" s="14">
        <f>IFERROR(__xludf.DUMMYFUNCTION("""COMPUTED_VALUE"""),5.492)</f>
        <v>5.492</v>
      </c>
      <c r="AP1113" s="14">
        <f>IFERROR(__xludf.DUMMYFUNCTION("""COMPUTED_VALUE"""),44.0)</f>
        <v>44</v>
      </c>
      <c r="AQ1113" s="14">
        <f>IFERROR(__xludf.DUMMYFUNCTION("""COMPUTED_VALUE"""),75.0)</f>
        <v>75</v>
      </c>
      <c r="AR1113" s="14">
        <f>IFERROR(__xludf.DUMMYFUNCTION("""COMPUTED_VALUE"""),46.0)</f>
        <v>46</v>
      </c>
      <c r="AS1113" s="14">
        <f>IFERROR(__xludf.DUMMYFUNCTION("""COMPUTED_VALUE"""),6.8)</f>
        <v>6.8</v>
      </c>
      <c r="AT1113" s="14">
        <f>IFERROR(__xludf.DUMMYFUNCTION("""COMPUTED_VALUE"""),1.48)</f>
        <v>1.48</v>
      </c>
      <c r="AU1113" s="14">
        <f>IFERROR(__xludf.DUMMYFUNCTION("""COMPUTED_VALUE"""),7.12E7)</f>
        <v>71200000</v>
      </c>
      <c r="AV1113" s="14">
        <f>IFERROR(__xludf.DUMMYFUNCTION("""COMPUTED_VALUE"""),2.25)</f>
        <v>2.25</v>
      </c>
      <c r="AW1113" s="14">
        <f>IFERROR(__xludf.DUMMYFUNCTION("""COMPUTED_VALUE"""),34.7)</f>
        <v>34.7</v>
      </c>
      <c r="AX1113" s="14">
        <f>IFERROR(__xludf.DUMMYFUNCTION("""COMPUTED_VALUE"""),42600.0)</f>
        <v>42600</v>
      </c>
      <c r="AY1113" s="14">
        <f>IFERROR(__xludf.DUMMYFUNCTION("""COMPUTED_VALUE"""),0.2)</f>
        <v>0.2</v>
      </c>
      <c r="AZ1113" s="14">
        <f>IFERROR(__xludf.DUMMYFUNCTION("""COMPUTED_VALUE"""),0.007)</f>
        <v>0.007</v>
      </c>
      <c r="BA1113" s="14">
        <f t="shared" si="1"/>
        <v>34.907</v>
      </c>
    </row>
    <row r="1114" ht="14.25" customHeight="1">
      <c r="A1114" s="10" t="str">
        <f>IFERROR(__xludf.DUMMYFUNCTION("""COMPUTED_VALUE"""),"270824DU01")</f>
        <v>270824DU01</v>
      </c>
      <c r="B1114" s="12" t="str">
        <f>IFERROR(__xludf.DUMMYFUNCTION("""COMPUTED_VALUE"""),"CON-Country")</f>
        <v>CON-Country</v>
      </c>
      <c r="C1114" s="12"/>
      <c r="D1114" s="12"/>
      <c r="E1114" s="44">
        <f>IFERROR(__xludf.DUMMYFUNCTION("""COMPUTED_VALUE"""),45531.0)</f>
        <v>45531</v>
      </c>
      <c r="F1114" s="12" t="str">
        <f>IFERROR(__xludf.DUMMYFUNCTION("""COMPUTED_VALUE"""),"TIPO I")</f>
        <v>TIPO I</v>
      </c>
      <c r="G1114" s="12" t="str">
        <f>IFERROR(__xludf.DUMMYFUNCTION("""COMPUTED_VALUE"""),"Durante el monitoreo se observa color y se percibe olor. 
Altitud: 2549 msnm")</f>
        <v>Durante el monitoreo se observa color y se percibe olor. 
Altitud: 2549 msnm</v>
      </c>
      <c r="H1114" s="45">
        <f>IFERROR(__xludf.DUMMYFUNCTION("""COMPUTED_VALUE"""),0.25)</f>
        <v>0.25</v>
      </c>
      <c r="I1114" s="45">
        <f>IFERROR(__xludf.DUMMYFUNCTION("""COMPUTED_VALUE"""),0.3333333333321207)</f>
        <v>0.3333333333</v>
      </c>
      <c r="J1114" s="12">
        <f>IFERROR(__xludf.DUMMYFUNCTION("""COMPUTED_VALUE"""),2.2)</f>
        <v>2.2</v>
      </c>
      <c r="K1114" s="12">
        <f>IFERROR(__xludf.DUMMYFUNCTION("""COMPUTED_VALUE"""),0.07)</f>
        <v>0.07</v>
      </c>
      <c r="L1114" s="14">
        <f>IFERROR(__xludf.DUMMYFUNCTION("""COMPUTED_VALUE"""),11.422)</f>
        <v>11.422</v>
      </c>
      <c r="M1114" s="14">
        <f>IFERROR(__xludf.DUMMYFUNCTION("""COMPUTED_VALUE"""),10.97)</f>
        <v>10.97</v>
      </c>
      <c r="N1114" s="14">
        <f>IFERROR(__xludf.DUMMYFUNCTION("""COMPUTED_VALUE"""),11.118)</f>
        <v>11.118</v>
      </c>
      <c r="O1114" s="14">
        <f>IFERROR(__xludf.DUMMYFUNCTION("""COMPUTED_VALUE"""),11.3)</f>
        <v>11.3</v>
      </c>
      <c r="P1114" s="14">
        <f>IFERROR(__xludf.DUMMYFUNCTION("""COMPUTED_VALUE"""),11.63)</f>
        <v>11.63</v>
      </c>
      <c r="Q1114" s="14">
        <f>IFERROR(__xludf.DUMMYFUNCTION("""COMPUTED_VALUE"""),11.288)</f>
        <v>11.288</v>
      </c>
      <c r="R1114" s="48">
        <f>IFERROR(__xludf.DUMMYFUNCTION("""COMPUTED_VALUE"""),7.75)</f>
        <v>7.75</v>
      </c>
      <c r="S1114" s="48">
        <f>IFERROR(__xludf.DUMMYFUNCTION("""COMPUTED_VALUE"""),7.44)</f>
        <v>7.44</v>
      </c>
      <c r="T1114" s="48">
        <f>IFERROR(__xludf.DUMMYFUNCTION("""COMPUTED_VALUE"""),7.56)</f>
        <v>7.56</v>
      </c>
      <c r="U1114" s="48">
        <f>IFERROR(__xludf.DUMMYFUNCTION("""COMPUTED_VALUE"""),7.6)</f>
        <v>7.6</v>
      </c>
      <c r="V1114" s="48">
        <f>IFERROR(__xludf.DUMMYFUNCTION("""COMPUTED_VALUE"""),7.67)</f>
        <v>7.67</v>
      </c>
      <c r="W1114" s="14">
        <f>IFERROR(__xludf.DUMMYFUNCTION("""COMPUTED_VALUE"""),7.604000000000001)</f>
        <v>7.604</v>
      </c>
      <c r="X1114" s="14">
        <f>IFERROR(__xludf.DUMMYFUNCTION("""COMPUTED_VALUE"""),13.5)</f>
        <v>13.5</v>
      </c>
      <c r="Y1114" s="14">
        <f>IFERROR(__xludf.DUMMYFUNCTION("""COMPUTED_VALUE"""),13.1)</f>
        <v>13.1</v>
      </c>
      <c r="Z1114" s="14">
        <f>IFERROR(__xludf.DUMMYFUNCTION("""COMPUTED_VALUE"""),13.5)</f>
        <v>13.5</v>
      </c>
      <c r="AA1114" s="14">
        <f>IFERROR(__xludf.DUMMYFUNCTION("""COMPUTED_VALUE"""),13.4)</f>
        <v>13.4</v>
      </c>
      <c r="AB1114" s="14">
        <f>IFERROR(__xludf.DUMMYFUNCTION("""COMPUTED_VALUE"""),13.3)</f>
        <v>13.3</v>
      </c>
      <c r="AC1114" s="14">
        <f>IFERROR(__xludf.DUMMYFUNCTION("""COMPUTED_VALUE"""),13.36)</f>
        <v>13.36</v>
      </c>
      <c r="AD1114" s="48">
        <f>IFERROR(__xludf.DUMMYFUNCTION("""COMPUTED_VALUE"""),548.0)</f>
        <v>548</v>
      </c>
      <c r="AE1114" s="48">
        <f>IFERROR(__xludf.DUMMYFUNCTION("""COMPUTED_VALUE"""),554.0)</f>
        <v>554</v>
      </c>
      <c r="AF1114" s="48">
        <f>IFERROR(__xludf.DUMMYFUNCTION("""COMPUTED_VALUE"""),538.0)</f>
        <v>538</v>
      </c>
      <c r="AG1114" s="48">
        <f>IFERROR(__xludf.DUMMYFUNCTION("""COMPUTED_VALUE"""),492.0)</f>
        <v>492</v>
      </c>
      <c r="AH1114" s="48">
        <f>IFERROR(__xludf.DUMMYFUNCTION("""COMPUTED_VALUE"""),595.0)</f>
        <v>595</v>
      </c>
      <c r="AI1114" s="14">
        <f>IFERROR(__xludf.DUMMYFUNCTION("""COMPUTED_VALUE"""),545.4)</f>
        <v>545.4</v>
      </c>
      <c r="AJ1114" s="14">
        <f>IFERROR(__xludf.DUMMYFUNCTION("""COMPUTED_VALUE"""),3.82)</f>
        <v>3.82</v>
      </c>
      <c r="AK1114" s="14">
        <f>IFERROR(__xludf.DUMMYFUNCTION("""COMPUTED_VALUE"""),3.97)</f>
        <v>3.97</v>
      </c>
      <c r="AL1114" s="14">
        <f>IFERROR(__xludf.DUMMYFUNCTION("""COMPUTED_VALUE"""),3.17)</f>
        <v>3.17</v>
      </c>
      <c r="AM1114" s="14">
        <f>IFERROR(__xludf.DUMMYFUNCTION("""COMPUTED_VALUE"""),2.65)</f>
        <v>2.65</v>
      </c>
      <c r="AN1114" s="14">
        <f>IFERROR(__xludf.DUMMYFUNCTION("""COMPUTED_VALUE"""),3.99)</f>
        <v>3.99</v>
      </c>
      <c r="AO1114" s="14">
        <f>IFERROR(__xludf.DUMMYFUNCTION("""COMPUTED_VALUE"""),3.5200000000000005)</f>
        <v>3.52</v>
      </c>
      <c r="AP1114" s="14">
        <f>IFERROR(__xludf.DUMMYFUNCTION("""COMPUTED_VALUE"""),30.0)</f>
        <v>30</v>
      </c>
      <c r="AQ1114" s="14">
        <f>IFERROR(__xludf.DUMMYFUNCTION("""COMPUTED_VALUE"""),66.0)</f>
        <v>66</v>
      </c>
      <c r="AR1114" s="14">
        <f>IFERROR(__xludf.DUMMYFUNCTION("""COMPUTED_VALUE"""),24.0)</f>
        <v>24</v>
      </c>
      <c r="AS1114" s="14">
        <f>IFERROR(__xludf.DUMMYFUNCTION("""COMPUTED_VALUE"""),6.6)</f>
        <v>6.6</v>
      </c>
      <c r="AT1114" s="14">
        <f>IFERROR(__xludf.DUMMYFUNCTION("""COMPUTED_VALUE"""),2.23)</f>
        <v>2.23</v>
      </c>
      <c r="AU1114" s="14">
        <f>IFERROR(__xludf.DUMMYFUNCTION("""COMPUTED_VALUE"""),1.497E8)</f>
        <v>149700000</v>
      </c>
      <c r="AV1114" s="14">
        <f>IFERROR(__xludf.DUMMYFUNCTION("""COMPUTED_VALUE"""),2.93)</f>
        <v>2.93</v>
      </c>
      <c r="AW1114" s="14">
        <f>IFERROR(__xludf.DUMMYFUNCTION("""COMPUTED_VALUE"""),28.6)</f>
        <v>28.6</v>
      </c>
      <c r="AX1114" s="14">
        <f>IFERROR(__xludf.DUMMYFUNCTION("""COMPUTED_VALUE"""),1.467E8)</f>
        <v>146700000</v>
      </c>
      <c r="AY1114" s="14">
        <f>IFERROR(__xludf.DUMMYFUNCTION("""COMPUTED_VALUE"""),0.5)</f>
        <v>0.5</v>
      </c>
      <c r="AZ1114" s="14">
        <f>IFERROR(__xludf.DUMMYFUNCTION("""COMPUTED_VALUE"""),0.007)</f>
        <v>0.007</v>
      </c>
      <c r="BA1114" s="14">
        <f t="shared" si="1"/>
        <v>29.107</v>
      </c>
    </row>
    <row r="1115" ht="14.25" customHeight="1">
      <c r="A1115" s="10" t="str">
        <f>IFERROR(__xludf.DUMMYFUNCTION("""COMPUTED_VALUE"""),"270824HA01")</f>
        <v>270824HA01</v>
      </c>
      <c r="B1115" s="12" t="str">
        <f>IFERROR(__xludf.DUMMYFUNCTION("""COMPUTED_VALUE"""),"COR-Victoria Norte")</f>
        <v>COR-Victoria Norte</v>
      </c>
      <c r="C1115" s="12"/>
      <c r="D1115" s="12"/>
      <c r="E1115" s="44">
        <f>IFERROR(__xludf.DUMMYFUNCTION("""COMPUTED_VALUE"""),45531.0)</f>
        <v>45531</v>
      </c>
      <c r="F1115" s="12" t="str">
        <f>IFERROR(__xludf.DUMMYFUNCTION("""COMPUTED_VALUE"""),"TIPO I")</f>
        <v>TIPO I</v>
      </c>
      <c r="G1115" s="12" t="str">
        <f>IFERROR(__xludf.DUMMYFUNCTION("""COMPUTED_VALUE"""),"Durante el monitoreo se observa color, se percibe olor. Se observa residuos sólidos en las márgenes del cuerpo de agua. Se observa un vertimiento 8,00m aguas arriba del punto de monitoreo. 
Altitud: 2570 msnm")</f>
        <v>Durante el monitoreo se observa color, se percibe olor. Se observa residuos sólidos en las márgenes del cuerpo de agua. Se observa un vertimiento 8,00m aguas arriba del punto de monitoreo. 
Altitud: 2570 msnm</v>
      </c>
      <c r="H1115" s="45">
        <f>IFERROR(__xludf.DUMMYFUNCTION("""COMPUTED_VALUE"""),0.3333333333321207)</f>
        <v>0.3333333333</v>
      </c>
      <c r="I1115" s="45">
        <f>IFERROR(__xludf.DUMMYFUNCTION("""COMPUTED_VALUE"""),0.4166666666678793)</f>
        <v>0.4166666667</v>
      </c>
      <c r="J1115" s="12">
        <f>IFERROR(__xludf.DUMMYFUNCTION("""COMPUTED_VALUE"""),3.6)</f>
        <v>3.6</v>
      </c>
      <c r="K1115" s="12">
        <f>IFERROR(__xludf.DUMMYFUNCTION("""COMPUTED_VALUE"""),0.11)</f>
        <v>0.11</v>
      </c>
      <c r="L1115" s="14">
        <f>IFERROR(__xludf.DUMMYFUNCTION("""COMPUTED_VALUE"""),36.61)</f>
        <v>36.61</v>
      </c>
      <c r="M1115" s="14">
        <f>IFERROR(__xludf.DUMMYFUNCTION("""COMPUTED_VALUE"""),36.185)</f>
        <v>36.185</v>
      </c>
      <c r="N1115" s="14">
        <f>IFERROR(__xludf.DUMMYFUNCTION("""COMPUTED_VALUE"""),38.412)</f>
        <v>38.412</v>
      </c>
      <c r="O1115" s="14">
        <f>IFERROR(__xludf.DUMMYFUNCTION("""COMPUTED_VALUE"""),36.999)</f>
        <v>36.999</v>
      </c>
      <c r="P1115" s="14">
        <f>IFERROR(__xludf.DUMMYFUNCTION("""COMPUTED_VALUE"""),35.402)</f>
        <v>35.402</v>
      </c>
      <c r="Q1115" s="14">
        <f>IFERROR(__xludf.DUMMYFUNCTION("""COMPUTED_VALUE"""),36.722)</f>
        <v>36.722</v>
      </c>
      <c r="R1115" s="48">
        <f>IFERROR(__xludf.DUMMYFUNCTION("""COMPUTED_VALUE"""),6.9)</f>
        <v>6.9</v>
      </c>
      <c r="S1115" s="48">
        <f>IFERROR(__xludf.DUMMYFUNCTION("""COMPUTED_VALUE"""),6.93)</f>
        <v>6.93</v>
      </c>
      <c r="T1115" s="48">
        <f>IFERROR(__xludf.DUMMYFUNCTION("""COMPUTED_VALUE"""),6.98)</f>
        <v>6.98</v>
      </c>
      <c r="U1115" s="48">
        <f>IFERROR(__xludf.DUMMYFUNCTION("""COMPUTED_VALUE"""),7.1)</f>
        <v>7.1</v>
      </c>
      <c r="V1115" s="48">
        <f>IFERROR(__xludf.DUMMYFUNCTION("""COMPUTED_VALUE"""),7.22)</f>
        <v>7.22</v>
      </c>
      <c r="W1115" s="14">
        <f>IFERROR(__xludf.DUMMYFUNCTION("""COMPUTED_VALUE"""),7.026000000000001)</f>
        <v>7.026</v>
      </c>
      <c r="X1115" s="14">
        <f>IFERROR(__xludf.DUMMYFUNCTION("""COMPUTED_VALUE"""),15.9)</f>
        <v>15.9</v>
      </c>
      <c r="Y1115" s="14">
        <f>IFERROR(__xludf.DUMMYFUNCTION("""COMPUTED_VALUE"""),15.8)</f>
        <v>15.8</v>
      </c>
      <c r="Z1115" s="14">
        <f>IFERROR(__xludf.DUMMYFUNCTION("""COMPUTED_VALUE"""),16.4)</f>
        <v>16.4</v>
      </c>
      <c r="AA1115" s="14">
        <f>IFERROR(__xludf.DUMMYFUNCTION("""COMPUTED_VALUE"""),17.2)</f>
        <v>17.2</v>
      </c>
      <c r="AB1115" s="14">
        <f>IFERROR(__xludf.DUMMYFUNCTION("""COMPUTED_VALUE"""),18.0)</f>
        <v>18</v>
      </c>
      <c r="AC1115" s="14">
        <f>IFERROR(__xludf.DUMMYFUNCTION("""COMPUTED_VALUE"""),16.66)</f>
        <v>16.66</v>
      </c>
      <c r="AD1115" s="48">
        <f>IFERROR(__xludf.DUMMYFUNCTION("""COMPUTED_VALUE"""),458.0)</f>
        <v>458</v>
      </c>
      <c r="AE1115" s="48">
        <f>IFERROR(__xludf.DUMMYFUNCTION("""COMPUTED_VALUE"""),471.0)</f>
        <v>471</v>
      </c>
      <c r="AF1115" s="48">
        <f>IFERROR(__xludf.DUMMYFUNCTION("""COMPUTED_VALUE"""),445.0)</f>
        <v>445</v>
      </c>
      <c r="AG1115" s="48">
        <f>IFERROR(__xludf.DUMMYFUNCTION("""COMPUTED_VALUE"""),492.0)</f>
        <v>492</v>
      </c>
      <c r="AH1115" s="48">
        <f>IFERROR(__xludf.DUMMYFUNCTION("""COMPUTED_VALUE"""),515.0)</f>
        <v>515</v>
      </c>
      <c r="AI1115" s="14">
        <f>IFERROR(__xludf.DUMMYFUNCTION("""COMPUTED_VALUE"""),476.2)</f>
        <v>476.2</v>
      </c>
      <c r="AJ1115" s="14">
        <f>IFERROR(__xludf.DUMMYFUNCTION("""COMPUTED_VALUE"""),1.61)</f>
        <v>1.61</v>
      </c>
      <c r="AK1115" s="14">
        <f>IFERROR(__xludf.DUMMYFUNCTION("""COMPUTED_VALUE"""),1.66)</f>
        <v>1.66</v>
      </c>
      <c r="AL1115" s="14">
        <f>IFERROR(__xludf.DUMMYFUNCTION("""COMPUTED_VALUE"""),1.87)</f>
        <v>1.87</v>
      </c>
      <c r="AM1115" s="14">
        <f>IFERROR(__xludf.DUMMYFUNCTION("""COMPUTED_VALUE"""),2.15)</f>
        <v>2.15</v>
      </c>
      <c r="AN1115" s="14">
        <f>IFERROR(__xludf.DUMMYFUNCTION("""COMPUTED_VALUE"""),2.51)</f>
        <v>2.51</v>
      </c>
      <c r="AO1115" s="14">
        <f>IFERROR(__xludf.DUMMYFUNCTION("""COMPUTED_VALUE"""),1.9600000000000002)</f>
        <v>1.96</v>
      </c>
      <c r="AP1115" s="14">
        <f>IFERROR(__xludf.DUMMYFUNCTION("""COMPUTED_VALUE"""),16.0)</f>
        <v>16</v>
      </c>
      <c r="AQ1115" s="14">
        <f>IFERROR(__xludf.DUMMYFUNCTION("""COMPUTED_VALUE"""),46.0)</f>
        <v>46</v>
      </c>
      <c r="AR1115" s="14">
        <f>IFERROR(__xludf.DUMMYFUNCTION("""COMPUTED_VALUE"""),19.0)</f>
        <v>19</v>
      </c>
      <c r="AS1115" s="14">
        <f>IFERROR(__xludf.DUMMYFUNCTION("""COMPUTED_VALUE"""),7.6)</f>
        <v>7.6</v>
      </c>
      <c r="AT1115" s="14">
        <f>IFERROR(__xludf.DUMMYFUNCTION("""COMPUTED_VALUE"""),1.95)</f>
        <v>1.95</v>
      </c>
      <c r="AU1115" s="14">
        <f>IFERROR(__xludf.DUMMYFUNCTION("""COMPUTED_VALUE"""),1.723E8)</f>
        <v>172300000</v>
      </c>
      <c r="AV1115" s="14">
        <f>IFERROR(__xludf.DUMMYFUNCTION("""COMPUTED_VALUE"""),1.5)</f>
        <v>1.5</v>
      </c>
      <c r="AW1115" s="14">
        <f>IFERROR(__xludf.DUMMYFUNCTION("""COMPUTED_VALUE"""),19.0)</f>
        <v>19</v>
      </c>
      <c r="AX1115" s="14">
        <f>IFERROR(__xludf.DUMMYFUNCTION("""COMPUTED_VALUE"""),1.483E8)</f>
        <v>148300000</v>
      </c>
      <c r="AY1115" s="14">
        <f>IFERROR(__xludf.DUMMYFUNCTION("""COMPUTED_VALUE"""),0.4)</f>
        <v>0.4</v>
      </c>
      <c r="AZ1115" s="14">
        <f>IFERROR(__xludf.DUMMYFUNCTION("""COMPUTED_VALUE"""),0.007)</f>
        <v>0.007</v>
      </c>
      <c r="BA1115" s="14">
        <f t="shared" si="1"/>
        <v>19.407</v>
      </c>
    </row>
    <row r="1116" ht="14.25" customHeight="1">
      <c r="A1116" s="10" t="str">
        <f>IFERROR(__xludf.DUMMYFUNCTION("""COMPUTED_VALUE"""),"270824HA02")</f>
        <v>270824HA02</v>
      </c>
      <c r="B1116" s="12" t="str">
        <f>IFERROR(__xludf.DUMMYFUNCTION("""COMPUTED_VALUE"""),"COR-Britalia")</f>
        <v>COR-Britalia</v>
      </c>
      <c r="C1116" s="12"/>
      <c r="D1116" s="12"/>
      <c r="E1116" s="44">
        <f>IFERROR(__xludf.DUMMYFUNCTION("""COMPUTED_VALUE"""),45531.0)</f>
        <v>45531</v>
      </c>
      <c r="F1116" s="12" t="str">
        <f>IFERROR(__xludf.DUMMYFUNCTION("""COMPUTED_VALUE"""),"TIPO I")</f>
        <v>TIPO I</v>
      </c>
      <c r="G1116" s="12" t="str">
        <f>IFERROR(__xludf.DUMMYFUNCTION("""COMPUTED_VALUE"""),"Toma de muestra en canal en concreto con presencia de sedimento, durante el desarrollo del monitoreo se percibe olor, se observa color y residuos sólidos en el canal. 
Altitud: 2580 msnm")</f>
        <v>Toma de muestra en canal en concreto con presencia de sedimento, durante el desarrollo del monitoreo se percibe olor, se observa color y residuos sólidos en el canal. 
Altitud: 2580 msnm</v>
      </c>
      <c r="H1116" s="45">
        <f>IFERROR(__xludf.DUMMYFUNCTION("""COMPUTED_VALUE"""),0.5)</f>
        <v>0.5</v>
      </c>
      <c r="I1116" s="45">
        <f>IFERROR(__xludf.DUMMYFUNCTION("""COMPUTED_VALUE"""),0.5833333333321207)</f>
        <v>0.5833333333</v>
      </c>
      <c r="J1116" s="12">
        <f>IFERROR(__xludf.DUMMYFUNCTION("""COMPUTED_VALUE"""),2.9)</f>
        <v>2.9</v>
      </c>
      <c r="K1116" s="12">
        <f>IFERROR(__xludf.DUMMYFUNCTION("""COMPUTED_VALUE"""),0.07)</f>
        <v>0.07</v>
      </c>
      <c r="L1116" s="14">
        <f>IFERROR(__xludf.DUMMYFUNCTION("""COMPUTED_VALUE"""),6.024)</f>
        <v>6.024</v>
      </c>
      <c r="M1116" s="14">
        <f>IFERROR(__xludf.DUMMYFUNCTION("""COMPUTED_VALUE"""),6.151)</f>
        <v>6.151</v>
      </c>
      <c r="N1116" s="14">
        <f>IFERROR(__xludf.DUMMYFUNCTION("""COMPUTED_VALUE"""),6.412)</f>
        <v>6.412</v>
      </c>
      <c r="O1116" s="14">
        <f>IFERROR(__xludf.DUMMYFUNCTION("""COMPUTED_VALUE"""),6.051)</f>
        <v>6.051</v>
      </c>
      <c r="P1116" s="14">
        <f>IFERROR(__xludf.DUMMYFUNCTION("""COMPUTED_VALUE"""),6.143)</f>
        <v>6.143</v>
      </c>
      <c r="Q1116" s="14">
        <f>IFERROR(__xludf.DUMMYFUNCTION("""COMPUTED_VALUE"""),6.157)</f>
        <v>6.157</v>
      </c>
      <c r="R1116" s="48">
        <f>IFERROR(__xludf.DUMMYFUNCTION("""COMPUTED_VALUE"""),6.81)</f>
        <v>6.81</v>
      </c>
      <c r="S1116" s="48">
        <f>IFERROR(__xludf.DUMMYFUNCTION("""COMPUTED_VALUE"""),6.84)</f>
        <v>6.84</v>
      </c>
      <c r="T1116" s="48">
        <f>IFERROR(__xludf.DUMMYFUNCTION("""COMPUTED_VALUE"""),7.02)</f>
        <v>7.02</v>
      </c>
      <c r="U1116" s="48">
        <f>IFERROR(__xludf.DUMMYFUNCTION("""COMPUTED_VALUE"""),6.95)</f>
        <v>6.95</v>
      </c>
      <c r="V1116" s="48">
        <f>IFERROR(__xludf.DUMMYFUNCTION("""COMPUTED_VALUE"""),6.95)</f>
        <v>6.95</v>
      </c>
      <c r="W1116" s="14">
        <f>IFERROR(__xludf.DUMMYFUNCTION("""COMPUTED_VALUE"""),6.914)</f>
        <v>6.914</v>
      </c>
      <c r="X1116" s="14">
        <f>IFERROR(__xludf.DUMMYFUNCTION("""COMPUTED_VALUE"""),20.4)</f>
        <v>20.4</v>
      </c>
      <c r="Y1116" s="14">
        <f>IFERROR(__xludf.DUMMYFUNCTION("""COMPUTED_VALUE"""),19.0)</f>
        <v>19</v>
      </c>
      <c r="Z1116" s="14">
        <f>IFERROR(__xludf.DUMMYFUNCTION("""COMPUTED_VALUE"""),19.4)</f>
        <v>19.4</v>
      </c>
      <c r="AA1116" s="14">
        <f>IFERROR(__xludf.DUMMYFUNCTION("""COMPUTED_VALUE"""),19.5)</f>
        <v>19.5</v>
      </c>
      <c r="AB1116" s="14">
        <f>IFERROR(__xludf.DUMMYFUNCTION("""COMPUTED_VALUE"""),20.6)</f>
        <v>20.6</v>
      </c>
      <c r="AC1116" s="14">
        <f>IFERROR(__xludf.DUMMYFUNCTION("""COMPUTED_VALUE"""),19.78)</f>
        <v>19.78</v>
      </c>
      <c r="AD1116" s="48">
        <f>IFERROR(__xludf.DUMMYFUNCTION("""COMPUTED_VALUE"""),445.0)</f>
        <v>445</v>
      </c>
      <c r="AE1116" s="48">
        <f>IFERROR(__xludf.DUMMYFUNCTION("""COMPUTED_VALUE"""),409.0)</f>
        <v>409</v>
      </c>
      <c r="AF1116" s="48">
        <f>IFERROR(__xludf.DUMMYFUNCTION("""COMPUTED_VALUE"""),432.0)</f>
        <v>432</v>
      </c>
      <c r="AG1116" s="48">
        <f>IFERROR(__xludf.DUMMYFUNCTION("""COMPUTED_VALUE"""),439.0)</f>
        <v>439</v>
      </c>
      <c r="AH1116" s="48">
        <f>IFERROR(__xludf.DUMMYFUNCTION("""COMPUTED_VALUE"""),463.0)</f>
        <v>463</v>
      </c>
      <c r="AI1116" s="14">
        <f>IFERROR(__xludf.DUMMYFUNCTION("""COMPUTED_VALUE"""),437.6)</f>
        <v>437.6</v>
      </c>
      <c r="AJ1116" s="14">
        <f>IFERROR(__xludf.DUMMYFUNCTION("""COMPUTED_VALUE"""),1.07)</f>
        <v>1.07</v>
      </c>
      <c r="AK1116" s="14">
        <f>IFERROR(__xludf.DUMMYFUNCTION("""COMPUTED_VALUE"""),0.97)</f>
        <v>0.97</v>
      </c>
      <c r="AL1116" s="14">
        <f>IFERROR(__xludf.DUMMYFUNCTION("""COMPUTED_VALUE"""),1.28)</f>
        <v>1.28</v>
      </c>
      <c r="AM1116" s="14">
        <f>IFERROR(__xludf.DUMMYFUNCTION("""COMPUTED_VALUE"""),0.89)</f>
        <v>0.89</v>
      </c>
      <c r="AN1116" s="14">
        <f>IFERROR(__xludf.DUMMYFUNCTION("""COMPUTED_VALUE"""),0.88)</f>
        <v>0.88</v>
      </c>
      <c r="AO1116" s="14">
        <f>IFERROR(__xludf.DUMMYFUNCTION("""COMPUTED_VALUE"""),1.018)</f>
        <v>1.018</v>
      </c>
      <c r="AP1116" s="14">
        <f>IFERROR(__xludf.DUMMYFUNCTION("""COMPUTED_VALUE"""),22.0)</f>
        <v>22</v>
      </c>
      <c r="AQ1116" s="14">
        <f>IFERROR(__xludf.DUMMYFUNCTION("""COMPUTED_VALUE"""),41.0)</f>
        <v>41</v>
      </c>
      <c r="AR1116" s="14">
        <f>IFERROR(__xludf.DUMMYFUNCTION("""COMPUTED_VALUE"""),21.0)</f>
        <v>21</v>
      </c>
      <c r="AS1116" s="14">
        <f>IFERROR(__xludf.DUMMYFUNCTION("""COMPUTED_VALUE"""),9.0)</f>
        <v>9</v>
      </c>
      <c r="AT1116" s="14">
        <f>IFERROR(__xludf.DUMMYFUNCTION("""COMPUTED_VALUE"""),2.86)</f>
        <v>2.86</v>
      </c>
      <c r="AU1116" s="14">
        <f>IFERROR(__xludf.DUMMYFUNCTION("""COMPUTED_VALUE"""),1.631E8)</f>
        <v>163100000</v>
      </c>
      <c r="AV1116" s="14">
        <f>IFERROR(__xludf.DUMMYFUNCTION("""COMPUTED_VALUE"""),1.07)</f>
        <v>1.07</v>
      </c>
      <c r="AW1116" s="14">
        <f>IFERROR(__xludf.DUMMYFUNCTION("""COMPUTED_VALUE"""),20.7)</f>
        <v>20.7</v>
      </c>
      <c r="AX1116" s="14">
        <f>IFERROR(__xludf.DUMMYFUNCTION("""COMPUTED_VALUE"""),1.5E8)</f>
        <v>150000000</v>
      </c>
      <c r="AY1116" s="14">
        <f>IFERROR(__xludf.DUMMYFUNCTION("""COMPUTED_VALUE"""),0.4)</f>
        <v>0.4</v>
      </c>
      <c r="AZ1116" s="14">
        <f>IFERROR(__xludf.DUMMYFUNCTION("""COMPUTED_VALUE"""),0.007)</f>
        <v>0.007</v>
      </c>
      <c r="BA1116" s="14">
        <f t="shared" si="1"/>
        <v>21.107</v>
      </c>
    </row>
    <row r="1117" ht="14.25" customHeight="1">
      <c r="A1117" s="10" t="str">
        <f>IFERROR(__xludf.DUMMYFUNCTION("""COMPUTED_VALUE"""),"270824DU02")</f>
        <v>270824DU02</v>
      </c>
      <c r="B1117" s="12" t="str">
        <f>IFERROR(__xludf.DUMMYFUNCTION("""COMPUTED_VALUE"""),"CON-Callejas")</f>
        <v>CON-Callejas</v>
      </c>
      <c r="C1117" s="12"/>
      <c r="D1117" s="12"/>
      <c r="E1117" s="44">
        <f>IFERROR(__xludf.DUMMYFUNCTION("""COMPUTED_VALUE"""),45531.0)</f>
        <v>45531</v>
      </c>
      <c r="F1117" s="12" t="str">
        <f>IFERROR(__xludf.DUMMYFUNCTION("""COMPUTED_VALUE"""),"TIPO I")</f>
        <v>TIPO I</v>
      </c>
      <c r="G1117" s="12" t="str">
        <f>IFERROR(__xludf.DUMMYFUNCTION("""COMPUTED_VALUE"""),"Toma de muestra en canal en concreto rocoso-arenoso, durante el desarrollo del monitoreo se observa color y se percibe olor. 
Altitud. 2560msnm")</f>
        <v>Toma de muestra en canal en concreto rocoso-arenoso, durante el desarrollo del monitoreo se observa color y se percibe olor. 
Altitud. 2560msnm</v>
      </c>
      <c r="H1117" s="45">
        <f>IFERROR(__xludf.DUMMYFUNCTION("""COMPUTED_VALUE"""),0.375)</f>
        <v>0.375</v>
      </c>
      <c r="I1117" s="45">
        <f>IFERROR(__xludf.DUMMYFUNCTION("""COMPUTED_VALUE"""),0.4583333333321207)</f>
        <v>0.4583333333</v>
      </c>
      <c r="J1117" s="12">
        <f>IFERROR(__xludf.DUMMYFUNCTION("""COMPUTED_VALUE"""),2.8)</f>
        <v>2.8</v>
      </c>
      <c r="K1117" s="12">
        <f>IFERROR(__xludf.DUMMYFUNCTION("""COMPUTED_VALUE"""),0.08)</f>
        <v>0.08</v>
      </c>
      <c r="L1117" s="14">
        <f>IFERROR(__xludf.DUMMYFUNCTION("""COMPUTED_VALUE"""),19.647)</f>
        <v>19.647</v>
      </c>
      <c r="M1117" s="14">
        <f>IFERROR(__xludf.DUMMYFUNCTION("""COMPUTED_VALUE"""),18.887)</f>
        <v>18.887</v>
      </c>
      <c r="N1117" s="14">
        <f>IFERROR(__xludf.DUMMYFUNCTION("""COMPUTED_VALUE"""),19.264)</f>
        <v>19.264</v>
      </c>
      <c r="O1117" s="14">
        <f>IFERROR(__xludf.DUMMYFUNCTION("""COMPUTED_VALUE"""),19.558)</f>
        <v>19.558</v>
      </c>
      <c r="P1117" s="14">
        <f>IFERROR(__xludf.DUMMYFUNCTION("""COMPUTED_VALUE"""),19.86)</f>
        <v>19.86</v>
      </c>
      <c r="Q1117" s="14">
        <f>IFERROR(__xludf.DUMMYFUNCTION("""COMPUTED_VALUE"""),19.443)</f>
        <v>19.443</v>
      </c>
      <c r="R1117" s="48">
        <f>IFERROR(__xludf.DUMMYFUNCTION("""COMPUTED_VALUE"""),8.65)</f>
        <v>8.65</v>
      </c>
      <c r="S1117" s="48">
        <f>IFERROR(__xludf.DUMMYFUNCTION("""COMPUTED_VALUE"""),8.5)</f>
        <v>8.5</v>
      </c>
      <c r="T1117" s="48">
        <f>IFERROR(__xludf.DUMMYFUNCTION("""COMPUTED_VALUE"""),8.21)</f>
        <v>8.21</v>
      </c>
      <c r="U1117" s="48">
        <f>IFERROR(__xludf.DUMMYFUNCTION("""COMPUTED_VALUE"""),8.65)</f>
        <v>8.65</v>
      </c>
      <c r="V1117" s="48">
        <f>IFERROR(__xludf.DUMMYFUNCTION("""COMPUTED_VALUE"""),8.44)</f>
        <v>8.44</v>
      </c>
      <c r="W1117" s="14">
        <f>IFERROR(__xludf.DUMMYFUNCTION("""COMPUTED_VALUE"""),8.489999999999998)</f>
        <v>8.49</v>
      </c>
      <c r="X1117" s="14">
        <f>IFERROR(__xludf.DUMMYFUNCTION("""COMPUTED_VALUE"""),16.5)</f>
        <v>16.5</v>
      </c>
      <c r="Y1117" s="14">
        <f>IFERROR(__xludf.DUMMYFUNCTION("""COMPUTED_VALUE"""),16.6)</f>
        <v>16.6</v>
      </c>
      <c r="Z1117" s="14">
        <f>IFERROR(__xludf.DUMMYFUNCTION("""COMPUTED_VALUE"""),16.9)</f>
        <v>16.9</v>
      </c>
      <c r="AA1117" s="14">
        <f>IFERROR(__xludf.DUMMYFUNCTION("""COMPUTED_VALUE"""),16.8)</f>
        <v>16.8</v>
      </c>
      <c r="AB1117" s="14">
        <f>IFERROR(__xludf.DUMMYFUNCTION("""COMPUTED_VALUE"""),17.0)</f>
        <v>17</v>
      </c>
      <c r="AC1117" s="14">
        <f>IFERROR(__xludf.DUMMYFUNCTION("""COMPUTED_VALUE"""),16.759999999999998)</f>
        <v>16.76</v>
      </c>
      <c r="AD1117" s="48">
        <f>IFERROR(__xludf.DUMMYFUNCTION("""COMPUTED_VALUE"""),570.0)</f>
        <v>570</v>
      </c>
      <c r="AE1117" s="48">
        <f>IFERROR(__xludf.DUMMYFUNCTION("""COMPUTED_VALUE"""),560.0)</f>
        <v>560</v>
      </c>
      <c r="AF1117" s="48">
        <f>IFERROR(__xludf.DUMMYFUNCTION("""COMPUTED_VALUE"""),567.0)</f>
        <v>567</v>
      </c>
      <c r="AG1117" s="48">
        <f>IFERROR(__xludf.DUMMYFUNCTION("""COMPUTED_VALUE"""),622.0)</f>
        <v>622</v>
      </c>
      <c r="AH1117" s="48">
        <f>IFERROR(__xludf.DUMMYFUNCTION("""COMPUTED_VALUE"""),617.0)</f>
        <v>617</v>
      </c>
      <c r="AI1117" s="14">
        <f>IFERROR(__xludf.DUMMYFUNCTION("""COMPUTED_VALUE"""),587.2)</f>
        <v>587.2</v>
      </c>
      <c r="AJ1117" s="14">
        <f>IFERROR(__xludf.DUMMYFUNCTION("""COMPUTED_VALUE"""),5.63)</f>
        <v>5.63</v>
      </c>
      <c r="AK1117" s="14">
        <f>IFERROR(__xludf.DUMMYFUNCTION("""COMPUTED_VALUE"""),5.12)</f>
        <v>5.12</v>
      </c>
      <c r="AL1117" s="14">
        <f>IFERROR(__xludf.DUMMYFUNCTION("""COMPUTED_VALUE"""),4.95)</f>
        <v>4.95</v>
      </c>
      <c r="AM1117" s="14">
        <f>IFERROR(__xludf.DUMMYFUNCTION("""COMPUTED_VALUE"""),5.46)</f>
        <v>5.46</v>
      </c>
      <c r="AN1117" s="14">
        <f>IFERROR(__xludf.DUMMYFUNCTION("""COMPUTED_VALUE"""),5.71)</f>
        <v>5.71</v>
      </c>
      <c r="AO1117" s="14">
        <f>IFERROR(__xludf.DUMMYFUNCTION("""COMPUTED_VALUE"""),5.3740000000000006)</f>
        <v>5.374</v>
      </c>
      <c r="AP1117" s="14">
        <f>IFERROR(__xludf.DUMMYFUNCTION("""COMPUTED_VALUE"""),92.0)</f>
        <v>92</v>
      </c>
      <c r="AQ1117" s="14">
        <f>IFERROR(__xludf.DUMMYFUNCTION("""COMPUTED_VALUE"""),116.0)</f>
        <v>116</v>
      </c>
      <c r="AR1117" s="14">
        <f>IFERROR(__xludf.DUMMYFUNCTION("""COMPUTED_VALUE"""),38.0)</f>
        <v>38</v>
      </c>
      <c r="AS1117" s="14">
        <f>IFERROR(__xludf.DUMMYFUNCTION("""COMPUTED_VALUE"""),4.7)</f>
        <v>4.7</v>
      </c>
      <c r="AT1117" s="14">
        <f>IFERROR(__xludf.DUMMYFUNCTION("""COMPUTED_VALUE"""),2.13)</f>
        <v>2.13</v>
      </c>
      <c r="AU1117" s="14">
        <f>IFERROR(__xludf.DUMMYFUNCTION("""COMPUTED_VALUE"""),1.414E8)</f>
        <v>141400000</v>
      </c>
      <c r="AV1117" s="14">
        <f>IFERROR(__xludf.DUMMYFUNCTION("""COMPUTED_VALUE"""),4.07)</f>
        <v>4.07</v>
      </c>
      <c r="AW1117" s="14">
        <f>IFERROR(__xludf.DUMMYFUNCTION("""COMPUTED_VALUE"""),41.4)</f>
        <v>41.4</v>
      </c>
      <c r="AX1117" s="14">
        <f>IFERROR(__xludf.DUMMYFUNCTION("""COMPUTED_VALUE"""),1.32E8)</f>
        <v>132000000</v>
      </c>
      <c r="AY1117" s="14">
        <f>IFERROR(__xludf.DUMMYFUNCTION("""COMPUTED_VALUE"""),0.4)</f>
        <v>0.4</v>
      </c>
      <c r="AZ1117" s="14">
        <f>IFERROR(__xludf.DUMMYFUNCTION("""COMPUTED_VALUE"""),0.007)</f>
        <v>0.007</v>
      </c>
      <c r="BA1117" s="14">
        <f t="shared" si="1"/>
        <v>41.807</v>
      </c>
    </row>
    <row r="1118" ht="14.25" customHeight="1">
      <c r="A1118" s="10" t="str">
        <f>IFERROR(__xludf.DUMMYFUNCTION("""COMPUTED_VALUE"""),"270824HA03")</f>
        <v>270824HA03</v>
      </c>
      <c r="B1118" s="12" t="str">
        <f>IFERROR(__xludf.DUMMYFUNCTION("""COMPUTED_VALUE"""),"CON-Camino del Contador")</f>
        <v>CON-Camino del Contador</v>
      </c>
      <c r="C1118" s="12"/>
      <c r="D1118" s="12"/>
      <c r="E1118" s="44">
        <f>IFERROR(__xludf.DUMMYFUNCTION("""COMPUTED_VALUE"""),45531.0)</f>
        <v>45531</v>
      </c>
      <c r="F1118" s="12" t="str">
        <f>IFERROR(__xludf.DUMMYFUNCTION("""COMPUTED_VALUE"""),"TIPO I")</f>
        <v>TIPO I</v>
      </c>
      <c r="G1118" s="12" t="str">
        <f>IFERROR(__xludf.DUMMYFUNCTION("""COMPUTED_VALUE"""),"Durante el desarrollo del monitoreo se observa color, se percibe olor y se observan residuos solidos en el cuerpo de agua como en sus márgenes.  
Altitud. 2578 msnm")</f>
        <v>Durante el desarrollo del monitoreo se observa color, se percibe olor y se observan residuos solidos en el cuerpo de agua como en sus márgenes.  
Altitud. 2578 msnm</v>
      </c>
      <c r="H1118" s="45">
        <f>IFERROR(__xludf.DUMMYFUNCTION("""COMPUTED_VALUE"""),0.6666666666678793)</f>
        <v>0.6666666667</v>
      </c>
      <c r="I1118" s="45">
        <f>IFERROR(__xludf.DUMMYFUNCTION("""COMPUTED_VALUE"""),0.75)</f>
        <v>0.75</v>
      </c>
      <c r="J1118" s="12">
        <f>IFERROR(__xludf.DUMMYFUNCTION("""COMPUTED_VALUE"""),3.5)</f>
        <v>3.5</v>
      </c>
      <c r="K1118" s="12">
        <f>IFERROR(__xludf.DUMMYFUNCTION("""COMPUTED_VALUE"""),0.08)</f>
        <v>0.08</v>
      </c>
      <c r="L1118" s="14">
        <f>IFERROR(__xludf.DUMMYFUNCTION("""COMPUTED_VALUE"""),30.306)</f>
        <v>30.306</v>
      </c>
      <c r="M1118" s="14">
        <f>IFERROR(__xludf.DUMMYFUNCTION("""COMPUTED_VALUE"""),31.438)</f>
        <v>31.438</v>
      </c>
      <c r="N1118" s="14">
        <f>IFERROR(__xludf.DUMMYFUNCTION("""COMPUTED_VALUE"""),31.806)</f>
        <v>31.806</v>
      </c>
      <c r="O1118" s="14">
        <f>IFERROR(__xludf.DUMMYFUNCTION("""COMPUTED_VALUE"""),36.839)</f>
        <v>36.839</v>
      </c>
      <c r="P1118" s="14">
        <f>IFERROR(__xludf.DUMMYFUNCTION("""COMPUTED_VALUE"""),34.981)</f>
        <v>34.981</v>
      </c>
      <c r="Q1118" s="14">
        <f>IFERROR(__xludf.DUMMYFUNCTION("""COMPUTED_VALUE"""),33.074)</f>
        <v>33.074</v>
      </c>
      <c r="R1118" s="48">
        <f>IFERROR(__xludf.DUMMYFUNCTION("""COMPUTED_VALUE"""),8.07)</f>
        <v>8.07</v>
      </c>
      <c r="S1118" s="48">
        <f>IFERROR(__xludf.DUMMYFUNCTION("""COMPUTED_VALUE"""),8.09)</f>
        <v>8.09</v>
      </c>
      <c r="T1118" s="48">
        <f>IFERROR(__xludf.DUMMYFUNCTION("""COMPUTED_VALUE"""),8.06)</f>
        <v>8.06</v>
      </c>
      <c r="U1118" s="48">
        <f>IFERROR(__xludf.DUMMYFUNCTION("""COMPUTED_VALUE"""),7.9)</f>
        <v>7.9</v>
      </c>
      <c r="V1118" s="48">
        <f>IFERROR(__xludf.DUMMYFUNCTION("""COMPUTED_VALUE"""),7.88)</f>
        <v>7.88</v>
      </c>
      <c r="W1118" s="14">
        <f>IFERROR(__xludf.DUMMYFUNCTION("""COMPUTED_VALUE"""),8.0)</f>
        <v>8</v>
      </c>
      <c r="X1118" s="14">
        <f>IFERROR(__xludf.DUMMYFUNCTION("""COMPUTED_VALUE"""),18.7)</f>
        <v>18.7</v>
      </c>
      <c r="Y1118" s="14">
        <f>IFERROR(__xludf.DUMMYFUNCTION("""COMPUTED_VALUE"""),18.5)</f>
        <v>18.5</v>
      </c>
      <c r="Z1118" s="14">
        <f>IFERROR(__xludf.DUMMYFUNCTION("""COMPUTED_VALUE"""),18.3)</f>
        <v>18.3</v>
      </c>
      <c r="AA1118" s="14">
        <f>IFERROR(__xludf.DUMMYFUNCTION("""COMPUTED_VALUE"""),17.8)</f>
        <v>17.8</v>
      </c>
      <c r="AB1118" s="14">
        <f>IFERROR(__xludf.DUMMYFUNCTION("""COMPUTED_VALUE"""),17.7)</f>
        <v>17.7</v>
      </c>
      <c r="AC1118" s="14">
        <f>IFERROR(__xludf.DUMMYFUNCTION("""COMPUTED_VALUE"""),18.2)</f>
        <v>18.2</v>
      </c>
      <c r="AD1118" s="48">
        <f>IFERROR(__xludf.DUMMYFUNCTION("""COMPUTED_VALUE"""),685.0)</f>
        <v>685</v>
      </c>
      <c r="AE1118" s="48">
        <f>IFERROR(__xludf.DUMMYFUNCTION("""COMPUTED_VALUE"""),713.0)</f>
        <v>713</v>
      </c>
      <c r="AF1118" s="48">
        <f>IFERROR(__xludf.DUMMYFUNCTION("""COMPUTED_VALUE"""),753.0)</f>
        <v>753</v>
      </c>
      <c r="AG1118" s="48">
        <f>IFERROR(__xludf.DUMMYFUNCTION("""COMPUTED_VALUE"""),760.0)</f>
        <v>760</v>
      </c>
      <c r="AH1118" s="48">
        <f>IFERROR(__xludf.DUMMYFUNCTION("""COMPUTED_VALUE"""),744.0)</f>
        <v>744</v>
      </c>
      <c r="AI1118" s="14">
        <f>IFERROR(__xludf.DUMMYFUNCTION("""COMPUTED_VALUE"""),731.0)</f>
        <v>731</v>
      </c>
      <c r="AJ1118" s="14">
        <f>IFERROR(__xludf.DUMMYFUNCTION("""COMPUTED_VALUE"""),3.76)</f>
        <v>3.76</v>
      </c>
      <c r="AK1118" s="14">
        <f>IFERROR(__xludf.DUMMYFUNCTION("""COMPUTED_VALUE"""),2.81)</f>
        <v>2.81</v>
      </c>
      <c r="AL1118" s="14">
        <f>IFERROR(__xludf.DUMMYFUNCTION("""COMPUTED_VALUE"""),2.0)</f>
        <v>2</v>
      </c>
      <c r="AM1118" s="14">
        <f>IFERROR(__xludf.DUMMYFUNCTION("""COMPUTED_VALUE"""),1.49)</f>
        <v>1.49</v>
      </c>
      <c r="AN1118" s="14">
        <f>IFERROR(__xludf.DUMMYFUNCTION("""COMPUTED_VALUE"""),1.09)</f>
        <v>1.09</v>
      </c>
      <c r="AO1118" s="14">
        <f>IFERROR(__xludf.DUMMYFUNCTION("""COMPUTED_VALUE"""),2.23)</f>
        <v>2.23</v>
      </c>
      <c r="AP1118" s="14">
        <f>IFERROR(__xludf.DUMMYFUNCTION("""COMPUTED_VALUE"""),90.0)</f>
        <v>90</v>
      </c>
      <c r="AQ1118" s="14">
        <f>IFERROR(__xludf.DUMMYFUNCTION("""COMPUTED_VALUE"""),154.0)</f>
        <v>154</v>
      </c>
      <c r="AR1118" s="14">
        <f>IFERROR(__xludf.DUMMYFUNCTION("""COMPUTED_VALUE"""),39.0)</f>
        <v>39</v>
      </c>
      <c r="AS1118" s="14">
        <f>IFERROR(__xludf.DUMMYFUNCTION("""COMPUTED_VALUE"""),4.7)</f>
        <v>4.7</v>
      </c>
      <c r="AT1118" s="14">
        <f>IFERROR(__xludf.DUMMYFUNCTION("""COMPUTED_VALUE"""),2.55)</f>
        <v>2.55</v>
      </c>
      <c r="AU1118" s="14">
        <f>IFERROR(__xludf.DUMMYFUNCTION("""COMPUTED_VALUE"""),1.553E8)</f>
        <v>155300000</v>
      </c>
      <c r="AV1118" s="14">
        <f>IFERROR(__xludf.DUMMYFUNCTION("""COMPUTED_VALUE"""),3.66)</f>
        <v>3.66</v>
      </c>
      <c r="AW1118" s="14">
        <f>IFERROR(__xludf.DUMMYFUNCTION("""COMPUTED_VALUE"""),45.6)</f>
        <v>45.6</v>
      </c>
      <c r="AX1118" s="14">
        <f>IFERROR(__xludf.DUMMYFUNCTION("""COMPUTED_VALUE"""),1.309E8)</f>
        <v>130900000</v>
      </c>
      <c r="AY1118" s="14">
        <f>IFERROR(__xludf.DUMMYFUNCTION("""COMPUTED_VALUE"""),0.3)</f>
        <v>0.3</v>
      </c>
      <c r="AZ1118" s="14">
        <f>IFERROR(__xludf.DUMMYFUNCTION("""COMPUTED_VALUE"""),0.007)</f>
        <v>0.007</v>
      </c>
      <c r="BA1118" s="14">
        <f t="shared" si="1"/>
        <v>45.907</v>
      </c>
    </row>
    <row r="1119" ht="14.25" customHeight="1">
      <c r="A1119" s="10" t="str">
        <f>IFERROR(__xludf.DUMMYFUNCTION("""COMPUTED_VALUE"""),"280824DU03")</f>
        <v>280824DU03</v>
      </c>
      <c r="B1119" s="12" t="str">
        <f>IFERROR(__xludf.DUMMYFUNCTION("""COMPUTED_VALUE"""),"QLI-San Francisco")</f>
        <v>QLI-San Francisco</v>
      </c>
      <c r="C1119" s="12"/>
      <c r="D1119" s="12"/>
      <c r="E1119" s="44">
        <f>IFERROR(__xludf.DUMMYFUNCTION("""COMPUTED_VALUE"""),45532.0)</f>
        <v>45532</v>
      </c>
      <c r="F1119" s="12" t="str">
        <f>IFERROR(__xludf.DUMMYFUNCTION("""COMPUTED_VALUE"""),"TIPO I")</f>
        <v>TIPO I</v>
      </c>
      <c r="G1119" s="12" t="str">
        <f>IFERROR(__xludf.DUMMYFUNCTION("""COMPUTED_VALUE"""),"Toma de muestra en canal natural rocoso-arenoso, durante el desarrollo del monitoreo se observa color y se percibe olor. 
Altitud. 2600 msnm")</f>
        <v>Toma de muestra en canal natural rocoso-arenoso, durante el desarrollo del monitoreo se observa color y se percibe olor. 
Altitud. 2600 msnm</v>
      </c>
      <c r="H1119" s="45">
        <f>IFERROR(__xludf.DUMMYFUNCTION("""COMPUTED_VALUE"""),0.5416666666678793)</f>
        <v>0.5416666667</v>
      </c>
      <c r="I1119" s="45">
        <f>IFERROR(__xludf.DUMMYFUNCTION("""COMPUTED_VALUE"""),0.625)</f>
        <v>0.625</v>
      </c>
      <c r="J1119" s="12">
        <f>IFERROR(__xludf.DUMMYFUNCTION("""COMPUTED_VALUE"""),1.5)</f>
        <v>1.5</v>
      </c>
      <c r="K1119" s="12">
        <f>IFERROR(__xludf.DUMMYFUNCTION("""COMPUTED_VALUE"""),0.28)</f>
        <v>0.28</v>
      </c>
      <c r="L1119" s="14">
        <f>IFERROR(__xludf.DUMMYFUNCTION("""COMPUTED_VALUE"""),35.262)</f>
        <v>35.262</v>
      </c>
      <c r="M1119" s="14">
        <f>IFERROR(__xludf.DUMMYFUNCTION("""COMPUTED_VALUE"""),36.323)</f>
        <v>36.323</v>
      </c>
      <c r="N1119" s="14">
        <f>IFERROR(__xludf.DUMMYFUNCTION("""COMPUTED_VALUE"""),37.467)</f>
        <v>37.467</v>
      </c>
      <c r="O1119" s="14">
        <f>IFERROR(__xludf.DUMMYFUNCTION("""COMPUTED_VALUE"""),38.546)</f>
        <v>38.546</v>
      </c>
      <c r="P1119" s="14">
        <f>IFERROR(__xludf.DUMMYFUNCTION("""COMPUTED_VALUE"""),40.737)</f>
        <v>40.737</v>
      </c>
      <c r="Q1119" s="14">
        <f>IFERROR(__xludf.DUMMYFUNCTION("""COMPUTED_VALUE"""),37.667)</f>
        <v>37.667</v>
      </c>
      <c r="R1119" s="48">
        <f>IFERROR(__xludf.DUMMYFUNCTION("""COMPUTED_VALUE"""),8.22)</f>
        <v>8.22</v>
      </c>
      <c r="S1119" s="48">
        <f>IFERROR(__xludf.DUMMYFUNCTION("""COMPUTED_VALUE"""),8.05)</f>
        <v>8.05</v>
      </c>
      <c r="T1119" s="48">
        <f>IFERROR(__xludf.DUMMYFUNCTION("""COMPUTED_VALUE"""),7.95)</f>
        <v>7.95</v>
      </c>
      <c r="U1119" s="48">
        <f>IFERROR(__xludf.DUMMYFUNCTION("""COMPUTED_VALUE"""),7.65)</f>
        <v>7.65</v>
      </c>
      <c r="V1119" s="48">
        <f>IFERROR(__xludf.DUMMYFUNCTION("""COMPUTED_VALUE"""),8.0)</f>
        <v>8</v>
      </c>
      <c r="W1119" s="14">
        <f>IFERROR(__xludf.DUMMYFUNCTION("""COMPUTED_VALUE"""),7.974000000000001)</f>
        <v>7.974</v>
      </c>
      <c r="X1119" s="14">
        <f>IFERROR(__xludf.DUMMYFUNCTION("""COMPUTED_VALUE"""),17.2)</f>
        <v>17.2</v>
      </c>
      <c r="Y1119" s="14">
        <f>IFERROR(__xludf.DUMMYFUNCTION("""COMPUTED_VALUE"""),17.9)</f>
        <v>17.9</v>
      </c>
      <c r="Z1119" s="14">
        <f>IFERROR(__xludf.DUMMYFUNCTION("""COMPUTED_VALUE"""),18.0)</f>
        <v>18</v>
      </c>
      <c r="AA1119" s="14">
        <f>IFERROR(__xludf.DUMMYFUNCTION("""COMPUTED_VALUE"""),17.9)</f>
        <v>17.9</v>
      </c>
      <c r="AB1119" s="14">
        <f>IFERROR(__xludf.DUMMYFUNCTION("""COMPUTED_VALUE"""),18.0)</f>
        <v>18</v>
      </c>
      <c r="AC1119" s="14">
        <f>IFERROR(__xludf.DUMMYFUNCTION("""COMPUTED_VALUE"""),17.8)</f>
        <v>17.8</v>
      </c>
      <c r="AD1119" s="48">
        <f>IFERROR(__xludf.DUMMYFUNCTION("""COMPUTED_VALUE"""),405.0)</f>
        <v>405</v>
      </c>
      <c r="AE1119" s="48">
        <f>IFERROR(__xludf.DUMMYFUNCTION("""COMPUTED_VALUE"""),443.0)</f>
        <v>443</v>
      </c>
      <c r="AF1119" s="48">
        <f>IFERROR(__xludf.DUMMYFUNCTION("""COMPUTED_VALUE"""),438.0)</f>
        <v>438</v>
      </c>
      <c r="AG1119" s="48">
        <f>IFERROR(__xludf.DUMMYFUNCTION("""COMPUTED_VALUE"""),451.0)</f>
        <v>451</v>
      </c>
      <c r="AH1119" s="48">
        <f>IFERROR(__xludf.DUMMYFUNCTION("""COMPUTED_VALUE"""),411.0)</f>
        <v>411</v>
      </c>
      <c r="AI1119" s="14">
        <f>IFERROR(__xludf.DUMMYFUNCTION("""COMPUTED_VALUE"""),429.6)</f>
        <v>429.6</v>
      </c>
      <c r="AJ1119" s="14">
        <f>IFERROR(__xludf.DUMMYFUNCTION("""COMPUTED_VALUE"""),5.72)</f>
        <v>5.72</v>
      </c>
      <c r="AK1119" s="14">
        <f>IFERROR(__xludf.DUMMYFUNCTION("""COMPUTED_VALUE"""),5.58)</f>
        <v>5.58</v>
      </c>
      <c r="AL1119" s="14">
        <f>IFERROR(__xludf.DUMMYFUNCTION("""COMPUTED_VALUE"""),5.42)</f>
        <v>5.42</v>
      </c>
      <c r="AM1119" s="14">
        <f>IFERROR(__xludf.DUMMYFUNCTION("""COMPUTED_VALUE"""),5.0)</f>
        <v>5</v>
      </c>
      <c r="AN1119" s="14">
        <f>IFERROR(__xludf.DUMMYFUNCTION("""COMPUTED_VALUE"""),4.83)</f>
        <v>4.83</v>
      </c>
      <c r="AO1119" s="14">
        <f>IFERROR(__xludf.DUMMYFUNCTION("""COMPUTED_VALUE"""),5.31)</f>
        <v>5.31</v>
      </c>
      <c r="AP1119" s="14">
        <f>IFERROR(__xludf.DUMMYFUNCTION("""COMPUTED_VALUE"""),36.0)</f>
        <v>36</v>
      </c>
      <c r="AQ1119" s="14">
        <f>IFERROR(__xludf.DUMMYFUNCTION("""COMPUTED_VALUE"""),64.0)</f>
        <v>64</v>
      </c>
      <c r="AR1119" s="14">
        <f>IFERROR(__xludf.DUMMYFUNCTION("""COMPUTED_VALUE"""),15.0)</f>
        <v>15</v>
      </c>
      <c r="AS1119" s="14">
        <f>IFERROR(__xludf.DUMMYFUNCTION("""COMPUTED_VALUE"""),6.6)</f>
        <v>6.6</v>
      </c>
      <c r="AT1119" s="14">
        <f>IFERROR(__xludf.DUMMYFUNCTION("""COMPUTED_VALUE"""),4.95)</f>
        <v>4.95</v>
      </c>
      <c r="AU1119" s="14">
        <f>IFERROR(__xludf.DUMMYFUNCTION("""COMPUTED_VALUE"""),932000.0)</f>
        <v>932000</v>
      </c>
      <c r="AV1119" s="14">
        <f>IFERROR(__xludf.DUMMYFUNCTION("""COMPUTED_VALUE"""),2.63)</f>
        <v>2.63</v>
      </c>
      <c r="AW1119" s="14">
        <f>IFERROR(__xludf.DUMMYFUNCTION("""COMPUTED_VALUE"""),19.0)</f>
        <v>19</v>
      </c>
      <c r="AX1119" s="14">
        <f>IFERROR(__xludf.DUMMYFUNCTION("""COMPUTED_VALUE"""),794000.0)</f>
        <v>794000</v>
      </c>
      <c r="AY1119" s="14">
        <f>IFERROR(__xludf.DUMMYFUNCTION("""COMPUTED_VALUE"""),0.7)</f>
        <v>0.7</v>
      </c>
      <c r="AZ1119" s="14">
        <f>IFERROR(__xludf.DUMMYFUNCTION("""COMPUTED_VALUE"""),0.342)</f>
        <v>0.342</v>
      </c>
      <c r="BA1119" s="14">
        <f t="shared" si="1"/>
        <v>20.042</v>
      </c>
    </row>
    <row r="1120" ht="14.25" customHeight="1">
      <c r="A1120" s="10" t="str">
        <f>IFERROR(__xludf.DUMMYFUNCTION("""COMPUTED_VALUE"""),"280824HA01")</f>
        <v>280824HA01</v>
      </c>
      <c r="B1120" s="12" t="str">
        <f>IFERROR(__xludf.DUMMYFUNCTION("""COMPUTED_VALUE"""),"QLI-Villa del Diamante")</f>
        <v>QLI-Villa del Diamante</v>
      </c>
      <c r="C1120" s="12"/>
      <c r="D1120" s="12"/>
      <c r="E1120" s="44">
        <f>IFERROR(__xludf.DUMMYFUNCTION("""COMPUTED_VALUE"""),45532.0)</f>
        <v>45532</v>
      </c>
      <c r="F1120" s="12" t="str">
        <f>IFERROR(__xludf.DUMMYFUNCTION("""COMPUTED_VALUE"""),"TIPO I")</f>
        <v>TIPO I</v>
      </c>
      <c r="G1120" s="12" t="str">
        <f>IFERROR(__xludf.DUMMYFUNCTION("""COMPUTED_VALUE"""),"Toma de muestra en lecho natural rocoso-arenoso, durante el desarrollo del monitoreo no se percibe olor, se observa color.  
Altitud. 2642 msnm")</f>
        <v>Toma de muestra en lecho natural rocoso-arenoso, durante el desarrollo del monitoreo no se percibe olor, se observa color.  
Altitud. 2642 msnm</v>
      </c>
      <c r="H1120" s="45">
        <f>IFERROR(__xludf.DUMMYFUNCTION("""COMPUTED_VALUE"""),0.25)</f>
        <v>0.25</v>
      </c>
      <c r="I1120" s="45">
        <f>IFERROR(__xludf.DUMMYFUNCTION("""COMPUTED_VALUE"""),0.3333333333321207)</f>
        <v>0.3333333333</v>
      </c>
      <c r="J1120" s="12">
        <f>IFERROR(__xludf.DUMMYFUNCTION("""COMPUTED_VALUE"""),1.17)</f>
        <v>1.17</v>
      </c>
      <c r="K1120" s="12">
        <f>IFERROR(__xludf.DUMMYFUNCTION("""COMPUTED_VALUE"""),0.19)</f>
        <v>0.19</v>
      </c>
      <c r="L1120" s="14">
        <f>IFERROR(__xludf.DUMMYFUNCTION("""COMPUTED_VALUE"""),34.194)</f>
        <v>34.194</v>
      </c>
      <c r="M1120" s="14">
        <f>IFERROR(__xludf.DUMMYFUNCTION("""COMPUTED_VALUE"""),35.416)</f>
        <v>35.416</v>
      </c>
      <c r="N1120" s="14">
        <f>IFERROR(__xludf.DUMMYFUNCTION("""COMPUTED_VALUE"""),36.095)</f>
        <v>36.095</v>
      </c>
      <c r="O1120" s="14">
        <f>IFERROR(__xludf.DUMMYFUNCTION("""COMPUTED_VALUE"""),36.317)</f>
        <v>36.317</v>
      </c>
      <c r="P1120" s="14">
        <f>IFERROR(__xludf.DUMMYFUNCTION("""COMPUTED_VALUE"""),36.857)</f>
        <v>36.857</v>
      </c>
      <c r="Q1120" s="14">
        <f>IFERROR(__xludf.DUMMYFUNCTION("""COMPUTED_VALUE"""),35.776)</f>
        <v>35.776</v>
      </c>
      <c r="R1120" s="48">
        <f>IFERROR(__xludf.DUMMYFUNCTION("""COMPUTED_VALUE"""),7.45)</f>
        <v>7.45</v>
      </c>
      <c r="S1120" s="48">
        <f>IFERROR(__xludf.DUMMYFUNCTION("""COMPUTED_VALUE"""),7.35)</f>
        <v>7.35</v>
      </c>
      <c r="T1120" s="48">
        <f>IFERROR(__xludf.DUMMYFUNCTION("""COMPUTED_VALUE"""),7.48)</f>
        <v>7.48</v>
      </c>
      <c r="U1120" s="48">
        <f>IFERROR(__xludf.DUMMYFUNCTION("""COMPUTED_VALUE"""),7.39)</f>
        <v>7.39</v>
      </c>
      <c r="V1120" s="48">
        <f>IFERROR(__xludf.DUMMYFUNCTION("""COMPUTED_VALUE"""),7.5)</f>
        <v>7.5</v>
      </c>
      <c r="W1120" s="14">
        <f>IFERROR(__xludf.DUMMYFUNCTION("""COMPUTED_VALUE"""),7.434)</f>
        <v>7.434</v>
      </c>
      <c r="X1120" s="14">
        <f>IFERROR(__xludf.DUMMYFUNCTION("""COMPUTED_VALUE"""),13.9)</f>
        <v>13.9</v>
      </c>
      <c r="Y1120" s="14">
        <f>IFERROR(__xludf.DUMMYFUNCTION("""COMPUTED_VALUE"""),13.6)</f>
        <v>13.6</v>
      </c>
      <c r="Z1120" s="14">
        <f>IFERROR(__xludf.DUMMYFUNCTION("""COMPUTED_VALUE"""),13.6)</f>
        <v>13.6</v>
      </c>
      <c r="AA1120" s="14">
        <f>IFERROR(__xludf.DUMMYFUNCTION("""COMPUTED_VALUE"""),13.7)</f>
        <v>13.7</v>
      </c>
      <c r="AB1120" s="14">
        <f>IFERROR(__xludf.DUMMYFUNCTION("""COMPUTED_VALUE"""),13.8)</f>
        <v>13.8</v>
      </c>
      <c r="AC1120" s="14">
        <f>IFERROR(__xludf.DUMMYFUNCTION("""COMPUTED_VALUE"""),13.719999999999999)</f>
        <v>13.72</v>
      </c>
      <c r="AD1120" s="48">
        <f>IFERROR(__xludf.DUMMYFUNCTION("""COMPUTED_VALUE"""),403.0)</f>
        <v>403</v>
      </c>
      <c r="AE1120" s="48">
        <f>IFERROR(__xludf.DUMMYFUNCTION("""COMPUTED_VALUE"""),396.0)</f>
        <v>396</v>
      </c>
      <c r="AF1120" s="48">
        <f>IFERROR(__xludf.DUMMYFUNCTION("""COMPUTED_VALUE"""),384.0)</f>
        <v>384</v>
      </c>
      <c r="AG1120" s="48">
        <f>IFERROR(__xludf.DUMMYFUNCTION("""COMPUTED_VALUE"""),386.0)</f>
        <v>386</v>
      </c>
      <c r="AH1120" s="48">
        <f>IFERROR(__xludf.DUMMYFUNCTION("""COMPUTED_VALUE"""),383.0)</f>
        <v>383</v>
      </c>
      <c r="AI1120" s="14">
        <f>IFERROR(__xludf.DUMMYFUNCTION("""COMPUTED_VALUE"""),390.4)</f>
        <v>390.4</v>
      </c>
      <c r="AJ1120" s="14">
        <f>IFERROR(__xludf.DUMMYFUNCTION("""COMPUTED_VALUE"""),5.2)</f>
        <v>5.2</v>
      </c>
      <c r="AK1120" s="14">
        <f>IFERROR(__xludf.DUMMYFUNCTION("""COMPUTED_VALUE"""),5.28)</f>
        <v>5.28</v>
      </c>
      <c r="AL1120" s="14">
        <f>IFERROR(__xludf.DUMMYFUNCTION("""COMPUTED_VALUE"""),5.46)</f>
        <v>5.46</v>
      </c>
      <c r="AM1120" s="14">
        <f>IFERROR(__xludf.DUMMYFUNCTION("""COMPUTED_VALUE"""),5.31)</f>
        <v>5.31</v>
      </c>
      <c r="AN1120" s="14">
        <f>IFERROR(__xludf.DUMMYFUNCTION("""COMPUTED_VALUE"""),5.39)</f>
        <v>5.39</v>
      </c>
      <c r="AO1120" s="14">
        <f>IFERROR(__xludf.DUMMYFUNCTION("""COMPUTED_VALUE"""),5.328)</f>
        <v>5.328</v>
      </c>
      <c r="AP1120" s="14">
        <f>IFERROR(__xludf.DUMMYFUNCTION("""COMPUTED_VALUE"""),12.0)</f>
        <v>12</v>
      </c>
      <c r="AQ1120" s="14">
        <f>IFERROR(__xludf.DUMMYFUNCTION("""COMPUTED_VALUE"""),30.0)</f>
        <v>30</v>
      </c>
      <c r="AR1120" s="14">
        <f>IFERROR(__xludf.DUMMYFUNCTION("""COMPUTED_VALUE"""),5.0)</f>
        <v>5</v>
      </c>
      <c r="AS1120" s="14">
        <f>IFERROR(__xludf.DUMMYFUNCTION("""COMPUTED_VALUE"""),7.5)</f>
        <v>7.5</v>
      </c>
      <c r="AT1120" s="14">
        <f>IFERROR(__xludf.DUMMYFUNCTION("""COMPUTED_VALUE"""),5.2)</f>
        <v>5.2</v>
      </c>
      <c r="AU1120" s="14">
        <f>IFERROR(__xludf.DUMMYFUNCTION("""COMPUTED_VALUE"""),182300.0)</f>
        <v>182300</v>
      </c>
      <c r="AV1120" s="14">
        <f>IFERROR(__xludf.DUMMYFUNCTION("""COMPUTED_VALUE"""),1.65)</f>
        <v>1.65</v>
      </c>
      <c r="AW1120" s="14">
        <f>IFERROR(__xludf.DUMMYFUNCTION("""COMPUTED_VALUE"""),10.4)</f>
        <v>10.4</v>
      </c>
      <c r="AX1120" s="14">
        <f>IFERROR(__xludf.DUMMYFUNCTION("""COMPUTED_VALUE"""),159200.0)</f>
        <v>159200</v>
      </c>
      <c r="AY1120" s="14">
        <f>IFERROR(__xludf.DUMMYFUNCTION("""COMPUTED_VALUE"""),2.4)</f>
        <v>2.4</v>
      </c>
      <c r="AZ1120" s="14">
        <f>IFERROR(__xludf.DUMMYFUNCTION("""COMPUTED_VALUE"""),0.232)</f>
        <v>0.232</v>
      </c>
      <c r="BA1120" s="14">
        <f t="shared" si="1"/>
        <v>13.032</v>
      </c>
    </row>
    <row r="1121" ht="14.25" customHeight="1">
      <c r="A1121" s="10" t="str">
        <f>IFERROR(__xludf.DUMMYFUNCTION("""COMPUTED_VALUE"""),"280824DU01")</f>
        <v>280824DU01</v>
      </c>
      <c r="B1121" s="12" t="str">
        <f>IFERROR(__xludf.DUMMYFUNCTION("""COMPUTED_VALUE"""),"QLI-El Satélite")</f>
        <v>QLI-El Satélite</v>
      </c>
      <c r="C1121" s="12"/>
      <c r="D1121" s="12"/>
      <c r="E1121" s="44">
        <f>IFERROR(__xludf.DUMMYFUNCTION("""COMPUTED_VALUE"""),45532.0)</f>
        <v>45532</v>
      </c>
      <c r="F1121" s="12" t="str">
        <f>IFERROR(__xludf.DUMMYFUNCTION("""COMPUTED_VALUE"""),"TIPO I")</f>
        <v>TIPO I</v>
      </c>
      <c r="G1121" s="12" t="str">
        <f>IFERROR(__xludf.DUMMYFUNCTION("""COMPUTED_VALUE"""),"Toma de muestra en canal natural, durante el desarrollo del monitoreo se observa color y se percibe olor.
Altitud. 2563 msnm")</f>
        <v>Toma de muestra en canal natural, durante el desarrollo del monitoreo se observa color y se percibe olor.
Altitud. 2563 msnm</v>
      </c>
      <c r="H1121" s="45">
        <f>IFERROR(__xludf.DUMMYFUNCTION("""COMPUTED_VALUE"""),0.3333333333321207)</f>
        <v>0.3333333333</v>
      </c>
      <c r="I1121" s="45">
        <f>IFERROR(__xludf.DUMMYFUNCTION("""COMPUTED_VALUE"""),0.4166666666678793)</f>
        <v>0.4166666667</v>
      </c>
      <c r="J1121" s="12">
        <f>IFERROR(__xludf.DUMMYFUNCTION("""COMPUTED_VALUE"""),3.1)</f>
        <v>3.1</v>
      </c>
      <c r="K1121" s="12">
        <f>IFERROR(__xludf.DUMMYFUNCTION("""COMPUTED_VALUE"""),0.23)</f>
        <v>0.23</v>
      </c>
      <c r="L1121" s="14">
        <f>IFERROR(__xludf.DUMMYFUNCTION("""COMPUTED_VALUE"""),60.634)</f>
        <v>60.634</v>
      </c>
      <c r="M1121" s="14">
        <f>IFERROR(__xludf.DUMMYFUNCTION("""COMPUTED_VALUE"""),62.679)</f>
        <v>62.679</v>
      </c>
      <c r="N1121" s="14">
        <f>IFERROR(__xludf.DUMMYFUNCTION("""COMPUTED_VALUE"""),63.206)</f>
        <v>63.206</v>
      </c>
      <c r="O1121" s="14">
        <f>IFERROR(__xludf.DUMMYFUNCTION("""COMPUTED_VALUE"""),62.601)</f>
        <v>62.601</v>
      </c>
      <c r="P1121" s="14">
        <f>IFERROR(__xludf.DUMMYFUNCTION("""COMPUTED_VALUE"""),63.419)</f>
        <v>63.419</v>
      </c>
      <c r="Q1121" s="14">
        <f>IFERROR(__xludf.DUMMYFUNCTION("""COMPUTED_VALUE"""),62.508)</f>
        <v>62.508</v>
      </c>
      <c r="R1121" s="48">
        <f>IFERROR(__xludf.DUMMYFUNCTION("""COMPUTED_VALUE"""),8.18)</f>
        <v>8.18</v>
      </c>
      <c r="S1121" s="48">
        <f>IFERROR(__xludf.DUMMYFUNCTION("""COMPUTED_VALUE"""),7.98)</f>
        <v>7.98</v>
      </c>
      <c r="T1121" s="48">
        <f>IFERROR(__xludf.DUMMYFUNCTION("""COMPUTED_VALUE"""),7.86)</f>
        <v>7.86</v>
      </c>
      <c r="U1121" s="48">
        <f>IFERROR(__xludf.DUMMYFUNCTION("""COMPUTED_VALUE"""),8.01)</f>
        <v>8.01</v>
      </c>
      <c r="V1121" s="48">
        <f>IFERROR(__xludf.DUMMYFUNCTION("""COMPUTED_VALUE"""),7.96)</f>
        <v>7.96</v>
      </c>
      <c r="W1121" s="14">
        <f>IFERROR(__xludf.DUMMYFUNCTION("""COMPUTED_VALUE"""),7.998)</f>
        <v>7.998</v>
      </c>
      <c r="X1121" s="14">
        <f>IFERROR(__xludf.DUMMYFUNCTION("""COMPUTED_VALUE"""),14.5)</f>
        <v>14.5</v>
      </c>
      <c r="Y1121" s="14">
        <f>IFERROR(__xludf.DUMMYFUNCTION("""COMPUTED_VALUE"""),14.4)</f>
        <v>14.4</v>
      </c>
      <c r="Z1121" s="14">
        <f>IFERROR(__xludf.DUMMYFUNCTION("""COMPUTED_VALUE"""),14.7)</f>
        <v>14.7</v>
      </c>
      <c r="AA1121" s="14">
        <f>IFERROR(__xludf.DUMMYFUNCTION("""COMPUTED_VALUE"""),14.4)</f>
        <v>14.4</v>
      </c>
      <c r="AB1121" s="14">
        <f>IFERROR(__xludf.DUMMYFUNCTION("""COMPUTED_VALUE"""),14.6)</f>
        <v>14.6</v>
      </c>
      <c r="AC1121" s="14">
        <f>IFERROR(__xludf.DUMMYFUNCTION("""COMPUTED_VALUE"""),14.52)</f>
        <v>14.52</v>
      </c>
      <c r="AD1121" s="48">
        <f>IFERROR(__xludf.DUMMYFUNCTION("""COMPUTED_VALUE"""),558.0)</f>
        <v>558</v>
      </c>
      <c r="AE1121" s="48">
        <f>IFERROR(__xludf.DUMMYFUNCTION("""COMPUTED_VALUE"""),566.0)</f>
        <v>566</v>
      </c>
      <c r="AF1121" s="48">
        <f>IFERROR(__xludf.DUMMYFUNCTION("""COMPUTED_VALUE"""),521.0)</f>
        <v>521</v>
      </c>
      <c r="AG1121" s="48">
        <f>IFERROR(__xludf.DUMMYFUNCTION("""COMPUTED_VALUE"""),514.0)</f>
        <v>514</v>
      </c>
      <c r="AH1121" s="48">
        <f>IFERROR(__xludf.DUMMYFUNCTION("""COMPUTED_VALUE"""),561.0)</f>
        <v>561</v>
      </c>
      <c r="AI1121" s="14">
        <f>IFERROR(__xludf.DUMMYFUNCTION("""COMPUTED_VALUE"""),544.0)</f>
        <v>544</v>
      </c>
      <c r="AJ1121" s="14">
        <f>IFERROR(__xludf.DUMMYFUNCTION("""COMPUTED_VALUE"""),5.3)</f>
        <v>5.3</v>
      </c>
      <c r="AK1121" s="14">
        <f>IFERROR(__xludf.DUMMYFUNCTION("""COMPUTED_VALUE"""),4.85)</f>
        <v>4.85</v>
      </c>
      <c r="AL1121" s="14">
        <f>IFERROR(__xludf.DUMMYFUNCTION("""COMPUTED_VALUE"""),5.04)</f>
        <v>5.04</v>
      </c>
      <c r="AM1121" s="14">
        <f>IFERROR(__xludf.DUMMYFUNCTION("""COMPUTED_VALUE"""),4.82)</f>
        <v>4.82</v>
      </c>
      <c r="AN1121" s="14">
        <f>IFERROR(__xludf.DUMMYFUNCTION("""COMPUTED_VALUE"""),5.29)</f>
        <v>5.29</v>
      </c>
      <c r="AO1121" s="14">
        <f>IFERROR(__xludf.DUMMYFUNCTION("""COMPUTED_VALUE"""),5.06)</f>
        <v>5.06</v>
      </c>
      <c r="AP1121" s="14">
        <f>IFERROR(__xludf.DUMMYFUNCTION("""COMPUTED_VALUE"""),112.0)</f>
        <v>112</v>
      </c>
      <c r="AQ1121" s="14">
        <f>IFERROR(__xludf.DUMMYFUNCTION("""COMPUTED_VALUE"""),145.0)</f>
        <v>145</v>
      </c>
      <c r="AR1121" s="14">
        <f>IFERROR(__xludf.DUMMYFUNCTION("""COMPUTED_VALUE"""),50.0)</f>
        <v>50</v>
      </c>
      <c r="AS1121" s="14">
        <f>IFERROR(__xludf.DUMMYFUNCTION("""COMPUTED_VALUE"""),9.4)</f>
        <v>9.4</v>
      </c>
      <c r="AT1121" s="14">
        <f>IFERROR(__xludf.DUMMYFUNCTION("""COMPUTED_VALUE"""),7.22)</f>
        <v>7.22</v>
      </c>
      <c r="AU1121" s="14">
        <f>IFERROR(__xludf.DUMMYFUNCTION("""COMPUTED_VALUE"""),6.24E7)</f>
        <v>62400000</v>
      </c>
      <c r="AV1121" s="14">
        <f>IFERROR(__xludf.DUMMYFUNCTION("""COMPUTED_VALUE"""),3.68)</f>
        <v>3.68</v>
      </c>
      <c r="AW1121" s="14">
        <f>IFERROR(__xludf.DUMMYFUNCTION("""COMPUTED_VALUE"""),39.8)</f>
        <v>39.8</v>
      </c>
      <c r="AX1121" s="14">
        <f>IFERROR(__xludf.DUMMYFUNCTION("""COMPUTED_VALUE"""),4.1E7)</f>
        <v>41000000</v>
      </c>
      <c r="AY1121" s="14">
        <f>IFERROR(__xludf.DUMMYFUNCTION("""COMPUTED_VALUE"""),0.2)</f>
        <v>0.2</v>
      </c>
      <c r="AZ1121" s="14">
        <f>IFERROR(__xludf.DUMMYFUNCTION("""COMPUTED_VALUE"""),0.007)</f>
        <v>0.007</v>
      </c>
      <c r="BA1121" s="14">
        <f t="shared" si="1"/>
        <v>40.007</v>
      </c>
    </row>
    <row r="1122" ht="14.25" customHeight="1">
      <c r="A1122" s="10" t="str">
        <f>IFERROR(__xludf.DUMMYFUNCTION("""COMPUTED_VALUE"""),"280824HA03")</f>
        <v>280824HA03</v>
      </c>
      <c r="B1122" s="12" t="str">
        <f>IFERROR(__xludf.DUMMYFUNCTION("""COMPUTED_VALUE"""),"QCH-Cantarrana")</f>
        <v>QCH-Cantarrana</v>
      </c>
      <c r="C1122" s="12"/>
      <c r="D1122" s="12"/>
      <c r="E1122" s="44">
        <f>IFERROR(__xludf.DUMMYFUNCTION("""COMPUTED_VALUE"""),45532.0)</f>
        <v>45532</v>
      </c>
      <c r="F1122" s="12" t="str">
        <f>IFERROR(__xludf.DUMMYFUNCTION("""COMPUTED_VALUE"""),"TIPO I")</f>
        <v>TIPO I</v>
      </c>
      <c r="G1122" s="12" t="str">
        <f>IFERROR(__xludf.DUMMYFUNCTION("""COMPUTED_VALUE"""),"Monitoreo realizado en canal con lecho rocoso arenoso, durante la toma de muestra se percibe olor y se observa color.
Durante la cuarta alícuota la tonalidad de la muestra cambia.
Altitud: 2656 msnm")</f>
        <v>Monitoreo realizado en canal con lecho rocoso arenoso, durante la toma de muestra se percibe olor y se observa color.
Durante la cuarta alícuota la tonalidad de la muestra cambia.
Altitud: 2656 msnm</v>
      </c>
      <c r="H1122" s="45">
        <f>IFERROR(__xludf.DUMMYFUNCTION("""COMPUTED_VALUE"""),0.625)</f>
        <v>0.625</v>
      </c>
      <c r="I1122" s="45">
        <f>IFERROR(__xludf.DUMMYFUNCTION("""COMPUTED_VALUE"""),0.7083333333321207)</f>
        <v>0.7083333333</v>
      </c>
      <c r="J1122" s="12">
        <f>IFERROR(__xludf.DUMMYFUNCTION("""COMPUTED_VALUE"""),0.4)</f>
        <v>0.4</v>
      </c>
      <c r="K1122" s="12">
        <f>IFERROR(__xludf.DUMMYFUNCTION("""COMPUTED_VALUE"""),0.24)</f>
        <v>0.24</v>
      </c>
      <c r="L1122" s="14">
        <f>IFERROR(__xludf.DUMMYFUNCTION("""COMPUTED_VALUE"""),31.466)</f>
        <v>31.466</v>
      </c>
      <c r="M1122" s="14">
        <f>IFERROR(__xludf.DUMMYFUNCTION("""COMPUTED_VALUE"""),31.099)</f>
        <v>31.099</v>
      </c>
      <c r="N1122" s="14">
        <f>IFERROR(__xludf.DUMMYFUNCTION("""COMPUTED_VALUE"""),31.681)</f>
        <v>31.681</v>
      </c>
      <c r="O1122" s="14">
        <f>IFERROR(__xludf.DUMMYFUNCTION("""COMPUTED_VALUE"""),32.284)</f>
        <v>32.284</v>
      </c>
      <c r="P1122" s="14">
        <f>IFERROR(__xludf.DUMMYFUNCTION("""COMPUTED_VALUE"""),32.97)</f>
        <v>32.97</v>
      </c>
      <c r="Q1122" s="14">
        <f>IFERROR(__xludf.DUMMYFUNCTION("""COMPUTED_VALUE"""),31.9)</f>
        <v>31.9</v>
      </c>
      <c r="R1122" s="48">
        <f>IFERROR(__xludf.DUMMYFUNCTION("""COMPUTED_VALUE"""),7.64)</f>
        <v>7.64</v>
      </c>
      <c r="S1122" s="48">
        <f>IFERROR(__xludf.DUMMYFUNCTION("""COMPUTED_VALUE"""),7.61)</f>
        <v>7.61</v>
      </c>
      <c r="T1122" s="48">
        <f>IFERROR(__xludf.DUMMYFUNCTION("""COMPUTED_VALUE"""),7.52)</f>
        <v>7.52</v>
      </c>
      <c r="U1122" s="48">
        <f>IFERROR(__xludf.DUMMYFUNCTION("""COMPUTED_VALUE"""),7.55)</f>
        <v>7.55</v>
      </c>
      <c r="V1122" s="48">
        <f>IFERROR(__xludf.DUMMYFUNCTION("""COMPUTED_VALUE"""),7.49)</f>
        <v>7.49</v>
      </c>
      <c r="W1122" s="14">
        <f>IFERROR(__xludf.DUMMYFUNCTION("""COMPUTED_VALUE"""),7.562)</f>
        <v>7.562</v>
      </c>
      <c r="X1122" s="14">
        <f>IFERROR(__xludf.DUMMYFUNCTION("""COMPUTED_VALUE"""),17.2)</f>
        <v>17.2</v>
      </c>
      <c r="Y1122" s="14">
        <f>IFERROR(__xludf.DUMMYFUNCTION("""COMPUTED_VALUE"""),17.0)</f>
        <v>17</v>
      </c>
      <c r="Z1122" s="14">
        <f>IFERROR(__xludf.DUMMYFUNCTION("""COMPUTED_VALUE"""),17.0)</f>
        <v>17</v>
      </c>
      <c r="AA1122" s="14">
        <f>IFERROR(__xludf.DUMMYFUNCTION("""COMPUTED_VALUE"""),17.0)</f>
        <v>17</v>
      </c>
      <c r="AB1122" s="14">
        <f>IFERROR(__xludf.DUMMYFUNCTION("""COMPUTED_VALUE"""),17.0)</f>
        <v>17</v>
      </c>
      <c r="AC1122" s="14">
        <f>IFERROR(__xludf.DUMMYFUNCTION("""COMPUTED_VALUE"""),17.04)</f>
        <v>17.04</v>
      </c>
      <c r="AD1122" s="48">
        <f>IFERROR(__xludf.DUMMYFUNCTION("""COMPUTED_VALUE"""),946.0)</f>
        <v>946</v>
      </c>
      <c r="AE1122" s="48">
        <f>IFERROR(__xludf.DUMMYFUNCTION("""COMPUTED_VALUE"""),986.0)</f>
        <v>986</v>
      </c>
      <c r="AF1122" s="48">
        <f>IFERROR(__xludf.DUMMYFUNCTION("""COMPUTED_VALUE"""),994.0)</f>
        <v>994</v>
      </c>
      <c r="AG1122" s="48">
        <f>IFERROR(__xludf.DUMMYFUNCTION("""COMPUTED_VALUE"""),1012.0)</f>
        <v>1012</v>
      </c>
      <c r="AH1122" s="48">
        <f>IFERROR(__xludf.DUMMYFUNCTION("""COMPUTED_VALUE"""),1022.0)</f>
        <v>1022</v>
      </c>
      <c r="AI1122" s="14">
        <f>IFERROR(__xludf.DUMMYFUNCTION("""COMPUTED_VALUE"""),992.0)</f>
        <v>992</v>
      </c>
      <c r="AJ1122" s="14">
        <f>IFERROR(__xludf.DUMMYFUNCTION("""COMPUTED_VALUE"""),2.88)</f>
        <v>2.88</v>
      </c>
      <c r="AK1122" s="14">
        <f>IFERROR(__xludf.DUMMYFUNCTION("""COMPUTED_VALUE"""),2.6)</f>
        <v>2.6</v>
      </c>
      <c r="AL1122" s="14">
        <f>IFERROR(__xludf.DUMMYFUNCTION("""COMPUTED_VALUE"""),2.38)</f>
        <v>2.38</v>
      </c>
      <c r="AM1122" s="14">
        <f>IFERROR(__xludf.DUMMYFUNCTION("""COMPUTED_VALUE"""),2.36)</f>
        <v>2.36</v>
      </c>
      <c r="AN1122" s="14">
        <f>IFERROR(__xludf.DUMMYFUNCTION("""COMPUTED_VALUE"""),2.41)</f>
        <v>2.41</v>
      </c>
      <c r="AO1122" s="14">
        <f>IFERROR(__xludf.DUMMYFUNCTION("""COMPUTED_VALUE"""),2.5260000000000002)</f>
        <v>2.526</v>
      </c>
      <c r="AP1122" s="14">
        <f>IFERROR(__xludf.DUMMYFUNCTION("""COMPUTED_VALUE"""),305.0)</f>
        <v>305</v>
      </c>
      <c r="AQ1122" s="14">
        <f>IFERROR(__xludf.DUMMYFUNCTION("""COMPUTED_VALUE"""),406.0)</f>
        <v>406</v>
      </c>
      <c r="AR1122" s="14">
        <f>IFERROR(__xludf.DUMMYFUNCTION("""COMPUTED_VALUE"""),102.0)</f>
        <v>102</v>
      </c>
      <c r="AS1122" s="14">
        <f>IFERROR(__xludf.DUMMYFUNCTION("""COMPUTED_VALUE"""),36.0)</f>
        <v>36</v>
      </c>
      <c r="AT1122" s="14">
        <f>IFERROR(__xludf.DUMMYFUNCTION("""COMPUTED_VALUE"""),5.25)</f>
        <v>5.25</v>
      </c>
      <c r="AU1122" s="14">
        <f>IFERROR(__xludf.DUMMYFUNCTION("""COMPUTED_VALUE"""),1.081E8)</f>
        <v>108100000</v>
      </c>
      <c r="AV1122" s="14">
        <f>IFERROR(__xludf.DUMMYFUNCTION("""COMPUTED_VALUE"""),4.96)</f>
        <v>4.96</v>
      </c>
      <c r="AW1122" s="14">
        <f>IFERROR(__xludf.DUMMYFUNCTION("""COMPUTED_VALUE"""),22.4)</f>
        <v>22.4</v>
      </c>
      <c r="AX1122" s="14">
        <f>IFERROR(__xludf.DUMMYFUNCTION("""COMPUTED_VALUE"""),6.24E7)</f>
        <v>62400000</v>
      </c>
      <c r="AY1122" s="14">
        <f>IFERROR(__xludf.DUMMYFUNCTION("""COMPUTED_VALUE"""),0.5)</f>
        <v>0.5</v>
      </c>
      <c r="AZ1122" s="14">
        <f>IFERROR(__xludf.DUMMYFUNCTION("""COMPUTED_VALUE"""),0.007)</f>
        <v>0.007</v>
      </c>
      <c r="BA1122" s="14">
        <f t="shared" si="1"/>
        <v>22.907</v>
      </c>
    </row>
    <row r="1123" ht="14.25" customHeight="1">
      <c r="A1123" s="10" t="str">
        <f>IFERROR(__xludf.DUMMYFUNCTION("""COMPUTED_VALUE"""),"290824DU01")</f>
        <v>290824DU01</v>
      </c>
      <c r="B1123" s="12" t="str">
        <f>IFERROR(__xludf.DUMMYFUNCTION("""COMPUTED_VALUE"""),"CMO-Pepe Sierra")</f>
        <v>CMO-Pepe Sierra</v>
      </c>
      <c r="C1123" s="12"/>
      <c r="D1123" s="12"/>
      <c r="E1123" s="44">
        <f>IFERROR(__xludf.DUMMYFUNCTION("""COMPUTED_VALUE"""),45533.0)</f>
        <v>45533</v>
      </c>
      <c r="F1123" s="12" t="str">
        <f>IFERROR(__xludf.DUMMYFUNCTION("""COMPUTED_VALUE"""),"TIPO I")</f>
        <v>TIPO I</v>
      </c>
      <c r="G1123" s="12" t="str">
        <f>IFERROR(__xludf.DUMMYFUNCTION("""COMPUTED_VALUE"""),"Monitoreo realizado en canal con estructura en concreto lecho rocoso, durante la toma de muestra se observa color y se percibe olor. 
Altitud: 2567 msnm")</f>
        <v>Monitoreo realizado en canal con estructura en concreto lecho rocoso, durante la toma de muestra se observa color y se percibe olor. 
Altitud: 2567 msnm</v>
      </c>
      <c r="H1123" s="45">
        <f>IFERROR(__xludf.DUMMYFUNCTION("""COMPUTED_VALUE"""),0.2916666666678793)</f>
        <v>0.2916666667</v>
      </c>
      <c r="I1123" s="45">
        <f>IFERROR(__xludf.DUMMYFUNCTION("""COMPUTED_VALUE"""),0.375)</f>
        <v>0.375</v>
      </c>
      <c r="J1123" s="12">
        <f>IFERROR(__xludf.DUMMYFUNCTION("""COMPUTED_VALUE"""),5.6)</f>
        <v>5.6</v>
      </c>
      <c r="K1123" s="12">
        <f>IFERROR(__xludf.DUMMYFUNCTION("""COMPUTED_VALUE"""),0.18)</f>
        <v>0.18</v>
      </c>
      <c r="L1123" s="14">
        <f>IFERROR(__xludf.DUMMYFUNCTION("""COMPUTED_VALUE"""),207.962)</f>
        <v>207.962</v>
      </c>
      <c r="M1123" s="14">
        <f>IFERROR(__xludf.DUMMYFUNCTION("""COMPUTED_VALUE"""),211.263)</f>
        <v>211.263</v>
      </c>
      <c r="N1123" s="14">
        <f>IFERROR(__xludf.DUMMYFUNCTION("""COMPUTED_VALUE"""),213.578)</f>
        <v>213.578</v>
      </c>
      <c r="O1123" s="14">
        <f>IFERROR(__xludf.DUMMYFUNCTION("""COMPUTED_VALUE"""),217.949)</f>
        <v>217.949</v>
      </c>
      <c r="P1123" s="14">
        <f>IFERROR(__xludf.DUMMYFUNCTION("""COMPUTED_VALUE"""),219.326)</f>
        <v>219.326</v>
      </c>
      <c r="Q1123" s="14">
        <f>IFERROR(__xludf.DUMMYFUNCTION("""COMPUTED_VALUE"""),214.016)</f>
        <v>214.016</v>
      </c>
      <c r="R1123" s="48">
        <f>IFERROR(__xludf.DUMMYFUNCTION("""COMPUTED_VALUE"""),8.19)</f>
        <v>8.19</v>
      </c>
      <c r="S1123" s="48">
        <f>IFERROR(__xludf.DUMMYFUNCTION("""COMPUTED_VALUE"""),8.03)</f>
        <v>8.03</v>
      </c>
      <c r="T1123" s="48">
        <f>IFERROR(__xludf.DUMMYFUNCTION("""COMPUTED_VALUE"""),7.87)</f>
        <v>7.87</v>
      </c>
      <c r="U1123" s="48">
        <f>IFERROR(__xludf.DUMMYFUNCTION("""COMPUTED_VALUE"""),7.69)</f>
        <v>7.69</v>
      </c>
      <c r="V1123" s="48">
        <f>IFERROR(__xludf.DUMMYFUNCTION("""COMPUTED_VALUE"""),7.9)</f>
        <v>7.9</v>
      </c>
      <c r="W1123" s="14">
        <f>IFERROR(__xludf.DUMMYFUNCTION("""COMPUTED_VALUE"""),7.936)</f>
        <v>7.936</v>
      </c>
      <c r="X1123" s="14">
        <f>IFERROR(__xludf.DUMMYFUNCTION("""COMPUTED_VALUE"""),17.9)</f>
        <v>17.9</v>
      </c>
      <c r="Y1123" s="14">
        <f>IFERROR(__xludf.DUMMYFUNCTION("""COMPUTED_VALUE"""),17.6)</f>
        <v>17.6</v>
      </c>
      <c r="Z1123" s="14">
        <f>IFERROR(__xludf.DUMMYFUNCTION("""COMPUTED_VALUE"""),17.7)</f>
        <v>17.7</v>
      </c>
      <c r="AA1123" s="14">
        <f>IFERROR(__xludf.DUMMYFUNCTION("""COMPUTED_VALUE"""),17.6)</f>
        <v>17.6</v>
      </c>
      <c r="AB1123" s="14">
        <f>IFERROR(__xludf.DUMMYFUNCTION("""COMPUTED_VALUE"""),17.4)</f>
        <v>17.4</v>
      </c>
      <c r="AC1123" s="14">
        <f>IFERROR(__xludf.DUMMYFUNCTION("""COMPUTED_VALUE"""),17.640000000000004)</f>
        <v>17.64</v>
      </c>
      <c r="AD1123" s="48">
        <f>IFERROR(__xludf.DUMMYFUNCTION("""COMPUTED_VALUE"""),463.0)</f>
        <v>463</v>
      </c>
      <c r="AE1123" s="48">
        <f>IFERROR(__xludf.DUMMYFUNCTION("""COMPUTED_VALUE"""),472.0)</f>
        <v>472</v>
      </c>
      <c r="AF1123" s="48">
        <f>IFERROR(__xludf.DUMMYFUNCTION("""COMPUTED_VALUE"""),425.0)</f>
        <v>425</v>
      </c>
      <c r="AG1123" s="48">
        <f>IFERROR(__xludf.DUMMYFUNCTION("""COMPUTED_VALUE"""),387.0)</f>
        <v>387</v>
      </c>
      <c r="AH1123" s="48">
        <f>IFERROR(__xludf.DUMMYFUNCTION("""COMPUTED_VALUE"""),459.0)</f>
        <v>459</v>
      </c>
      <c r="AI1123" s="14">
        <f>IFERROR(__xludf.DUMMYFUNCTION("""COMPUTED_VALUE"""),441.2)</f>
        <v>441.2</v>
      </c>
      <c r="AJ1123" s="14">
        <f>IFERROR(__xludf.DUMMYFUNCTION("""COMPUTED_VALUE"""),3.1)</f>
        <v>3.1</v>
      </c>
      <c r="AK1123" s="14">
        <f>IFERROR(__xludf.DUMMYFUNCTION("""COMPUTED_VALUE"""),3.24)</f>
        <v>3.24</v>
      </c>
      <c r="AL1123" s="14">
        <f>IFERROR(__xludf.DUMMYFUNCTION("""COMPUTED_VALUE"""),2.98)</f>
        <v>2.98</v>
      </c>
      <c r="AM1123" s="14">
        <f>IFERROR(__xludf.DUMMYFUNCTION("""COMPUTED_VALUE"""),3.54)</f>
        <v>3.54</v>
      </c>
      <c r="AN1123" s="14">
        <f>IFERROR(__xludf.DUMMYFUNCTION("""COMPUTED_VALUE"""),3.04)</f>
        <v>3.04</v>
      </c>
      <c r="AO1123" s="14">
        <f>IFERROR(__xludf.DUMMYFUNCTION("""COMPUTED_VALUE"""),3.1799999999999997)</f>
        <v>3.18</v>
      </c>
      <c r="AP1123" s="14">
        <f>IFERROR(__xludf.DUMMYFUNCTION("""COMPUTED_VALUE"""),111.0)</f>
        <v>111</v>
      </c>
      <c r="AQ1123" s="14">
        <f>IFERROR(__xludf.DUMMYFUNCTION("""COMPUTED_VALUE"""),161.0)</f>
        <v>161</v>
      </c>
      <c r="AR1123" s="14">
        <f>IFERROR(__xludf.DUMMYFUNCTION("""COMPUTED_VALUE"""),68.0)</f>
        <v>68</v>
      </c>
      <c r="AS1123" s="14">
        <f>IFERROR(__xludf.DUMMYFUNCTION("""COMPUTED_VALUE"""),14.6)</f>
        <v>14.6</v>
      </c>
      <c r="AT1123" s="14">
        <f>IFERROR(__xludf.DUMMYFUNCTION("""COMPUTED_VALUE"""),6.88)</f>
        <v>6.88</v>
      </c>
      <c r="AU1123" s="14">
        <f>IFERROR(__xludf.DUMMYFUNCTION("""COMPUTED_VALUE"""),1.257E7)</f>
        <v>12570000</v>
      </c>
      <c r="AV1123" s="14">
        <f>IFERROR(__xludf.DUMMYFUNCTION("""COMPUTED_VALUE"""),2.89)</f>
        <v>2.89</v>
      </c>
      <c r="AW1123" s="14">
        <f>IFERROR(__xludf.DUMMYFUNCTION("""COMPUTED_VALUE"""),38.1)</f>
        <v>38.1</v>
      </c>
      <c r="AX1123" s="14">
        <f>IFERROR(__xludf.DUMMYFUNCTION("""COMPUTED_VALUE"""),6830000.0)</f>
        <v>6830000</v>
      </c>
      <c r="AY1123" s="14">
        <f>IFERROR(__xludf.DUMMYFUNCTION("""COMPUTED_VALUE"""),0.3)</f>
        <v>0.3</v>
      </c>
      <c r="AZ1123" s="14">
        <f>IFERROR(__xludf.DUMMYFUNCTION("""COMPUTED_VALUE"""),0.007)</f>
        <v>0.007</v>
      </c>
      <c r="BA1123" s="14">
        <f t="shared" si="1"/>
        <v>38.407</v>
      </c>
    </row>
    <row r="1124" ht="14.25" customHeight="1">
      <c r="A1124" s="10" t="str">
        <f>IFERROR(__xludf.DUMMYFUNCTION("""COMPUTED_VALUE"""),"300824DU01")</f>
        <v>300824DU01</v>
      </c>
      <c r="B1124" s="12" t="str">
        <f>IFERROR(__xludf.DUMMYFUNCTION("""COMPUTED_VALUE"""),"QYO-Monte Blanco")</f>
        <v>QYO-Monte Blanco</v>
      </c>
      <c r="C1124" s="12"/>
      <c r="D1124" s="12"/>
      <c r="E1124" s="44">
        <f>IFERROR(__xludf.DUMMYFUNCTION("""COMPUTED_VALUE"""),45534.0)</f>
        <v>45534</v>
      </c>
      <c r="F1124" s="12" t="str">
        <f>IFERROR(__xludf.DUMMYFUNCTION("""COMPUTED_VALUE"""),"TIPO I")</f>
        <v>TIPO I</v>
      </c>
      <c r="G1124" s="12" t="str">
        <f>IFERROR(__xludf.DUMMYFUNCTION("""COMPUTED_VALUE"""),"Durante el desarrollo del monitoreo se observa color, se percibe color y se evidencian residuos solidos en el cuerpo de agua. 
Altitud. 2654 msnm. ")</f>
        <v>Durante el desarrollo del monitoreo se observa color, se percibe color y se evidencian residuos solidos en el cuerpo de agua. 
Altitud. 2654 msnm. </v>
      </c>
      <c r="H1124" s="45">
        <f>IFERROR(__xludf.DUMMYFUNCTION("""COMPUTED_VALUE"""),0.3333333333321207)</f>
        <v>0.3333333333</v>
      </c>
      <c r="I1124" s="45">
        <f>IFERROR(__xludf.DUMMYFUNCTION("""COMPUTED_VALUE"""),0.4166666666678793)</f>
        <v>0.4166666667</v>
      </c>
      <c r="J1124" s="12">
        <f>IFERROR(__xludf.DUMMYFUNCTION("""COMPUTED_VALUE"""),1.5)</f>
        <v>1.5</v>
      </c>
      <c r="K1124" s="12">
        <f>IFERROR(__xludf.DUMMYFUNCTION("""COMPUTED_VALUE"""),0.35)</f>
        <v>0.35</v>
      </c>
      <c r="L1124" s="14">
        <f>IFERROR(__xludf.DUMMYFUNCTION("""COMPUTED_VALUE"""),171.235)</f>
        <v>171.235</v>
      </c>
      <c r="M1124" s="14">
        <f>IFERROR(__xludf.DUMMYFUNCTION("""COMPUTED_VALUE"""),172.915)</f>
        <v>172.915</v>
      </c>
      <c r="N1124" s="14">
        <f>IFERROR(__xludf.DUMMYFUNCTION("""COMPUTED_VALUE"""),174.873)</f>
        <v>174.873</v>
      </c>
      <c r="O1124" s="14">
        <f>IFERROR(__xludf.DUMMYFUNCTION("""COMPUTED_VALUE"""),173.219)</f>
        <v>173.219</v>
      </c>
      <c r="P1124" s="14">
        <f>IFERROR(__xludf.DUMMYFUNCTION("""COMPUTED_VALUE"""),174.525)</f>
        <v>174.525</v>
      </c>
      <c r="Q1124" s="14">
        <f>IFERROR(__xludf.DUMMYFUNCTION("""COMPUTED_VALUE"""),173.354)</f>
        <v>173.354</v>
      </c>
      <c r="R1124" s="48">
        <f>IFERROR(__xludf.DUMMYFUNCTION("""COMPUTED_VALUE"""),7.09)</f>
        <v>7.09</v>
      </c>
      <c r="S1124" s="48">
        <f>IFERROR(__xludf.DUMMYFUNCTION("""COMPUTED_VALUE"""),6.92)</f>
        <v>6.92</v>
      </c>
      <c r="T1124" s="48">
        <f>IFERROR(__xludf.DUMMYFUNCTION("""COMPUTED_VALUE"""),7.15)</f>
        <v>7.15</v>
      </c>
      <c r="U1124" s="48">
        <f>IFERROR(__xludf.DUMMYFUNCTION("""COMPUTED_VALUE"""),7.02)</f>
        <v>7.02</v>
      </c>
      <c r="V1124" s="48">
        <f>IFERROR(__xludf.DUMMYFUNCTION("""COMPUTED_VALUE"""),7.21)</f>
        <v>7.21</v>
      </c>
      <c r="W1124" s="14">
        <f>IFERROR(__xludf.DUMMYFUNCTION("""COMPUTED_VALUE"""),7.078)</f>
        <v>7.078</v>
      </c>
      <c r="X1124" s="14">
        <f>IFERROR(__xludf.DUMMYFUNCTION("""COMPUTED_VALUE"""),12.6)</f>
        <v>12.6</v>
      </c>
      <c r="Y1124" s="14">
        <f>IFERROR(__xludf.DUMMYFUNCTION("""COMPUTED_VALUE"""),12.8)</f>
        <v>12.8</v>
      </c>
      <c r="Z1124" s="14">
        <f>IFERROR(__xludf.DUMMYFUNCTION("""COMPUTED_VALUE"""),13.3)</f>
        <v>13.3</v>
      </c>
      <c r="AA1124" s="14">
        <f>IFERROR(__xludf.DUMMYFUNCTION("""COMPUTED_VALUE"""),13.5)</f>
        <v>13.5</v>
      </c>
      <c r="AB1124" s="14">
        <f>IFERROR(__xludf.DUMMYFUNCTION("""COMPUTED_VALUE"""),13.6)</f>
        <v>13.6</v>
      </c>
      <c r="AC1124" s="14">
        <f>IFERROR(__xludf.DUMMYFUNCTION("""COMPUTED_VALUE"""),13.16)</f>
        <v>13.16</v>
      </c>
      <c r="AD1124" s="48">
        <f>IFERROR(__xludf.DUMMYFUNCTION("""COMPUTED_VALUE"""),296.0)</f>
        <v>296</v>
      </c>
      <c r="AE1124" s="48">
        <f>IFERROR(__xludf.DUMMYFUNCTION("""COMPUTED_VALUE"""),317.0)</f>
        <v>317</v>
      </c>
      <c r="AF1124" s="48">
        <f>IFERROR(__xludf.DUMMYFUNCTION("""COMPUTED_VALUE"""),322.0)</f>
        <v>322</v>
      </c>
      <c r="AG1124" s="48">
        <f>IFERROR(__xludf.DUMMYFUNCTION("""COMPUTED_VALUE"""),316.0)</f>
        <v>316</v>
      </c>
      <c r="AH1124" s="48">
        <f>IFERROR(__xludf.DUMMYFUNCTION("""COMPUTED_VALUE"""),319.0)</f>
        <v>319</v>
      </c>
      <c r="AI1124" s="14">
        <f>IFERROR(__xludf.DUMMYFUNCTION("""COMPUTED_VALUE"""),314.0)</f>
        <v>314</v>
      </c>
      <c r="AJ1124" s="14">
        <f>IFERROR(__xludf.DUMMYFUNCTION("""COMPUTED_VALUE"""),4.67)</f>
        <v>4.67</v>
      </c>
      <c r="AK1124" s="14">
        <f>IFERROR(__xludf.DUMMYFUNCTION("""COMPUTED_VALUE"""),3.99)</f>
        <v>3.99</v>
      </c>
      <c r="AL1124" s="14">
        <f>IFERROR(__xludf.DUMMYFUNCTION("""COMPUTED_VALUE"""),4.12)</f>
        <v>4.12</v>
      </c>
      <c r="AM1124" s="14">
        <f>IFERROR(__xludf.DUMMYFUNCTION("""COMPUTED_VALUE"""),4.06)</f>
        <v>4.06</v>
      </c>
      <c r="AN1124" s="14">
        <f>IFERROR(__xludf.DUMMYFUNCTION("""COMPUTED_VALUE"""),3.88)</f>
        <v>3.88</v>
      </c>
      <c r="AO1124" s="14">
        <f>IFERROR(__xludf.DUMMYFUNCTION("""COMPUTED_VALUE"""),4.144)</f>
        <v>4.144</v>
      </c>
      <c r="AP1124" s="14">
        <f>IFERROR(__xludf.DUMMYFUNCTION("""COMPUTED_VALUE"""),38.0)</f>
        <v>38</v>
      </c>
      <c r="AQ1124" s="14">
        <f>IFERROR(__xludf.DUMMYFUNCTION("""COMPUTED_VALUE"""),92.0)</f>
        <v>92</v>
      </c>
      <c r="AR1124" s="14">
        <f>IFERROR(__xludf.DUMMYFUNCTION("""COMPUTED_VALUE"""),18.0)</f>
        <v>18</v>
      </c>
      <c r="AS1124" s="14">
        <f>IFERROR(__xludf.DUMMYFUNCTION("""COMPUTED_VALUE"""),13.2)</f>
        <v>13.2</v>
      </c>
      <c r="AT1124" s="14">
        <f>IFERROR(__xludf.DUMMYFUNCTION("""COMPUTED_VALUE"""),2.42)</f>
        <v>2.42</v>
      </c>
      <c r="AU1124" s="14">
        <f>IFERROR(__xludf.DUMMYFUNCTION("""COMPUTED_VALUE"""),8440000.0)</f>
        <v>8440000</v>
      </c>
      <c r="AV1124" s="14">
        <f>IFERROR(__xludf.DUMMYFUNCTION("""COMPUTED_VALUE"""),2.07)</f>
        <v>2.07</v>
      </c>
      <c r="AW1124" s="14">
        <f>IFERROR(__xludf.DUMMYFUNCTION("""COMPUTED_VALUE"""),16.2)</f>
        <v>16.2</v>
      </c>
      <c r="AX1124" s="14">
        <f>IFERROR(__xludf.DUMMYFUNCTION("""COMPUTED_VALUE"""),5940000.0)</f>
        <v>5940000</v>
      </c>
      <c r="AY1124" s="14">
        <f>IFERROR(__xludf.DUMMYFUNCTION("""COMPUTED_VALUE"""),0.1)</f>
        <v>0.1</v>
      </c>
      <c r="AZ1124" s="14">
        <f>IFERROR(__xludf.DUMMYFUNCTION("""COMPUTED_VALUE"""),0.007)</f>
        <v>0.007</v>
      </c>
      <c r="BA1124" s="14">
        <f t="shared" si="1"/>
        <v>16.307</v>
      </c>
    </row>
    <row r="1125" ht="14.25" customHeight="1">
      <c r="A1125" s="10" t="str">
        <f>IFERROR(__xludf.DUMMYFUNCTION("""COMPUTED_VALUE"""),"290824DU02")</f>
        <v>290824DU02</v>
      </c>
      <c r="B1125" s="12" t="str">
        <f>IFERROR(__xludf.DUMMYFUNCTION("""COMPUTED_VALUE"""),"CMO-Alhambra")</f>
        <v>CMO-Alhambra</v>
      </c>
      <c r="C1125" s="12"/>
      <c r="D1125" s="12"/>
      <c r="E1125" s="44">
        <f>IFERROR(__xludf.DUMMYFUNCTION("""COMPUTED_VALUE"""),45533.0)</f>
        <v>45533</v>
      </c>
      <c r="F1125" s="12" t="str">
        <f>IFERROR(__xludf.DUMMYFUNCTION("""COMPUTED_VALUE"""),"TIPO I")</f>
        <v>TIPO I</v>
      </c>
      <c r="G1125" s="12" t="str">
        <f>IFERROR(__xludf.DUMMYFUNCTION("""COMPUTED_VALUE"""),"Monitoreo realizado en canal con estructura en concreto lecho rocoso y lodoso, durante la toma de muestra se observa color y se percibe olor. 
Altitud: 2550 msnm")</f>
        <v>Monitoreo realizado en canal con estructura en concreto lecho rocoso y lodoso, durante la toma de muestra se observa color y se percibe olor. 
Altitud: 2550 msnm</v>
      </c>
      <c r="H1125" s="45">
        <f>IFERROR(__xludf.DUMMYFUNCTION("""COMPUTED_VALUE"""),0.40625)</f>
        <v>0.40625</v>
      </c>
      <c r="I1125" s="45">
        <f>IFERROR(__xludf.DUMMYFUNCTION("""COMPUTED_VALUE"""),0.4895833333321207)</f>
        <v>0.4895833333</v>
      </c>
      <c r="J1125" s="12">
        <f>IFERROR(__xludf.DUMMYFUNCTION("""COMPUTED_VALUE"""),6.3)</f>
        <v>6.3</v>
      </c>
      <c r="K1125" s="12">
        <f>IFERROR(__xludf.DUMMYFUNCTION("""COMPUTED_VALUE"""),0.19)</f>
        <v>0.19</v>
      </c>
      <c r="L1125" s="14">
        <f>IFERROR(__xludf.DUMMYFUNCTION("""COMPUTED_VALUE"""),234.657)</f>
        <v>234.657</v>
      </c>
      <c r="M1125" s="14">
        <f>IFERROR(__xludf.DUMMYFUNCTION("""COMPUTED_VALUE"""),238.535)</f>
        <v>238.535</v>
      </c>
      <c r="N1125" s="14">
        <f>IFERROR(__xludf.DUMMYFUNCTION("""COMPUTED_VALUE"""),241.546)</f>
        <v>241.546</v>
      </c>
      <c r="O1125" s="14">
        <f>IFERROR(__xludf.DUMMYFUNCTION("""COMPUTED_VALUE"""),241.843)</f>
        <v>241.843</v>
      </c>
      <c r="P1125" s="14">
        <f>IFERROR(__xludf.DUMMYFUNCTION("""COMPUTED_VALUE"""),242.422)</f>
        <v>242.422</v>
      </c>
      <c r="Q1125" s="14">
        <f>IFERROR(__xludf.DUMMYFUNCTION("""COMPUTED_VALUE"""),239.801)</f>
        <v>239.801</v>
      </c>
      <c r="R1125" s="48">
        <f>IFERROR(__xludf.DUMMYFUNCTION("""COMPUTED_VALUE"""),8.28)</f>
        <v>8.28</v>
      </c>
      <c r="S1125" s="48">
        <f>IFERROR(__xludf.DUMMYFUNCTION("""COMPUTED_VALUE"""),8.13)</f>
        <v>8.13</v>
      </c>
      <c r="T1125" s="48">
        <f>IFERROR(__xludf.DUMMYFUNCTION("""COMPUTED_VALUE"""),7.9)</f>
        <v>7.9</v>
      </c>
      <c r="U1125" s="48">
        <f>IFERROR(__xludf.DUMMYFUNCTION("""COMPUTED_VALUE"""),8.16)</f>
        <v>8.16</v>
      </c>
      <c r="V1125" s="48">
        <f>IFERROR(__xludf.DUMMYFUNCTION("""COMPUTED_VALUE"""),7.99)</f>
        <v>7.99</v>
      </c>
      <c r="W1125" s="14">
        <f>IFERROR(__xludf.DUMMYFUNCTION("""COMPUTED_VALUE"""),8.092)</f>
        <v>8.092</v>
      </c>
      <c r="X1125" s="14">
        <f>IFERROR(__xludf.DUMMYFUNCTION("""COMPUTED_VALUE"""),19.9)</f>
        <v>19.9</v>
      </c>
      <c r="Y1125" s="14">
        <f>IFERROR(__xludf.DUMMYFUNCTION("""COMPUTED_VALUE"""),19.2)</f>
        <v>19.2</v>
      </c>
      <c r="Z1125" s="14">
        <f>IFERROR(__xludf.DUMMYFUNCTION("""COMPUTED_VALUE"""),20.0)</f>
        <v>20</v>
      </c>
      <c r="AA1125" s="14">
        <f>IFERROR(__xludf.DUMMYFUNCTION("""COMPUTED_VALUE"""),19.4)</f>
        <v>19.4</v>
      </c>
      <c r="AB1125" s="14">
        <f>IFERROR(__xludf.DUMMYFUNCTION("""COMPUTED_VALUE"""),20.4)</f>
        <v>20.4</v>
      </c>
      <c r="AC1125" s="14">
        <f>IFERROR(__xludf.DUMMYFUNCTION("""COMPUTED_VALUE"""),19.78)</f>
        <v>19.78</v>
      </c>
      <c r="AD1125" s="48">
        <f>IFERROR(__xludf.DUMMYFUNCTION("""COMPUTED_VALUE"""),439.0)</f>
        <v>439</v>
      </c>
      <c r="AE1125" s="48">
        <f>IFERROR(__xludf.DUMMYFUNCTION("""COMPUTED_VALUE"""),477.0)</f>
        <v>477</v>
      </c>
      <c r="AF1125" s="48">
        <f>IFERROR(__xludf.DUMMYFUNCTION("""COMPUTED_VALUE"""),432.0)</f>
        <v>432</v>
      </c>
      <c r="AG1125" s="48">
        <f>IFERROR(__xludf.DUMMYFUNCTION("""COMPUTED_VALUE"""),472.0)</f>
        <v>472</v>
      </c>
      <c r="AH1125" s="48">
        <f>IFERROR(__xludf.DUMMYFUNCTION("""COMPUTED_VALUE"""),467.0)</f>
        <v>467</v>
      </c>
      <c r="AI1125" s="14">
        <f>IFERROR(__xludf.DUMMYFUNCTION("""COMPUTED_VALUE"""),457.4)</f>
        <v>457.4</v>
      </c>
      <c r="AJ1125" s="14">
        <f>IFERROR(__xludf.DUMMYFUNCTION("""COMPUTED_VALUE"""),2.99)</f>
        <v>2.99</v>
      </c>
      <c r="AK1125" s="14">
        <f>IFERROR(__xludf.DUMMYFUNCTION("""COMPUTED_VALUE"""),2.24)</f>
        <v>2.24</v>
      </c>
      <c r="AL1125" s="14">
        <f>IFERROR(__xludf.DUMMYFUNCTION("""COMPUTED_VALUE"""),2.35)</f>
        <v>2.35</v>
      </c>
      <c r="AM1125" s="14">
        <f>IFERROR(__xludf.DUMMYFUNCTION("""COMPUTED_VALUE"""),3.45)</f>
        <v>3.45</v>
      </c>
      <c r="AN1125" s="14">
        <f>IFERROR(__xludf.DUMMYFUNCTION("""COMPUTED_VALUE"""),2.18)</f>
        <v>2.18</v>
      </c>
      <c r="AO1125" s="14">
        <f>IFERROR(__xludf.DUMMYFUNCTION("""COMPUTED_VALUE"""),2.6420000000000003)</f>
        <v>2.642</v>
      </c>
      <c r="AP1125" s="14">
        <f>IFERROR(__xludf.DUMMYFUNCTION("""COMPUTED_VALUE"""),120.0)</f>
        <v>120</v>
      </c>
      <c r="AQ1125" s="14">
        <f>IFERROR(__xludf.DUMMYFUNCTION("""COMPUTED_VALUE"""),229.0)</f>
        <v>229</v>
      </c>
      <c r="AR1125" s="14">
        <f>IFERROR(__xludf.DUMMYFUNCTION("""COMPUTED_VALUE"""),50.0)</f>
        <v>50</v>
      </c>
      <c r="AS1125" s="14">
        <f>IFERROR(__xludf.DUMMYFUNCTION("""COMPUTED_VALUE"""),16.5)</f>
        <v>16.5</v>
      </c>
      <c r="AT1125" s="14">
        <f>IFERROR(__xludf.DUMMYFUNCTION("""COMPUTED_VALUE"""),3.35)</f>
        <v>3.35</v>
      </c>
      <c r="AU1125" s="14">
        <f>IFERROR(__xludf.DUMMYFUNCTION("""COMPUTED_VALUE"""),1399000.0)</f>
        <v>1399000</v>
      </c>
      <c r="AV1125" s="14">
        <f>IFERROR(__xludf.DUMMYFUNCTION("""COMPUTED_VALUE"""),3.19)</f>
        <v>3.19</v>
      </c>
      <c r="AW1125" s="14">
        <f>IFERROR(__xludf.DUMMYFUNCTION("""COMPUTED_VALUE"""),40.3)</f>
        <v>40.3</v>
      </c>
      <c r="AX1125" s="14">
        <f>IFERROR(__xludf.DUMMYFUNCTION("""COMPUTED_VALUE"""),82600.0)</f>
        <v>82600</v>
      </c>
      <c r="AY1125" s="14">
        <f>IFERROR(__xludf.DUMMYFUNCTION("""COMPUTED_VALUE"""),0.4)</f>
        <v>0.4</v>
      </c>
      <c r="AZ1125" s="14">
        <f>IFERROR(__xludf.DUMMYFUNCTION("""COMPUTED_VALUE"""),0.007)</f>
        <v>0.007</v>
      </c>
      <c r="BA1125" s="14">
        <f t="shared" si="1"/>
        <v>40.707</v>
      </c>
    </row>
    <row r="1126" ht="14.25" customHeight="1">
      <c r="A1126" s="10" t="str">
        <f>IFERROR(__xludf.DUMMYFUNCTION("""COMPUTED_VALUE"""),"290824DU03")</f>
        <v>290824DU03</v>
      </c>
      <c r="B1126" s="12" t="str">
        <f>IFERROR(__xludf.DUMMYFUNCTION("""COMPUTED_VALUE"""),"CMO-Santa Ana")</f>
        <v>CMO-Santa Ana</v>
      </c>
      <c r="C1126" s="12"/>
      <c r="D1126" s="12"/>
      <c r="E1126" s="44">
        <f>IFERROR(__xludf.DUMMYFUNCTION("""COMPUTED_VALUE"""),45533.0)</f>
        <v>45533</v>
      </c>
      <c r="F1126" s="12" t="str">
        <f>IFERROR(__xludf.DUMMYFUNCTION("""COMPUTED_VALUE"""),"TIPO I")</f>
        <v>TIPO I</v>
      </c>
      <c r="G1126" s="12" t="str">
        <f>IFERROR(__xludf.DUMMYFUNCTION("""COMPUTED_VALUE"""),"Monitoreo realizado en canal con estructura en concreto, durante la toma de muestra se observa color y se percibe olor.  
Altitud: 2557 msnm")</f>
        <v>Monitoreo realizado en canal con estructura en concreto, durante la toma de muestra se observa color y se percibe olor.  
Altitud: 2557 msnm</v>
      </c>
      <c r="H1126" s="45">
        <f>IFERROR(__xludf.DUMMYFUNCTION("""COMPUTED_VALUE"""),0.5625)</f>
        <v>0.5625</v>
      </c>
      <c r="I1126" s="45">
        <f>IFERROR(__xludf.DUMMYFUNCTION("""COMPUTED_VALUE"""),0.6458333333321207)</f>
        <v>0.6458333333</v>
      </c>
      <c r="J1126" s="12">
        <f>IFERROR(__xludf.DUMMYFUNCTION("""COMPUTED_VALUE"""),3.0)</f>
        <v>3</v>
      </c>
      <c r="K1126" s="12">
        <f>IFERROR(__xludf.DUMMYFUNCTION("""COMPUTED_VALUE"""),0.13)</f>
        <v>0.13</v>
      </c>
      <c r="L1126" s="14">
        <f>IFERROR(__xludf.DUMMYFUNCTION("""COMPUTED_VALUE"""),172.324)</f>
        <v>172.324</v>
      </c>
      <c r="M1126" s="14">
        <f>IFERROR(__xludf.DUMMYFUNCTION("""COMPUTED_VALUE"""),176.453)</f>
        <v>176.453</v>
      </c>
      <c r="N1126" s="14">
        <f>IFERROR(__xludf.DUMMYFUNCTION("""COMPUTED_VALUE"""),177.499)</f>
        <v>177.499</v>
      </c>
      <c r="O1126" s="14">
        <f>IFERROR(__xludf.DUMMYFUNCTION("""COMPUTED_VALUE"""),179.552)</f>
        <v>179.552</v>
      </c>
      <c r="P1126" s="14">
        <f>IFERROR(__xludf.DUMMYFUNCTION("""COMPUTED_VALUE"""),178.702)</f>
        <v>178.702</v>
      </c>
      <c r="Q1126" s="14">
        <f>IFERROR(__xludf.DUMMYFUNCTION("""COMPUTED_VALUE"""),176.906)</f>
        <v>176.906</v>
      </c>
      <c r="R1126" s="48">
        <f>IFERROR(__xludf.DUMMYFUNCTION("""COMPUTED_VALUE"""),7.92)</f>
        <v>7.92</v>
      </c>
      <c r="S1126" s="48">
        <f>IFERROR(__xludf.DUMMYFUNCTION("""COMPUTED_VALUE"""),7.75)</f>
        <v>7.75</v>
      </c>
      <c r="T1126" s="48">
        <f>IFERROR(__xludf.DUMMYFUNCTION("""COMPUTED_VALUE"""),7.68)</f>
        <v>7.68</v>
      </c>
      <c r="U1126" s="48">
        <f>IFERROR(__xludf.DUMMYFUNCTION("""COMPUTED_VALUE"""),7.36)</f>
        <v>7.36</v>
      </c>
      <c r="V1126" s="48">
        <f>IFERROR(__xludf.DUMMYFUNCTION("""COMPUTED_VALUE"""),7.8)</f>
        <v>7.8</v>
      </c>
      <c r="W1126" s="14">
        <f>IFERROR(__xludf.DUMMYFUNCTION("""COMPUTED_VALUE"""),7.702)</f>
        <v>7.702</v>
      </c>
      <c r="X1126" s="14">
        <f>IFERROR(__xludf.DUMMYFUNCTION("""COMPUTED_VALUE"""),19.5)</f>
        <v>19.5</v>
      </c>
      <c r="Y1126" s="14">
        <f>IFERROR(__xludf.DUMMYFUNCTION("""COMPUTED_VALUE"""),19.6)</f>
        <v>19.6</v>
      </c>
      <c r="Z1126" s="14">
        <f>IFERROR(__xludf.DUMMYFUNCTION("""COMPUTED_VALUE"""),19.7)</f>
        <v>19.7</v>
      </c>
      <c r="AA1126" s="14">
        <f>IFERROR(__xludf.DUMMYFUNCTION("""COMPUTED_VALUE"""),20.2)</f>
        <v>20.2</v>
      </c>
      <c r="AB1126" s="14">
        <f>IFERROR(__xludf.DUMMYFUNCTION("""COMPUTED_VALUE"""),19.7)</f>
        <v>19.7</v>
      </c>
      <c r="AC1126" s="14">
        <f>IFERROR(__xludf.DUMMYFUNCTION("""COMPUTED_VALUE"""),19.740000000000002)</f>
        <v>19.74</v>
      </c>
      <c r="AD1126" s="48">
        <f>IFERROR(__xludf.DUMMYFUNCTION("""COMPUTED_VALUE"""),511.0)</f>
        <v>511</v>
      </c>
      <c r="AE1126" s="48">
        <f>IFERROR(__xludf.DUMMYFUNCTION("""COMPUTED_VALUE"""),519.0)</f>
        <v>519</v>
      </c>
      <c r="AF1126" s="48">
        <f>IFERROR(__xludf.DUMMYFUNCTION("""COMPUTED_VALUE"""),527.0)</f>
        <v>527</v>
      </c>
      <c r="AG1126" s="48">
        <f>IFERROR(__xludf.DUMMYFUNCTION("""COMPUTED_VALUE"""),476.0)</f>
        <v>476</v>
      </c>
      <c r="AH1126" s="48">
        <f>IFERROR(__xludf.DUMMYFUNCTION("""COMPUTED_VALUE"""),521.0)</f>
        <v>521</v>
      </c>
      <c r="AI1126" s="14">
        <f>IFERROR(__xludf.DUMMYFUNCTION("""COMPUTED_VALUE"""),510.8)</f>
        <v>510.8</v>
      </c>
      <c r="AJ1126" s="14">
        <f>IFERROR(__xludf.DUMMYFUNCTION("""COMPUTED_VALUE"""),2.67)</f>
        <v>2.67</v>
      </c>
      <c r="AK1126" s="14">
        <f>IFERROR(__xludf.DUMMYFUNCTION("""COMPUTED_VALUE"""),2.25)</f>
        <v>2.25</v>
      </c>
      <c r="AL1126" s="14">
        <f>IFERROR(__xludf.DUMMYFUNCTION("""COMPUTED_VALUE"""),1.35)</f>
        <v>1.35</v>
      </c>
      <c r="AM1126" s="14">
        <f>IFERROR(__xludf.DUMMYFUNCTION("""COMPUTED_VALUE"""),1.98)</f>
        <v>1.98</v>
      </c>
      <c r="AN1126" s="14">
        <f>IFERROR(__xludf.DUMMYFUNCTION("""COMPUTED_VALUE"""),2.39)</f>
        <v>2.39</v>
      </c>
      <c r="AO1126" s="14">
        <f>IFERROR(__xludf.DUMMYFUNCTION("""COMPUTED_VALUE"""),2.128)</f>
        <v>2.128</v>
      </c>
      <c r="AP1126" s="14">
        <f>IFERROR(__xludf.DUMMYFUNCTION("""COMPUTED_VALUE"""),95.0)</f>
        <v>95</v>
      </c>
      <c r="AQ1126" s="14">
        <f>IFERROR(__xludf.DUMMYFUNCTION("""COMPUTED_VALUE"""),137.0)</f>
        <v>137</v>
      </c>
      <c r="AR1126" s="14">
        <f>IFERROR(__xludf.DUMMYFUNCTION("""COMPUTED_VALUE"""),43.0)</f>
        <v>43</v>
      </c>
      <c r="AS1126" s="14">
        <f>IFERROR(__xludf.DUMMYFUNCTION("""COMPUTED_VALUE"""),16.7)</f>
        <v>16.7</v>
      </c>
      <c r="AT1126" s="14">
        <f>IFERROR(__xludf.DUMMYFUNCTION("""COMPUTED_VALUE"""),7.2)</f>
        <v>7.2</v>
      </c>
      <c r="AU1126" s="14">
        <f>IFERROR(__xludf.DUMMYFUNCTION("""COMPUTED_VALUE"""),4200000.0)</f>
        <v>4200000</v>
      </c>
      <c r="AV1126" s="14">
        <f>IFERROR(__xludf.DUMMYFUNCTION("""COMPUTED_VALUE"""),3.55)</f>
        <v>3.55</v>
      </c>
      <c r="AW1126" s="14">
        <f>IFERROR(__xludf.DUMMYFUNCTION("""COMPUTED_VALUE"""),45.4)</f>
        <v>45.4</v>
      </c>
      <c r="AX1126" s="14">
        <f>IFERROR(__xludf.DUMMYFUNCTION("""COMPUTED_VALUE"""),2790000.0)</f>
        <v>2790000</v>
      </c>
      <c r="AY1126" s="14">
        <f>IFERROR(__xludf.DUMMYFUNCTION("""COMPUTED_VALUE"""),0.3)</f>
        <v>0.3</v>
      </c>
      <c r="AZ1126" s="14">
        <f>IFERROR(__xludf.DUMMYFUNCTION("""COMPUTED_VALUE"""),0.007)</f>
        <v>0.007</v>
      </c>
      <c r="BA1126" s="14">
        <f t="shared" si="1"/>
        <v>45.707</v>
      </c>
    </row>
    <row r="1127" ht="14.25" customHeight="1">
      <c r="A1127" s="10" t="str">
        <f>IFERROR(__xludf.DUMMYFUNCTION("""COMPUTED_VALUE"""),"290824DU04")</f>
        <v>290824DU04</v>
      </c>
      <c r="B1127" s="12" t="str">
        <f>IFERROR(__xludf.DUMMYFUNCTION("""COMPUTED_VALUE"""),"CMO-Cantón Norte")</f>
        <v>CMO-Cantón Norte</v>
      </c>
      <c r="C1127" s="12"/>
      <c r="D1127" s="12"/>
      <c r="E1127" s="44">
        <f>IFERROR(__xludf.DUMMYFUNCTION("""COMPUTED_VALUE"""),45533.0)</f>
        <v>45533</v>
      </c>
      <c r="F1127" s="12" t="str">
        <f>IFERROR(__xludf.DUMMYFUNCTION("""COMPUTED_VALUE"""),"TIPO I")</f>
        <v>TIPO I</v>
      </c>
      <c r="G1127" s="12" t="str">
        <f>IFERROR(__xludf.DUMMYFUNCTION("""COMPUTED_VALUE"""),"Monitoreo realizado en canal con estructura en concreto con lecho rocoso y arenoso, durante la toma de muestra se observa color y no se percibe olor. 
Altitud: 2581 msnm")</f>
        <v>Monitoreo realizado en canal con estructura en concreto con lecho rocoso y arenoso, durante la toma de muestra se observa color y no se percibe olor. 
Altitud: 2581 msnm</v>
      </c>
      <c r="H1127" s="45">
        <f>IFERROR(__xludf.DUMMYFUNCTION("""COMPUTED_VALUE"""),0.6666666666678793)</f>
        <v>0.6666666667</v>
      </c>
      <c r="I1127" s="45">
        <f>IFERROR(__xludf.DUMMYFUNCTION("""COMPUTED_VALUE"""),0.75)</f>
        <v>0.75</v>
      </c>
      <c r="J1127" s="12">
        <f>IFERROR(__xludf.DUMMYFUNCTION("""COMPUTED_VALUE"""),1.4)</f>
        <v>1.4</v>
      </c>
      <c r="K1127" s="12">
        <f>IFERROR(__xludf.DUMMYFUNCTION("""COMPUTED_VALUE"""),0.1)</f>
        <v>0.1</v>
      </c>
      <c r="L1127" s="14">
        <f>IFERROR(__xludf.DUMMYFUNCTION("""COMPUTED_VALUE"""),74.048)</f>
        <v>74.048</v>
      </c>
      <c r="M1127" s="14">
        <f>IFERROR(__xludf.DUMMYFUNCTION("""COMPUTED_VALUE"""),74.758)</f>
        <v>74.758</v>
      </c>
      <c r="N1127" s="14">
        <f>IFERROR(__xludf.DUMMYFUNCTION("""COMPUTED_VALUE"""),74.077)</f>
        <v>74.077</v>
      </c>
      <c r="O1127" s="14">
        <f>IFERROR(__xludf.DUMMYFUNCTION("""COMPUTED_VALUE"""),74.745)</f>
        <v>74.745</v>
      </c>
      <c r="P1127" s="14">
        <f>IFERROR(__xludf.DUMMYFUNCTION("""COMPUTED_VALUE"""),75.617)</f>
        <v>75.617</v>
      </c>
      <c r="Q1127" s="14">
        <f>IFERROR(__xludf.DUMMYFUNCTION("""COMPUTED_VALUE"""),74.649)</f>
        <v>74.649</v>
      </c>
      <c r="R1127" s="48">
        <f>IFERROR(__xludf.DUMMYFUNCTION("""COMPUTED_VALUE"""),8.19)</f>
        <v>8.19</v>
      </c>
      <c r="S1127" s="48">
        <f>IFERROR(__xludf.DUMMYFUNCTION("""COMPUTED_VALUE"""),8.0)</f>
        <v>8</v>
      </c>
      <c r="T1127" s="48">
        <f>IFERROR(__xludf.DUMMYFUNCTION("""COMPUTED_VALUE"""),7.89)</f>
        <v>7.89</v>
      </c>
      <c r="U1127" s="48">
        <f>IFERROR(__xludf.DUMMYFUNCTION("""COMPUTED_VALUE"""),7.75)</f>
        <v>7.75</v>
      </c>
      <c r="V1127" s="48">
        <f>IFERROR(__xludf.DUMMYFUNCTION("""COMPUTED_VALUE"""),7.55)</f>
        <v>7.55</v>
      </c>
      <c r="W1127" s="14">
        <f>IFERROR(__xludf.DUMMYFUNCTION("""COMPUTED_VALUE"""),7.8759999999999994)</f>
        <v>7.876</v>
      </c>
      <c r="X1127" s="14">
        <f>IFERROR(__xludf.DUMMYFUNCTION("""COMPUTED_VALUE"""),15.2)</f>
        <v>15.2</v>
      </c>
      <c r="Y1127" s="14">
        <f>IFERROR(__xludf.DUMMYFUNCTION("""COMPUTED_VALUE"""),15.9)</f>
        <v>15.9</v>
      </c>
      <c r="Z1127" s="14">
        <f>IFERROR(__xludf.DUMMYFUNCTION("""COMPUTED_VALUE"""),15.5)</f>
        <v>15.5</v>
      </c>
      <c r="AA1127" s="14">
        <f>IFERROR(__xludf.DUMMYFUNCTION("""COMPUTED_VALUE"""),15.0)</f>
        <v>15</v>
      </c>
      <c r="AB1127" s="14">
        <f>IFERROR(__xludf.DUMMYFUNCTION("""COMPUTED_VALUE"""),15.2)</f>
        <v>15.2</v>
      </c>
      <c r="AC1127" s="14">
        <f>IFERROR(__xludf.DUMMYFUNCTION("""COMPUTED_VALUE"""),15.36)</f>
        <v>15.36</v>
      </c>
      <c r="AD1127" s="48">
        <f>IFERROR(__xludf.DUMMYFUNCTION("""COMPUTED_VALUE"""),422.0)</f>
        <v>422</v>
      </c>
      <c r="AE1127" s="48">
        <f>IFERROR(__xludf.DUMMYFUNCTION("""COMPUTED_VALUE"""),408.0)</f>
        <v>408</v>
      </c>
      <c r="AF1127" s="48">
        <f>IFERROR(__xludf.DUMMYFUNCTION("""COMPUTED_VALUE"""),383.0)</f>
        <v>383</v>
      </c>
      <c r="AG1127" s="48">
        <f>IFERROR(__xludf.DUMMYFUNCTION("""COMPUTED_VALUE"""),402.0)</f>
        <v>402</v>
      </c>
      <c r="AH1127" s="48">
        <f>IFERROR(__xludf.DUMMYFUNCTION("""COMPUTED_VALUE"""),397.0)</f>
        <v>397</v>
      </c>
      <c r="AI1127" s="14">
        <f>IFERROR(__xludf.DUMMYFUNCTION("""COMPUTED_VALUE"""),402.4)</f>
        <v>402.4</v>
      </c>
      <c r="AJ1127" s="14">
        <f>IFERROR(__xludf.DUMMYFUNCTION("""COMPUTED_VALUE"""),6.07)</f>
        <v>6.07</v>
      </c>
      <c r="AK1127" s="14">
        <f>IFERROR(__xludf.DUMMYFUNCTION("""COMPUTED_VALUE"""),5.41)</f>
        <v>5.41</v>
      </c>
      <c r="AL1127" s="14">
        <f>IFERROR(__xludf.DUMMYFUNCTION("""COMPUTED_VALUE"""),5.57)</f>
        <v>5.57</v>
      </c>
      <c r="AM1127" s="14">
        <f>IFERROR(__xludf.DUMMYFUNCTION("""COMPUTED_VALUE"""),5.11)</f>
        <v>5.11</v>
      </c>
      <c r="AN1127" s="14">
        <f>IFERROR(__xludf.DUMMYFUNCTION("""COMPUTED_VALUE"""),5.31)</f>
        <v>5.31</v>
      </c>
      <c r="AO1127" s="14">
        <f>IFERROR(__xludf.DUMMYFUNCTION("""COMPUTED_VALUE"""),5.494)</f>
        <v>5.494</v>
      </c>
      <c r="AP1127" s="14">
        <f>IFERROR(__xludf.DUMMYFUNCTION("""COMPUTED_VALUE"""),48.0)</f>
        <v>48</v>
      </c>
      <c r="AQ1127" s="14">
        <f>IFERROR(__xludf.DUMMYFUNCTION("""COMPUTED_VALUE"""),80.0)</f>
        <v>80</v>
      </c>
      <c r="AR1127" s="14">
        <f>IFERROR(__xludf.DUMMYFUNCTION("""COMPUTED_VALUE"""),18.0)</f>
        <v>18</v>
      </c>
      <c r="AS1127" s="14">
        <f>IFERROR(__xludf.DUMMYFUNCTION("""COMPUTED_VALUE"""),7.3)</f>
        <v>7.3</v>
      </c>
      <c r="AT1127" s="14">
        <f>IFERROR(__xludf.DUMMYFUNCTION("""COMPUTED_VALUE"""),7.54)</f>
        <v>7.54</v>
      </c>
      <c r="AU1127" s="14">
        <f>IFERROR(__xludf.DUMMYFUNCTION("""COMPUTED_VALUE"""),7920000.0)</f>
        <v>7920000</v>
      </c>
      <c r="AV1127" s="14">
        <f>IFERROR(__xludf.DUMMYFUNCTION("""COMPUTED_VALUE"""),2.85)</f>
        <v>2.85</v>
      </c>
      <c r="AW1127" s="14">
        <f>IFERROR(__xludf.DUMMYFUNCTION("""COMPUTED_VALUE"""),21.3)</f>
        <v>21.3</v>
      </c>
      <c r="AX1127" s="14">
        <f>IFERROR(__xludf.DUMMYFUNCTION("""COMPUTED_VALUE"""),2920000.0)</f>
        <v>2920000</v>
      </c>
      <c r="AY1127" s="14">
        <f>IFERROR(__xludf.DUMMYFUNCTION("""COMPUTED_VALUE"""),0.4)</f>
        <v>0.4</v>
      </c>
      <c r="AZ1127" s="14">
        <f>IFERROR(__xludf.DUMMYFUNCTION("""COMPUTED_VALUE"""),0.007)</f>
        <v>0.007</v>
      </c>
      <c r="BA1127" s="14">
        <f t="shared" si="1"/>
        <v>21.707</v>
      </c>
    </row>
    <row r="1128" ht="14.25" customHeight="1">
      <c r="A1128" s="10" t="str">
        <f>IFERROR(__xludf.DUMMYFUNCTION("""COMPUTED_VALUE"""),"290824HA04")</f>
        <v>290824HA04</v>
      </c>
      <c r="B1128" s="12" t="str">
        <f>IFERROR(__xludf.DUMMYFUNCTION("""COMPUTED_VALUE"""),"QZA-Quindío")</f>
        <v>QZA-Quindío</v>
      </c>
      <c r="C1128" s="12"/>
      <c r="D1128" s="12"/>
      <c r="E1128" s="44">
        <f>IFERROR(__xludf.DUMMYFUNCTION("""COMPUTED_VALUE"""),45533.0)</f>
        <v>45533</v>
      </c>
      <c r="F1128" s="12" t="str">
        <f>IFERROR(__xludf.DUMMYFUNCTION("""COMPUTED_VALUE"""),"TIPO I")</f>
        <v>TIPO I</v>
      </c>
      <c r="G1128" s="12" t="str">
        <f>IFERROR(__xludf.DUMMYFUNCTION("""COMPUTED_VALUE"""),"Durante el desarrollo del monitoreo no se percibe olor, no se observa color. Se observan residuos sólidos en las márgenes del cuerpo de agua y materia orgánica en el lecho.  
Altitud.2853 msnm. ")</f>
        <v>Durante el desarrollo del monitoreo no se percibe olor, no se observa color. Se observan residuos sólidos en las márgenes del cuerpo de agua y materia orgánica en el lecho.  
Altitud.2853 msnm. </v>
      </c>
      <c r="H1128" s="45">
        <f>IFERROR(__xludf.DUMMYFUNCTION("""COMPUTED_VALUE"""),0.6666666666678793)</f>
        <v>0.6666666667</v>
      </c>
      <c r="I1128" s="45">
        <f>IFERROR(__xludf.DUMMYFUNCTION("""COMPUTED_VALUE"""),0.75)</f>
        <v>0.75</v>
      </c>
      <c r="J1128" s="12">
        <f>IFERROR(__xludf.DUMMYFUNCTION("""COMPUTED_VALUE"""),0.85)</f>
        <v>0.85</v>
      </c>
      <c r="K1128" s="12">
        <f>IFERROR(__xludf.DUMMYFUNCTION("""COMPUTED_VALUE"""),0.06)</f>
        <v>0.06</v>
      </c>
      <c r="L1128" s="14">
        <f>IFERROR(__xludf.DUMMYFUNCTION("""COMPUTED_VALUE"""),5.529)</f>
        <v>5.529</v>
      </c>
      <c r="M1128" s="14">
        <f>IFERROR(__xludf.DUMMYFUNCTION("""COMPUTED_VALUE"""),5.362)</f>
        <v>5.362</v>
      </c>
      <c r="N1128" s="14">
        <f>IFERROR(__xludf.DUMMYFUNCTION("""COMPUTED_VALUE"""),5.526)</f>
        <v>5.526</v>
      </c>
      <c r="O1128" s="14">
        <f>IFERROR(__xludf.DUMMYFUNCTION("""COMPUTED_VALUE"""),5.303)</f>
        <v>5.303</v>
      </c>
      <c r="P1128" s="14">
        <f>IFERROR(__xludf.DUMMYFUNCTION("""COMPUTED_VALUE"""),5.636)</f>
        <v>5.636</v>
      </c>
      <c r="Q1128" s="14">
        <f>IFERROR(__xludf.DUMMYFUNCTION("""COMPUTED_VALUE"""),5.471)</f>
        <v>5.471</v>
      </c>
      <c r="R1128" s="48">
        <f>IFERROR(__xludf.DUMMYFUNCTION("""COMPUTED_VALUE"""),6.31)</f>
        <v>6.31</v>
      </c>
      <c r="S1128" s="48">
        <f>IFERROR(__xludf.DUMMYFUNCTION("""COMPUTED_VALUE"""),6.28)</f>
        <v>6.28</v>
      </c>
      <c r="T1128" s="48">
        <f>IFERROR(__xludf.DUMMYFUNCTION("""COMPUTED_VALUE"""),6.18)</f>
        <v>6.18</v>
      </c>
      <c r="U1128" s="48">
        <f>IFERROR(__xludf.DUMMYFUNCTION("""COMPUTED_VALUE"""),6.13)</f>
        <v>6.13</v>
      </c>
      <c r="V1128" s="48">
        <f>IFERROR(__xludf.DUMMYFUNCTION("""COMPUTED_VALUE"""),6.34)</f>
        <v>6.34</v>
      </c>
      <c r="W1128" s="14">
        <f>IFERROR(__xludf.DUMMYFUNCTION("""COMPUTED_VALUE"""),6.247999999999999)</f>
        <v>6.248</v>
      </c>
      <c r="X1128" s="14">
        <f>IFERROR(__xludf.DUMMYFUNCTION("""COMPUTED_VALUE"""),12.4)</f>
        <v>12.4</v>
      </c>
      <c r="Y1128" s="14">
        <f>IFERROR(__xludf.DUMMYFUNCTION("""COMPUTED_VALUE"""),12.0)</f>
        <v>12</v>
      </c>
      <c r="Z1128" s="14">
        <f>IFERROR(__xludf.DUMMYFUNCTION("""COMPUTED_VALUE"""),11.8)</f>
        <v>11.8</v>
      </c>
      <c r="AA1128" s="14">
        <f>IFERROR(__xludf.DUMMYFUNCTION("""COMPUTED_VALUE"""),11.7)</f>
        <v>11.7</v>
      </c>
      <c r="AB1128" s="14">
        <f>IFERROR(__xludf.DUMMYFUNCTION("""COMPUTED_VALUE"""),11.7)</f>
        <v>11.7</v>
      </c>
      <c r="AC1128" s="14">
        <f>IFERROR(__xludf.DUMMYFUNCTION("""COMPUTED_VALUE"""),11.920000000000002)</f>
        <v>11.92</v>
      </c>
      <c r="AD1128" s="48">
        <f>IFERROR(__xludf.DUMMYFUNCTION("""COMPUTED_VALUE"""),56.8)</f>
        <v>56.8</v>
      </c>
      <c r="AE1128" s="48">
        <f>IFERROR(__xludf.DUMMYFUNCTION("""COMPUTED_VALUE"""),44.0)</f>
        <v>44</v>
      </c>
      <c r="AF1128" s="48">
        <f>IFERROR(__xludf.DUMMYFUNCTION("""COMPUTED_VALUE"""),38.8)</f>
        <v>38.8</v>
      </c>
      <c r="AG1128" s="48">
        <f>IFERROR(__xludf.DUMMYFUNCTION("""COMPUTED_VALUE"""),38.1)</f>
        <v>38.1</v>
      </c>
      <c r="AH1128" s="48">
        <f>IFERROR(__xludf.DUMMYFUNCTION("""COMPUTED_VALUE"""),36.6)</f>
        <v>36.6</v>
      </c>
      <c r="AI1128" s="14">
        <f>IFERROR(__xludf.DUMMYFUNCTION("""COMPUTED_VALUE"""),42.86)</f>
        <v>42.86</v>
      </c>
      <c r="AJ1128" s="14">
        <f>IFERROR(__xludf.DUMMYFUNCTION("""COMPUTED_VALUE"""),5.54)</f>
        <v>5.54</v>
      </c>
      <c r="AK1128" s="14">
        <f>IFERROR(__xludf.DUMMYFUNCTION("""COMPUTED_VALUE"""),6.19)</f>
        <v>6.19</v>
      </c>
      <c r="AL1128" s="14">
        <f>IFERROR(__xludf.DUMMYFUNCTION("""COMPUTED_VALUE"""),5.5)</f>
        <v>5.5</v>
      </c>
      <c r="AM1128" s="14">
        <f>IFERROR(__xludf.DUMMYFUNCTION("""COMPUTED_VALUE"""),5.52)</f>
        <v>5.52</v>
      </c>
      <c r="AN1128" s="14">
        <f>IFERROR(__xludf.DUMMYFUNCTION("""COMPUTED_VALUE"""),6.02)</f>
        <v>6.02</v>
      </c>
      <c r="AO1128" s="14">
        <f>IFERROR(__xludf.DUMMYFUNCTION("""COMPUTED_VALUE"""),5.754)</f>
        <v>5.754</v>
      </c>
      <c r="AP1128" s="14">
        <f>IFERROR(__xludf.DUMMYFUNCTION("""COMPUTED_VALUE"""),5.0)</f>
        <v>5</v>
      </c>
      <c r="AQ1128" s="14">
        <f>IFERROR(__xludf.DUMMYFUNCTION("""COMPUTED_VALUE"""),18.0)</f>
        <v>18</v>
      </c>
      <c r="AR1128" s="14">
        <f>IFERROR(__xludf.DUMMYFUNCTION("""COMPUTED_VALUE"""),5.0)</f>
        <v>5</v>
      </c>
      <c r="AS1128" s="14">
        <f>IFERROR(__xludf.DUMMYFUNCTION("""COMPUTED_VALUE"""),6.2)</f>
        <v>6.2</v>
      </c>
      <c r="AT1128" s="14">
        <f>IFERROR(__xludf.DUMMYFUNCTION("""COMPUTED_VALUE"""),3.98)</f>
        <v>3.98</v>
      </c>
      <c r="AU1128" s="14">
        <f>IFERROR(__xludf.DUMMYFUNCTION("""COMPUTED_VALUE"""),13170.0)</f>
        <v>13170</v>
      </c>
      <c r="AV1128" s="14">
        <f>IFERROR(__xludf.DUMMYFUNCTION("""COMPUTED_VALUE"""),0.05)</f>
        <v>0.05</v>
      </c>
      <c r="AW1128" s="14">
        <f>IFERROR(__xludf.DUMMYFUNCTION("""COMPUTED_VALUE"""),1.0)</f>
        <v>1</v>
      </c>
      <c r="AX1128" s="14">
        <f>IFERROR(__xludf.DUMMYFUNCTION("""COMPUTED_VALUE"""),105.8)</f>
        <v>105.8</v>
      </c>
      <c r="AY1128" s="14">
        <f>IFERROR(__xludf.DUMMYFUNCTION("""COMPUTED_VALUE"""),0.8)</f>
        <v>0.8</v>
      </c>
      <c r="AZ1128" s="14">
        <f>IFERROR(__xludf.DUMMYFUNCTION("""COMPUTED_VALUE"""),0.007)</f>
        <v>0.007</v>
      </c>
      <c r="BA1128" s="14">
        <f t="shared" si="1"/>
        <v>1.807</v>
      </c>
    </row>
    <row r="1129" ht="14.25" customHeight="1">
      <c r="A1129" s="10" t="str">
        <f>IFERROR(__xludf.DUMMYFUNCTION("""COMPUTED_VALUE"""),"290824HA01")</f>
        <v>290824HA01</v>
      </c>
      <c r="B1129" s="12" t="str">
        <f>IFERROR(__xludf.DUMMYFUNCTION("""COMPUTED_VALUE"""),"QZA-Entre Nubes")</f>
        <v>QZA-Entre Nubes</v>
      </c>
      <c r="C1129" s="12"/>
      <c r="D1129" s="12"/>
      <c r="E1129" s="44">
        <f>IFERROR(__xludf.DUMMYFUNCTION("""COMPUTED_VALUE"""),45533.0)</f>
        <v>45533</v>
      </c>
      <c r="F1129" s="12" t="str">
        <f>IFERROR(__xludf.DUMMYFUNCTION("""COMPUTED_VALUE"""),"TIPO I")</f>
        <v>TIPO I</v>
      </c>
      <c r="G1129" s="12" t="str">
        <f>IFERROR(__xludf.DUMMYFUNCTION("""COMPUTED_VALUE"""),"Monitoreo realizado en canal con lecho rocoso, arenoso, durante la toma de muestra se observa color, residuos sólidos  en las márgenes y se percibe olor. 
Altitud: 2675 msnm")</f>
        <v>Monitoreo realizado en canal con lecho rocoso, arenoso, durante la toma de muestra se observa color, residuos sólidos  en las márgenes y se percibe olor. 
Altitud: 2675 msnm</v>
      </c>
      <c r="H1129" s="45">
        <f>IFERROR(__xludf.DUMMYFUNCTION("""COMPUTED_VALUE"""),0.2916666666678793)</f>
        <v>0.2916666667</v>
      </c>
      <c r="I1129" s="45">
        <f>IFERROR(__xludf.DUMMYFUNCTION("""COMPUTED_VALUE"""),0.375)</f>
        <v>0.375</v>
      </c>
      <c r="J1129" s="12">
        <f>IFERROR(__xludf.DUMMYFUNCTION("""COMPUTED_VALUE"""),4.5)</f>
        <v>4.5</v>
      </c>
      <c r="K1129" s="12">
        <f>IFERROR(__xludf.DUMMYFUNCTION("""COMPUTED_VALUE"""),0.09)</f>
        <v>0.09</v>
      </c>
      <c r="L1129" s="14">
        <f>IFERROR(__xludf.DUMMYFUNCTION("""COMPUTED_VALUE"""),56.189)</f>
        <v>56.189</v>
      </c>
      <c r="M1129" s="14">
        <f>IFERROR(__xludf.DUMMYFUNCTION("""COMPUTED_VALUE"""),53.872)</f>
        <v>53.872</v>
      </c>
      <c r="N1129" s="14">
        <f>IFERROR(__xludf.DUMMYFUNCTION("""COMPUTED_VALUE"""),54.269)</f>
        <v>54.269</v>
      </c>
      <c r="O1129" s="14">
        <f>IFERROR(__xludf.DUMMYFUNCTION("""COMPUTED_VALUE"""),55.383)</f>
        <v>55.383</v>
      </c>
      <c r="P1129" s="14">
        <f>IFERROR(__xludf.DUMMYFUNCTION("""COMPUTED_VALUE"""),56.349)</f>
        <v>56.349</v>
      </c>
      <c r="Q1129" s="14">
        <f>IFERROR(__xludf.DUMMYFUNCTION("""COMPUTED_VALUE"""),55.213)</f>
        <v>55.213</v>
      </c>
      <c r="R1129" s="48">
        <f>IFERROR(__xludf.DUMMYFUNCTION("""COMPUTED_VALUE"""),7.8)</f>
        <v>7.8</v>
      </c>
      <c r="S1129" s="48">
        <f>IFERROR(__xludf.DUMMYFUNCTION("""COMPUTED_VALUE"""),7.85)</f>
        <v>7.85</v>
      </c>
      <c r="T1129" s="48">
        <f>IFERROR(__xludf.DUMMYFUNCTION("""COMPUTED_VALUE"""),7.89)</f>
        <v>7.89</v>
      </c>
      <c r="U1129" s="48">
        <f>IFERROR(__xludf.DUMMYFUNCTION("""COMPUTED_VALUE"""),7.93)</f>
        <v>7.93</v>
      </c>
      <c r="V1129" s="48">
        <f>IFERROR(__xludf.DUMMYFUNCTION("""COMPUTED_VALUE"""),7.92)</f>
        <v>7.92</v>
      </c>
      <c r="W1129" s="14">
        <f>IFERROR(__xludf.DUMMYFUNCTION("""COMPUTED_VALUE"""),7.878)</f>
        <v>7.878</v>
      </c>
      <c r="X1129" s="14">
        <f>IFERROR(__xludf.DUMMYFUNCTION("""COMPUTED_VALUE"""),14.6)</f>
        <v>14.6</v>
      </c>
      <c r="Y1129" s="14">
        <f>IFERROR(__xludf.DUMMYFUNCTION("""COMPUTED_VALUE"""),14.7)</f>
        <v>14.7</v>
      </c>
      <c r="Z1129" s="14">
        <f>IFERROR(__xludf.DUMMYFUNCTION("""COMPUTED_VALUE"""),14.8)</f>
        <v>14.8</v>
      </c>
      <c r="AA1129" s="14">
        <f>IFERROR(__xludf.DUMMYFUNCTION("""COMPUTED_VALUE"""),14.9)</f>
        <v>14.9</v>
      </c>
      <c r="AB1129" s="14">
        <f>IFERROR(__xludf.DUMMYFUNCTION("""COMPUTED_VALUE"""),15.0)</f>
        <v>15</v>
      </c>
      <c r="AC1129" s="14">
        <f>IFERROR(__xludf.DUMMYFUNCTION("""COMPUTED_VALUE"""),14.8)</f>
        <v>14.8</v>
      </c>
      <c r="AD1129" s="48">
        <f>IFERROR(__xludf.DUMMYFUNCTION("""COMPUTED_VALUE"""),821.0)</f>
        <v>821</v>
      </c>
      <c r="AE1129" s="48">
        <f>IFERROR(__xludf.DUMMYFUNCTION("""COMPUTED_VALUE"""),914.0)</f>
        <v>914</v>
      </c>
      <c r="AF1129" s="48">
        <f>IFERROR(__xludf.DUMMYFUNCTION("""COMPUTED_VALUE"""),955.0)</f>
        <v>955</v>
      </c>
      <c r="AG1129" s="48">
        <f>IFERROR(__xludf.DUMMYFUNCTION("""COMPUTED_VALUE"""),984.0)</f>
        <v>984</v>
      </c>
      <c r="AH1129" s="48">
        <f>IFERROR(__xludf.DUMMYFUNCTION("""COMPUTED_VALUE"""),977.0)</f>
        <v>977</v>
      </c>
      <c r="AI1129" s="14">
        <f>IFERROR(__xludf.DUMMYFUNCTION("""COMPUTED_VALUE"""),930.2)</f>
        <v>930.2</v>
      </c>
      <c r="AJ1129" s="14">
        <f>IFERROR(__xludf.DUMMYFUNCTION("""COMPUTED_VALUE"""),3.31)</f>
        <v>3.31</v>
      </c>
      <c r="AK1129" s="14">
        <f>IFERROR(__xludf.DUMMYFUNCTION("""COMPUTED_VALUE"""),3.25)</f>
        <v>3.25</v>
      </c>
      <c r="AL1129" s="14">
        <f>IFERROR(__xludf.DUMMYFUNCTION("""COMPUTED_VALUE"""),3.28)</f>
        <v>3.28</v>
      </c>
      <c r="AM1129" s="14">
        <f>IFERROR(__xludf.DUMMYFUNCTION("""COMPUTED_VALUE"""),2.77)</f>
        <v>2.77</v>
      </c>
      <c r="AN1129" s="14">
        <f>IFERROR(__xludf.DUMMYFUNCTION("""COMPUTED_VALUE"""),2.84)</f>
        <v>2.84</v>
      </c>
      <c r="AO1129" s="14">
        <f>IFERROR(__xludf.DUMMYFUNCTION("""COMPUTED_VALUE"""),3.09)</f>
        <v>3.09</v>
      </c>
      <c r="AP1129" s="14">
        <f>IFERROR(__xludf.DUMMYFUNCTION("""COMPUTED_VALUE"""),186.0)</f>
        <v>186</v>
      </c>
      <c r="AQ1129" s="14">
        <f>IFERROR(__xludf.DUMMYFUNCTION("""COMPUTED_VALUE"""),329.0)</f>
        <v>329</v>
      </c>
      <c r="AR1129" s="14">
        <f>IFERROR(__xludf.DUMMYFUNCTION("""COMPUTED_VALUE"""),130.0)</f>
        <v>130</v>
      </c>
      <c r="AS1129" s="14">
        <f>IFERROR(__xludf.DUMMYFUNCTION("""COMPUTED_VALUE"""),11.4)</f>
        <v>11.4</v>
      </c>
      <c r="AT1129" s="14">
        <f>IFERROR(__xludf.DUMMYFUNCTION("""COMPUTED_VALUE"""),0.88)</f>
        <v>0.88</v>
      </c>
      <c r="AU1129" s="14">
        <f>IFERROR(__xludf.DUMMYFUNCTION("""COMPUTED_VALUE"""),1.119E8)</f>
        <v>111900000</v>
      </c>
      <c r="AV1129" s="14">
        <f>IFERROR(__xludf.DUMMYFUNCTION("""COMPUTED_VALUE"""),7.02)</f>
        <v>7.02</v>
      </c>
      <c r="AW1129" s="14">
        <f>IFERROR(__xludf.DUMMYFUNCTION("""COMPUTED_VALUE"""),80.1)</f>
        <v>80.1</v>
      </c>
      <c r="AX1129" s="14">
        <f>IFERROR(__xludf.DUMMYFUNCTION("""COMPUTED_VALUE"""),6.05E7)</f>
        <v>60500000</v>
      </c>
      <c r="AY1129" s="14">
        <f>IFERROR(__xludf.DUMMYFUNCTION("""COMPUTED_VALUE"""),0.5)</f>
        <v>0.5</v>
      </c>
      <c r="AZ1129" s="14">
        <f>IFERROR(__xludf.DUMMYFUNCTION("""COMPUTED_VALUE"""),0.007)</f>
        <v>0.007</v>
      </c>
      <c r="BA1129" s="14">
        <f t="shared" si="1"/>
        <v>80.607</v>
      </c>
    </row>
    <row r="1130" ht="14.25" customHeight="1">
      <c r="A1130" s="10" t="str">
        <f>IFERROR(__xludf.DUMMYFUNCTION("""COMPUTED_VALUE"""),"290824HA02")</f>
        <v>290824HA02</v>
      </c>
      <c r="B1130" s="12" t="str">
        <f>IFERROR(__xludf.DUMMYFUNCTION("""COMPUTED_VALUE"""),"QZA-Meissen")</f>
        <v>QZA-Meissen</v>
      </c>
      <c r="C1130" s="12"/>
      <c r="D1130" s="12"/>
      <c r="E1130" s="44">
        <f>IFERROR(__xludf.DUMMYFUNCTION("""COMPUTED_VALUE"""),45533.0)</f>
        <v>45533</v>
      </c>
      <c r="F1130" s="12" t="str">
        <f>IFERROR(__xludf.DUMMYFUNCTION("""COMPUTED_VALUE"""),"TIPO I")</f>
        <v>TIPO I</v>
      </c>
      <c r="G1130" s="12" t="str">
        <f>IFERROR(__xludf.DUMMYFUNCTION("""COMPUTED_VALUE"""),"Durante el desarrollo del monitoreo se percibe olor y se observa color. Debido a las condiciones del punto y el tiempo solo fue posible realizar 4 aforos. 
Altitud. 2580 msnm")</f>
        <v>Durante el desarrollo del monitoreo se percibe olor y se observa color. Debido a las condiciones del punto y el tiempo solo fue posible realizar 4 aforos. 
Altitud. 2580 msnm</v>
      </c>
      <c r="H1130" s="45">
        <f>IFERROR(__xludf.DUMMYFUNCTION("""COMPUTED_VALUE"""),0.40277777777737356)</f>
        <v>0.4027777778</v>
      </c>
      <c r="I1130" s="45">
        <f>IFERROR(__xludf.DUMMYFUNCTION("""COMPUTED_VALUE"""),0.48611111110949423)</f>
        <v>0.4861111111</v>
      </c>
      <c r="J1130" s="12">
        <f>IFERROR(__xludf.DUMMYFUNCTION("""COMPUTED_VALUE"""),10.5)</f>
        <v>10.5</v>
      </c>
      <c r="K1130" s="12">
        <f>IFERROR(__xludf.DUMMYFUNCTION("""COMPUTED_VALUE"""),0.07)</f>
        <v>0.07</v>
      </c>
      <c r="L1130" s="14">
        <f>IFERROR(__xludf.DUMMYFUNCTION("""COMPUTED_VALUE"""),184.852)</f>
        <v>184.852</v>
      </c>
      <c r="M1130" s="14">
        <f>IFERROR(__xludf.DUMMYFUNCTION("""COMPUTED_VALUE"""),183.713)</f>
        <v>183.713</v>
      </c>
      <c r="N1130" s="14">
        <f>IFERROR(__xludf.DUMMYFUNCTION("""COMPUTED_VALUE"""),184.737)</f>
        <v>184.737</v>
      </c>
      <c r="O1130" s="14">
        <f>IFERROR(__xludf.DUMMYFUNCTION("""COMPUTED_VALUE"""),185.377)</f>
        <v>185.377</v>
      </c>
      <c r="P1130" s="14"/>
      <c r="Q1130" s="14">
        <f>IFERROR(__xludf.DUMMYFUNCTION("""COMPUTED_VALUE"""),184.67)</f>
        <v>184.67</v>
      </c>
      <c r="R1130" s="48">
        <f>IFERROR(__xludf.DUMMYFUNCTION("""COMPUTED_VALUE"""),7.3)</f>
        <v>7.3</v>
      </c>
      <c r="S1130" s="48">
        <f>IFERROR(__xludf.DUMMYFUNCTION("""COMPUTED_VALUE"""),7.33)</f>
        <v>7.33</v>
      </c>
      <c r="T1130" s="48">
        <f>IFERROR(__xludf.DUMMYFUNCTION("""COMPUTED_VALUE"""),7.31)</f>
        <v>7.31</v>
      </c>
      <c r="U1130" s="48">
        <f>IFERROR(__xludf.DUMMYFUNCTION("""COMPUTED_VALUE"""),7.26)</f>
        <v>7.26</v>
      </c>
      <c r="V1130" s="48">
        <f>IFERROR(__xludf.DUMMYFUNCTION("""COMPUTED_VALUE"""),7.3)</f>
        <v>7.3</v>
      </c>
      <c r="W1130" s="14">
        <f>IFERROR(__xludf.DUMMYFUNCTION("""COMPUTED_VALUE"""),7.299999999999999)</f>
        <v>7.3</v>
      </c>
      <c r="X1130" s="14">
        <f>IFERROR(__xludf.DUMMYFUNCTION("""COMPUTED_VALUE"""),20.9)</f>
        <v>20.9</v>
      </c>
      <c r="Y1130" s="14">
        <f>IFERROR(__xludf.DUMMYFUNCTION("""COMPUTED_VALUE"""),22.1)</f>
        <v>22.1</v>
      </c>
      <c r="Z1130" s="14">
        <f>IFERROR(__xludf.DUMMYFUNCTION("""COMPUTED_VALUE"""),22.6)</f>
        <v>22.6</v>
      </c>
      <c r="AA1130" s="14">
        <f>IFERROR(__xludf.DUMMYFUNCTION("""COMPUTED_VALUE"""),24.2)</f>
        <v>24.2</v>
      </c>
      <c r="AB1130" s="14">
        <f>IFERROR(__xludf.DUMMYFUNCTION("""COMPUTED_VALUE"""),24.5)</f>
        <v>24.5</v>
      </c>
      <c r="AC1130" s="14">
        <f>IFERROR(__xludf.DUMMYFUNCTION("""COMPUTED_VALUE"""),22.86)</f>
        <v>22.86</v>
      </c>
      <c r="AD1130" s="48">
        <f>IFERROR(__xludf.DUMMYFUNCTION("""COMPUTED_VALUE"""),611.0)</f>
        <v>611</v>
      </c>
      <c r="AE1130" s="48">
        <f>IFERROR(__xludf.DUMMYFUNCTION("""COMPUTED_VALUE"""),593.0)</f>
        <v>593</v>
      </c>
      <c r="AF1130" s="48">
        <f>IFERROR(__xludf.DUMMYFUNCTION("""COMPUTED_VALUE"""),555.0)</f>
        <v>555</v>
      </c>
      <c r="AG1130" s="48">
        <f>IFERROR(__xludf.DUMMYFUNCTION("""COMPUTED_VALUE"""),561.0)</f>
        <v>561</v>
      </c>
      <c r="AH1130" s="48">
        <f>IFERROR(__xludf.DUMMYFUNCTION("""COMPUTED_VALUE"""),581.0)</f>
        <v>581</v>
      </c>
      <c r="AI1130" s="14">
        <f>IFERROR(__xludf.DUMMYFUNCTION("""COMPUTED_VALUE"""),580.2)</f>
        <v>580.2</v>
      </c>
      <c r="AJ1130" s="14">
        <f>IFERROR(__xludf.DUMMYFUNCTION("""COMPUTED_VALUE"""),1.42)</f>
        <v>1.42</v>
      </c>
      <c r="AK1130" s="14">
        <f>IFERROR(__xludf.DUMMYFUNCTION("""COMPUTED_VALUE"""),1.04)</f>
        <v>1.04</v>
      </c>
      <c r="AL1130" s="14">
        <f>IFERROR(__xludf.DUMMYFUNCTION("""COMPUTED_VALUE"""),1.99)</f>
        <v>1.99</v>
      </c>
      <c r="AM1130" s="14">
        <f>IFERROR(__xludf.DUMMYFUNCTION("""COMPUTED_VALUE"""),1.26)</f>
        <v>1.26</v>
      </c>
      <c r="AN1130" s="14">
        <f>IFERROR(__xludf.DUMMYFUNCTION("""COMPUTED_VALUE"""),1.13)</f>
        <v>1.13</v>
      </c>
      <c r="AO1130" s="14">
        <f>IFERROR(__xludf.DUMMYFUNCTION("""COMPUTED_VALUE"""),1.3679999999999999)</f>
        <v>1.368</v>
      </c>
      <c r="AP1130" s="14">
        <f>IFERROR(__xludf.DUMMYFUNCTION("""COMPUTED_VALUE"""),97.0)</f>
        <v>97</v>
      </c>
      <c r="AQ1130" s="14">
        <f>IFERROR(__xludf.DUMMYFUNCTION("""COMPUTED_VALUE"""),161.0)</f>
        <v>161</v>
      </c>
      <c r="AR1130" s="14">
        <f>IFERROR(__xludf.DUMMYFUNCTION("""COMPUTED_VALUE"""),54.0)</f>
        <v>54</v>
      </c>
      <c r="AS1130" s="14">
        <f>IFERROR(__xludf.DUMMYFUNCTION("""COMPUTED_VALUE"""),7.8)</f>
        <v>7.8</v>
      </c>
      <c r="AT1130" s="14">
        <f>IFERROR(__xludf.DUMMYFUNCTION("""COMPUTED_VALUE"""),9.91)</f>
        <v>9.91</v>
      </c>
      <c r="AU1130" s="14">
        <f>IFERROR(__xludf.DUMMYFUNCTION("""COMPUTED_VALUE"""),1.211E7)</f>
        <v>12110000</v>
      </c>
      <c r="AV1130" s="14">
        <f>IFERROR(__xludf.DUMMYFUNCTION("""COMPUTED_VALUE"""),3.28)</f>
        <v>3.28</v>
      </c>
      <c r="AW1130" s="14">
        <f>IFERROR(__xludf.DUMMYFUNCTION("""COMPUTED_VALUE"""),38.1)</f>
        <v>38.1</v>
      </c>
      <c r="AX1130" s="14">
        <f>IFERROR(__xludf.DUMMYFUNCTION("""COMPUTED_VALUE"""),5830000.0)</f>
        <v>5830000</v>
      </c>
      <c r="AY1130" s="14">
        <f>IFERROR(__xludf.DUMMYFUNCTION("""COMPUTED_VALUE"""),2.9)</f>
        <v>2.9</v>
      </c>
      <c r="AZ1130" s="14">
        <f>IFERROR(__xludf.DUMMYFUNCTION("""COMPUTED_VALUE"""),0.007)</f>
        <v>0.007</v>
      </c>
      <c r="BA1130" s="14">
        <f t="shared" si="1"/>
        <v>41.007</v>
      </c>
    </row>
    <row r="1131" ht="14.25" customHeight="1">
      <c r="A1131" s="10" t="str">
        <f>IFERROR(__xludf.DUMMYFUNCTION("""COMPUTED_VALUE"""),"290824HA03")</f>
        <v>290824HA03</v>
      </c>
      <c r="B1131" s="12" t="str">
        <f>IFERROR(__xludf.DUMMYFUNCTION("""COMPUTED_VALUE"""),"QZA-Molinos")</f>
        <v>QZA-Molinos</v>
      </c>
      <c r="C1131" s="12"/>
      <c r="D1131" s="12"/>
      <c r="E1131" s="44">
        <f>IFERROR(__xludf.DUMMYFUNCTION("""COMPUTED_VALUE"""),45533.0)</f>
        <v>45533</v>
      </c>
      <c r="F1131" s="12" t="str">
        <f>IFERROR(__xludf.DUMMYFUNCTION("""COMPUTED_VALUE"""),"TIPO I")</f>
        <v>TIPO I</v>
      </c>
      <c r="G1131" s="12" t="str">
        <f>IFERROR(__xludf.DUMMYFUNCTION("""COMPUTED_VALUE"""),"Monitoreo realizado en canal con lecho rocoso y arenoso, durante la toma de muestra se observa color, residuos sólidos en el cuerpo de agua y sus márgenes y se percibe olor. 
Altitud: 2591 msnm")</f>
        <v>Monitoreo realizado en canal con lecho rocoso y arenoso, durante la toma de muestra se observa color, residuos sólidos en el cuerpo de agua y sus márgenes y se percibe olor. 
Altitud: 2591 msnm</v>
      </c>
      <c r="H1131" s="45">
        <f>IFERROR(__xludf.DUMMYFUNCTION("""COMPUTED_VALUE"""),0.5208333333321207)</f>
        <v>0.5208333333</v>
      </c>
      <c r="I1131" s="45">
        <f>IFERROR(__xludf.DUMMYFUNCTION("""COMPUTED_VALUE"""),0.6041666666678793)</f>
        <v>0.6041666667</v>
      </c>
      <c r="J1131" s="12">
        <f>IFERROR(__xludf.DUMMYFUNCTION("""COMPUTED_VALUE"""),4.6)</f>
        <v>4.6</v>
      </c>
      <c r="K1131" s="12">
        <f>IFERROR(__xludf.DUMMYFUNCTION("""COMPUTED_VALUE"""),0.3)</f>
        <v>0.3</v>
      </c>
      <c r="L1131" s="14">
        <f>IFERROR(__xludf.DUMMYFUNCTION("""COMPUTED_VALUE"""),170.321)</f>
        <v>170.321</v>
      </c>
      <c r="M1131" s="14">
        <f>IFERROR(__xludf.DUMMYFUNCTION("""COMPUTED_VALUE"""),171.997)</f>
        <v>171.997</v>
      </c>
      <c r="N1131" s="14">
        <f>IFERROR(__xludf.DUMMYFUNCTION("""COMPUTED_VALUE"""),173.544)</f>
        <v>173.544</v>
      </c>
      <c r="O1131" s="14">
        <f>IFERROR(__xludf.DUMMYFUNCTION("""COMPUTED_VALUE"""),174.202)</f>
        <v>174.202</v>
      </c>
      <c r="P1131" s="14">
        <f>IFERROR(__xludf.DUMMYFUNCTION("""COMPUTED_VALUE"""),172.553)</f>
        <v>172.553</v>
      </c>
      <c r="Q1131" s="14">
        <f>IFERROR(__xludf.DUMMYFUNCTION("""COMPUTED_VALUE"""),172.523)</f>
        <v>172.523</v>
      </c>
      <c r="R1131" s="48">
        <f>IFERROR(__xludf.DUMMYFUNCTION("""COMPUTED_VALUE"""),7.44)</f>
        <v>7.44</v>
      </c>
      <c r="S1131" s="48">
        <f>IFERROR(__xludf.DUMMYFUNCTION("""COMPUTED_VALUE"""),7.34)</f>
        <v>7.34</v>
      </c>
      <c r="T1131" s="48">
        <f>IFERROR(__xludf.DUMMYFUNCTION("""COMPUTED_VALUE"""),7.27)</f>
        <v>7.27</v>
      </c>
      <c r="U1131" s="48">
        <f>IFERROR(__xludf.DUMMYFUNCTION("""COMPUTED_VALUE"""),7.31)</f>
        <v>7.31</v>
      </c>
      <c r="V1131" s="48">
        <f>IFERROR(__xludf.DUMMYFUNCTION("""COMPUTED_VALUE"""),7.33)</f>
        <v>7.33</v>
      </c>
      <c r="W1131" s="14">
        <f>IFERROR(__xludf.DUMMYFUNCTION("""COMPUTED_VALUE"""),7.337999999999999)</f>
        <v>7.338</v>
      </c>
      <c r="X1131" s="14">
        <f>IFERROR(__xludf.DUMMYFUNCTION("""COMPUTED_VALUE"""),20.4)</f>
        <v>20.4</v>
      </c>
      <c r="Y1131" s="14">
        <f>IFERROR(__xludf.DUMMYFUNCTION("""COMPUTED_VALUE"""),20.4)</f>
        <v>20.4</v>
      </c>
      <c r="Z1131" s="14">
        <f>IFERROR(__xludf.DUMMYFUNCTION("""COMPUTED_VALUE"""),20.6)</f>
        <v>20.6</v>
      </c>
      <c r="AA1131" s="14">
        <f>IFERROR(__xludf.DUMMYFUNCTION("""COMPUTED_VALUE"""),19.9)</f>
        <v>19.9</v>
      </c>
      <c r="AB1131" s="14">
        <f>IFERROR(__xludf.DUMMYFUNCTION("""COMPUTED_VALUE"""),19.6)</f>
        <v>19.6</v>
      </c>
      <c r="AC1131" s="14">
        <f>IFERROR(__xludf.DUMMYFUNCTION("""COMPUTED_VALUE"""),20.18)</f>
        <v>20.18</v>
      </c>
      <c r="AD1131" s="48">
        <f>IFERROR(__xludf.DUMMYFUNCTION("""COMPUTED_VALUE"""),940.0)</f>
        <v>940</v>
      </c>
      <c r="AE1131" s="48">
        <f>IFERROR(__xludf.DUMMYFUNCTION("""COMPUTED_VALUE"""),939.0)</f>
        <v>939</v>
      </c>
      <c r="AF1131" s="48">
        <f>IFERROR(__xludf.DUMMYFUNCTION("""COMPUTED_VALUE"""),944.0)</f>
        <v>944</v>
      </c>
      <c r="AG1131" s="48">
        <f>IFERROR(__xludf.DUMMYFUNCTION("""COMPUTED_VALUE"""),952.0)</f>
        <v>952</v>
      </c>
      <c r="AH1131" s="48">
        <f>IFERROR(__xludf.DUMMYFUNCTION("""COMPUTED_VALUE"""),1002.0)</f>
        <v>1002</v>
      </c>
      <c r="AI1131" s="14">
        <f>IFERROR(__xludf.DUMMYFUNCTION("""COMPUTED_VALUE"""),955.4)</f>
        <v>955.4</v>
      </c>
      <c r="AJ1131" s="14">
        <f>IFERROR(__xludf.DUMMYFUNCTION("""COMPUTED_VALUE"""),0.69)</f>
        <v>0.69</v>
      </c>
      <c r="AK1131" s="14">
        <f>IFERROR(__xludf.DUMMYFUNCTION("""COMPUTED_VALUE"""),0.92)</f>
        <v>0.92</v>
      </c>
      <c r="AL1131" s="14">
        <f>IFERROR(__xludf.DUMMYFUNCTION("""COMPUTED_VALUE"""),1.13)</f>
        <v>1.13</v>
      </c>
      <c r="AM1131" s="14">
        <f>IFERROR(__xludf.DUMMYFUNCTION("""COMPUTED_VALUE"""),1.01)</f>
        <v>1.01</v>
      </c>
      <c r="AN1131" s="14">
        <f>IFERROR(__xludf.DUMMYFUNCTION("""COMPUTED_VALUE"""),1.18)</f>
        <v>1.18</v>
      </c>
      <c r="AO1131" s="14">
        <f>IFERROR(__xludf.DUMMYFUNCTION("""COMPUTED_VALUE"""),0.986)</f>
        <v>0.986</v>
      </c>
      <c r="AP1131" s="14">
        <f>IFERROR(__xludf.DUMMYFUNCTION("""COMPUTED_VALUE"""),257.0)</f>
        <v>257</v>
      </c>
      <c r="AQ1131" s="14">
        <f>IFERROR(__xludf.DUMMYFUNCTION("""COMPUTED_VALUE"""),378.0)</f>
        <v>378</v>
      </c>
      <c r="AR1131" s="14">
        <f>IFERROR(__xludf.DUMMYFUNCTION("""COMPUTED_VALUE"""),129.0)</f>
        <v>129</v>
      </c>
      <c r="AS1131" s="14">
        <f>IFERROR(__xludf.DUMMYFUNCTION("""COMPUTED_VALUE"""),8.7)</f>
        <v>8.7</v>
      </c>
      <c r="AT1131" s="14">
        <f>IFERROR(__xludf.DUMMYFUNCTION("""COMPUTED_VALUE"""),4.88)</f>
        <v>4.88</v>
      </c>
      <c r="AU1131" s="14">
        <f>IFERROR(__xludf.DUMMYFUNCTION("""COMPUTED_VALUE"""),9.32E7)</f>
        <v>93200000</v>
      </c>
      <c r="AV1131" s="14">
        <f>IFERROR(__xludf.DUMMYFUNCTION("""COMPUTED_VALUE"""),6.4)</f>
        <v>6.4</v>
      </c>
      <c r="AW1131" s="14">
        <f>IFERROR(__xludf.DUMMYFUNCTION("""COMPUTED_VALUE"""),67.8)</f>
        <v>67.8</v>
      </c>
      <c r="AX1131" s="14">
        <f>IFERROR(__xludf.DUMMYFUNCTION("""COMPUTED_VALUE"""),5.12E7)</f>
        <v>51200000</v>
      </c>
      <c r="AY1131" s="14">
        <f>IFERROR(__xludf.DUMMYFUNCTION("""COMPUTED_VALUE"""),0.7)</f>
        <v>0.7</v>
      </c>
      <c r="AZ1131" s="14">
        <f>IFERROR(__xludf.DUMMYFUNCTION("""COMPUTED_VALUE"""),0.007)</f>
        <v>0.007</v>
      </c>
      <c r="BA1131" s="14">
        <f t="shared" si="1"/>
        <v>68.507</v>
      </c>
    </row>
    <row r="1132" ht="14.25" customHeight="1">
      <c r="A1132" s="10" t="str">
        <f>IFERROR(__xludf.DUMMYFUNCTION("""COMPUTED_VALUE"""),"300824HA01")</f>
        <v>300824HA01</v>
      </c>
      <c r="B1132" s="12" t="str">
        <f>IFERROR(__xludf.DUMMYFUNCTION("""COMPUTED_VALUE"""),"CRN-La Castellana")</f>
        <v>CRN-La Castellana</v>
      </c>
      <c r="C1132" s="12"/>
      <c r="D1132" s="12"/>
      <c r="E1132" s="44">
        <f>IFERROR(__xludf.DUMMYFUNCTION("""COMPUTED_VALUE"""),45534.0)</f>
        <v>45534</v>
      </c>
      <c r="F1132" s="12" t="str">
        <f>IFERROR(__xludf.DUMMYFUNCTION("""COMPUTED_VALUE"""),"TIPO I")</f>
        <v>TIPO I</v>
      </c>
      <c r="G1132" s="12" t="str">
        <f>IFERROR(__xludf.DUMMYFUNCTION("""COMPUTED_VALUE"""),"Monitoreo realizado en canal con estructura en concreto lecho lodoso y arenoso, durante la toma de muestra se observa color, material flotante y se percibe olor. 
Altitud: 2599 msnm")</f>
        <v>Monitoreo realizado en canal con estructura en concreto lecho lodoso y arenoso, durante la toma de muestra se observa color, material flotante y se percibe olor. 
Altitud: 2599 msnm</v>
      </c>
      <c r="H1132" s="45">
        <f>IFERROR(__xludf.DUMMYFUNCTION("""COMPUTED_VALUE"""),0.3333333333321207)</f>
        <v>0.3333333333</v>
      </c>
      <c r="I1132" s="45">
        <f>IFERROR(__xludf.DUMMYFUNCTION("""COMPUTED_VALUE"""),0.4166666666678793)</f>
        <v>0.4166666667</v>
      </c>
      <c r="J1132" s="12">
        <f>IFERROR(__xludf.DUMMYFUNCTION("""COMPUTED_VALUE"""),5.4)</f>
        <v>5.4</v>
      </c>
      <c r="K1132" s="12">
        <f>IFERROR(__xludf.DUMMYFUNCTION("""COMPUTED_VALUE"""),0.18)</f>
        <v>0.18</v>
      </c>
      <c r="L1132" s="14">
        <f>IFERROR(__xludf.DUMMYFUNCTION("""COMPUTED_VALUE"""),273.83)</f>
        <v>273.83</v>
      </c>
      <c r="M1132" s="14">
        <f>IFERROR(__xludf.DUMMYFUNCTION("""COMPUTED_VALUE"""),276.347)</f>
        <v>276.347</v>
      </c>
      <c r="N1132" s="14">
        <f>IFERROR(__xludf.DUMMYFUNCTION("""COMPUTED_VALUE"""),285.78)</f>
        <v>285.78</v>
      </c>
      <c r="O1132" s="14">
        <f>IFERROR(__xludf.DUMMYFUNCTION("""COMPUTED_VALUE"""),287.047)</f>
        <v>287.047</v>
      </c>
      <c r="P1132" s="14">
        <f>IFERROR(__xludf.DUMMYFUNCTION("""COMPUTED_VALUE"""),290.261)</f>
        <v>290.261</v>
      </c>
      <c r="Q1132" s="14">
        <f>IFERROR(__xludf.DUMMYFUNCTION("""COMPUTED_VALUE"""),282.653)</f>
        <v>282.653</v>
      </c>
      <c r="R1132" s="48">
        <f>IFERROR(__xludf.DUMMYFUNCTION("""COMPUTED_VALUE"""),8.82)</f>
        <v>8.82</v>
      </c>
      <c r="S1132" s="48">
        <f>IFERROR(__xludf.DUMMYFUNCTION("""COMPUTED_VALUE"""),8.63)</f>
        <v>8.63</v>
      </c>
      <c r="T1132" s="48">
        <f>IFERROR(__xludf.DUMMYFUNCTION("""COMPUTED_VALUE"""),8.57)</f>
        <v>8.57</v>
      </c>
      <c r="U1132" s="48">
        <f>IFERROR(__xludf.DUMMYFUNCTION("""COMPUTED_VALUE"""),8.5)</f>
        <v>8.5</v>
      </c>
      <c r="V1132" s="48">
        <f>IFERROR(__xludf.DUMMYFUNCTION("""COMPUTED_VALUE"""),8.45)</f>
        <v>8.45</v>
      </c>
      <c r="W1132" s="14">
        <f>IFERROR(__xludf.DUMMYFUNCTION("""COMPUTED_VALUE"""),8.594)</f>
        <v>8.594</v>
      </c>
      <c r="X1132" s="14">
        <f>IFERROR(__xludf.DUMMYFUNCTION("""COMPUTED_VALUE"""),19.9)</f>
        <v>19.9</v>
      </c>
      <c r="Y1132" s="14">
        <f>IFERROR(__xludf.DUMMYFUNCTION("""COMPUTED_VALUE"""),20.1)</f>
        <v>20.1</v>
      </c>
      <c r="Z1132" s="14">
        <f>IFERROR(__xludf.DUMMYFUNCTION("""COMPUTED_VALUE"""),19.7)</f>
        <v>19.7</v>
      </c>
      <c r="AA1132" s="14">
        <f>IFERROR(__xludf.DUMMYFUNCTION("""COMPUTED_VALUE"""),20.0)</f>
        <v>20</v>
      </c>
      <c r="AB1132" s="14">
        <f>IFERROR(__xludf.DUMMYFUNCTION("""COMPUTED_VALUE"""),19.9)</f>
        <v>19.9</v>
      </c>
      <c r="AC1132" s="14">
        <f>IFERROR(__xludf.DUMMYFUNCTION("""COMPUTED_VALUE"""),19.919999999999998)</f>
        <v>19.92</v>
      </c>
      <c r="AD1132" s="48">
        <f>IFERROR(__xludf.DUMMYFUNCTION("""COMPUTED_VALUE"""),605.0)</f>
        <v>605</v>
      </c>
      <c r="AE1132" s="48">
        <f>IFERROR(__xludf.DUMMYFUNCTION("""COMPUTED_VALUE"""),554.0)</f>
        <v>554</v>
      </c>
      <c r="AF1132" s="48">
        <f>IFERROR(__xludf.DUMMYFUNCTION("""COMPUTED_VALUE"""),590.0)</f>
        <v>590</v>
      </c>
      <c r="AG1132" s="48">
        <f>IFERROR(__xludf.DUMMYFUNCTION("""COMPUTED_VALUE"""),595.0)</f>
        <v>595</v>
      </c>
      <c r="AH1132" s="48">
        <f>IFERROR(__xludf.DUMMYFUNCTION("""COMPUTED_VALUE"""),602.0)</f>
        <v>602</v>
      </c>
      <c r="AI1132" s="14">
        <f>IFERROR(__xludf.DUMMYFUNCTION("""COMPUTED_VALUE"""),589.2)</f>
        <v>589.2</v>
      </c>
      <c r="AJ1132" s="14">
        <f>IFERROR(__xludf.DUMMYFUNCTION("""COMPUTED_VALUE"""),2.44)</f>
        <v>2.44</v>
      </c>
      <c r="AK1132" s="14">
        <f>IFERROR(__xludf.DUMMYFUNCTION("""COMPUTED_VALUE"""),1.36)</f>
        <v>1.36</v>
      </c>
      <c r="AL1132" s="14">
        <f>IFERROR(__xludf.DUMMYFUNCTION("""COMPUTED_VALUE"""),2.56)</f>
        <v>2.56</v>
      </c>
      <c r="AM1132" s="14">
        <f>IFERROR(__xludf.DUMMYFUNCTION("""COMPUTED_VALUE"""),1.46)</f>
        <v>1.46</v>
      </c>
      <c r="AN1132" s="14">
        <f>IFERROR(__xludf.DUMMYFUNCTION("""COMPUTED_VALUE"""),1.76)</f>
        <v>1.76</v>
      </c>
      <c r="AO1132" s="14">
        <f>IFERROR(__xludf.DUMMYFUNCTION("""COMPUTED_VALUE"""),1.916)</f>
        <v>1.916</v>
      </c>
      <c r="AP1132" s="14">
        <f>IFERROR(__xludf.DUMMYFUNCTION("""COMPUTED_VALUE"""),306.0)</f>
        <v>306</v>
      </c>
      <c r="AQ1132" s="14">
        <f>IFERROR(__xludf.DUMMYFUNCTION("""COMPUTED_VALUE"""),522.0)</f>
        <v>522</v>
      </c>
      <c r="AR1132" s="14">
        <f>IFERROR(__xludf.DUMMYFUNCTION("""COMPUTED_VALUE"""),189.0)</f>
        <v>189</v>
      </c>
      <c r="AS1132" s="14">
        <f>IFERROR(__xludf.DUMMYFUNCTION("""COMPUTED_VALUE"""),37.0)</f>
        <v>37</v>
      </c>
      <c r="AT1132" s="14">
        <f>IFERROR(__xludf.DUMMYFUNCTION("""COMPUTED_VALUE"""),7.37)</f>
        <v>7.37</v>
      </c>
      <c r="AU1132" s="14">
        <f>IFERROR(__xludf.DUMMYFUNCTION("""COMPUTED_VALUE"""),9.56E7)</f>
        <v>95600000</v>
      </c>
      <c r="AV1132" s="14">
        <f>IFERROR(__xludf.DUMMYFUNCTION("""COMPUTED_VALUE"""),4.61)</f>
        <v>4.61</v>
      </c>
      <c r="AW1132" s="14">
        <f>IFERROR(__xludf.DUMMYFUNCTION("""COMPUTED_VALUE"""),62.2)</f>
        <v>62.2</v>
      </c>
      <c r="AX1132" s="14">
        <f>IFERROR(__xludf.DUMMYFUNCTION("""COMPUTED_VALUE"""),7.37E7)</f>
        <v>73700000</v>
      </c>
      <c r="AY1132" s="14">
        <f>IFERROR(__xludf.DUMMYFUNCTION("""COMPUTED_VALUE"""),0.5)</f>
        <v>0.5</v>
      </c>
      <c r="AZ1132" s="14">
        <f>IFERROR(__xludf.DUMMYFUNCTION("""COMPUTED_VALUE"""),0.007)</f>
        <v>0.007</v>
      </c>
      <c r="BA1132" s="14">
        <f t="shared" si="1"/>
        <v>62.707</v>
      </c>
    </row>
    <row r="1133" ht="14.25" customHeight="1">
      <c r="A1133" s="10" t="str">
        <f>IFERROR(__xludf.DUMMYFUNCTION("""COMPUTED_VALUE"""),"300824HA03")</f>
        <v>300824HA03</v>
      </c>
      <c r="B1133" s="12" t="str">
        <f>IFERROR(__xludf.DUMMYFUNCTION("""COMPUTED_VALUE"""),"CRN-Entre Ríos")</f>
        <v>CRN-Entre Ríos</v>
      </c>
      <c r="C1133" s="12"/>
      <c r="D1133" s="12"/>
      <c r="E1133" s="44">
        <f>IFERROR(__xludf.DUMMYFUNCTION("""COMPUTED_VALUE"""),45534.0)</f>
        <v>45534</v>
      </c>
      <c r="F1133" s="12" t="str">
        <f>IFERROR(__xludf.DUMMYFUNCTION("""COMPUTED_VALUE"""),"TIPO I")</f>
        <v>TIPO I</v>
      </c>
      <c r="G1133" s="12" t="str">
        <f>IFERROR(__xludf.DUMMYFUNCTION("""COMPUTED_VALUE"""),"Toma de muestra en canal en concreto lecho rocoso-arenoso, durante el desarrollo de la actividad se observa color y se percibe olor. Se observa materia orgánica en suspensión. 
Altitud: 2542 msnm")</f>
        <v>Toma de muestra en canal en concreto lecho rocoso-arenoso, durante el desarrollo de la actividad se observa color y se percibe olor. Se observa materia orgánica en suspensión. 
Altitud: 2542 msnm</v>
      </c>
      <c r="H1133" s="45">
        <f>IFERROR(__xludf.DUMMYFUNCTION("""COMPUTED_VALUE"""),0.5833333333321207)</f>
        <v>0.5833333333</v>
      </c>
      <c r="I1133" s="45">
        <f>IFERROR(__xludf.DUMMYFUNCTION("""COMPUTED_VALUE"""),0.6666666666678793)</f>
        <v>0.6666666667</v>
      </c>
      <c r="J1133" s="12">
        <f>IFERROR(__xludf.DUMMYFUNCTION("""COMPUTED_VALUE"""),7.4)</f>
        <v>7.4</v>
      </c>
      <c r="K1133" s="12">
        <f>IFERROR(__xludf.DUMMYFUNCTION("""COMPUTED_VALUE"""),0.19)</f>
        <v>0.19</v>
      </c>
      <c r="L1133" s="14">
        <f>IFERROR(__xludf.DUMMYFUNCTION("""COMPUTED_VALUE"""),336.008)</f>
        <v>336.008</v>
      </c>
      <c r="M1133" s="14">
        <f>IFERROR(__xludf.DUMMYFUNCTION("""COMPUTED_VALUE"""),340.573)</f>
        <v>340.573</v>
      </c>
      <c r="N1133" s="14">
        <f>IFERROR(__xludf.DUMMYFUNCTION("""COMPUTED_VALUE"""),342.738)</f>
        <v>342.738</v>
      </c>
      <c r="O1133" s="14">
        <f>IFERROR(__xludf.DUMMYFUNCTION("""COMPUTED_VALUE"""),347.027)</f>
        <v>347.027</v>
      </c>
      <c r="P1133" s="14">
        <f>IFERROR(__xludf.DUMMYFUNCTION("""COMPUTED_VALUE"""),345.447)</f>
        <v>345.447</v>
      </c>
      <c r="Q1133" s="14">
        <f>IFERROR(__xludf.DUMMYFUNCTION("""COMPUTED_VALUE"""),342.359)</f>
        <v>342.359</v>
      </c>
      <c r="R1133" s="48">
        <f>IFERROR(__xludf.DUMMYFUNCTION("""COMPUTED_VALUE"""),8.52)</f>
        <v>8.52</v>
      </c>
      <c r="S1133" s="48">
        <f>IFERROR(__xludf.DUMMYFUNCTION("""COMPUTED_VALUE"""),8.38)</f>
        <v>8.38</v>
      </c>
      <c r="T1133" s="48">
        <f>IFERROR(__xludf.DUMMYFUNCTION("""COMPUTED_VALUE"""),8.47)</f>
        <v>8.47</v>
      </c>
      <c r="U1133" s="48">
        <f>IFERROR(__xludf.DUMMYFUNCTION("""COMPUTED_VALUE"""),8.33)</f>
        <v>8.33</v>
      </c>
      <c r="V1133" s="48">
        <f>IFERROR(__xludf.DUMMYFUNCTION("""COMPUTED_VALUE"""),8.28)</f>
        <v>8.28</v>
      </c>
      <c r="W1133" s="14">
        <f>IFERROR(__xludf.DUMMYFUNCTION("""COMPUTED_VALUE"""),8.395999999999999)</f>
        <v>8.396</v>
      </c>
      <c r="X1133" s="14">
        <f>IFERROR(__xludf.DUMMYFUNCTION("""COMPUTED_VALUE"""),22.6)</f>
        <v>22.6</v>
      </c>
      <c r="Y1133" s="14">
        <f>IFERROR(__xludf.DUMMYFUNCTION("""COMPUTED_VALUE"""),21.9)</f>
        <v>21.9</v>
      </c>
      <c r="Z1133" s="14">
        <f>IFERROR(__xludf.DUMMYFUNCTION("""COMPUTED_VALUE"""),21.7)</f>
        <v>21.7</v>
      </c>
      <c r="AA1133" s="14">
        <f>IFERROR(__xludf.DUMMYFUNCTION("""COMPUTED_VALUE"""),21.9)</f>
        <v>21.9</v>
      </c>
      <c r="AB1133" s="14">
        <f>IFERROR(__xludf.DUMMYFUNCTION("""COMPUTED_VALUE"""),21.6)</f>
        <v>21.6</v>
      </c>
      <c r="AC1133" s="14">
        <f>IFERROR(__xludf.DUMMYFUNCTION("""COMPUTED_VALUE"""),21.939999999999998)</f>
        <v>21.94</v>
      </c>
      <c r="AD1133" s="48">
        <f>IFERROR(__xludf.DUMMYFUNCTION("""COMPUTED_VALUE"""),706.0)</f>
        <v>706</v>
      </c>
      <c r="AE1133" s="48">
        <f>IFERROR(__xludf.DUMMYFUNCTION("""COMPUTED_VALUE"""),713.0)</f>
        <v>713</v>
      </c>
      <c r="AF1133" s="48">
        <f>IFERROR(__xludf.DUMMYFUNCTION("""COMPUTED_VALUE"""),728.0)</f>
        <v>728</v>
      </c>
      <c r="AG1133" s="48">
        <f>IFERROR(__xludf.DUMMYFUNCTION("""COMPUTED_VALUE"""),739.0)</f>
        <v>739</v>
      </c>
      <c r="AH1133" s="48">
        <f>IFERROR(__xludf.DUMMYFUNCTION("""COMPUTED_VALUE"""),745.0)</f>
        <v>745</v>
      </c>
      <c r="AI1133" s="14">
        <f>IFERROR(__xludf.DUMMYFUNCTION("""COMPUTED_VALUE"""),726.2)</f>
        <v>726.2</v>
      </c>
      <c r="AJ1133" s="14">
        <f>IFERROR(__xludf.DUMMYFUNCTION("""COMPUTED_VALUE"""),3.07)</f>
        <v>3.07</v>
      </c>
      <c r="AK1133" s="14">
        <f>IFERROR(__xludf.DUMMYFUNCTION("""COMPUTED_VALUE"""),2.72)</f>
        <v>2.72</v>
      </c>
      <c r="AL1133" s="14">
        <f>IFERROR(__xludf.DUMMYFUNCTION("""COMPUTED_VALUE"""),1.75)</f>
        <v>1.75</v>
      </c>
      <c r="AM1133" s="14">
        <f>IFERROR(__xludf.DUMMYFUNCTION("""COMPUTED_VALUE"""),2.04)</f>
        <v>2.04</v>
      </c>
      <c r="AN1133" s="14">
        <f>IFERROR(__xludf.DUMMYFUNCTION("""COMPUTED_VALUE"""),2.74)</f>
        <v>2.74</v>
      </c>
      <c r="AO1133" s="14">
        <f>IFERROR(__xludf.DUMMYFUNCTION("""COMPUTED_VALUE"""),2.464)</f>
        <v>2.464</v>
      </c>
      <c r="AP1133" s="14">
        <f>IFERROR(__xludf.DUMMYFUNCTION("""COMPUTED_VALUE"""),290.0)</f>
        <v>290</v>
      </c>
      <c r="AQ1133" s="14">
        <f>IFERROR(__xludf.DUMMYFUNCTION("""COMPUTED_VALUE"""),398.0)</f>
        <v>398</v>
      </c>
      <c r="AR1133" s="14">
        <f>IFERROR(__xludf.DUMMYFUNCTION("""COMPUTED_VALUE"""),54.0)</f>
        <v>54</v>
      </c>
      <c r="AS1133" s="14">
        <f>IFERROR(__xludf.DUMMYFUNCTION("""COMPUTED_VALUE"""),625.0)</f>
        <v>625</v>
      </c>
      <c r="AT1133" s="14">
        <f>IFERROR(__xludf.DUMMYFUNCTION("""COMPUTED_VALUE"""),0.95)</f>
        <v>0.95</v>
      </c>
      <c r="AU1133" s="14">
        <f>IFERROR(__xludf.DUMMYFUNCTION("""COMPUTED_VALUE"""),1.976E8)</f>
        <v>197600000</v>
      </c>
      <c r="AV1133" s="14">
        <f>IFERROR(__xludf.DUMMYFUNCTION("""COMPUTED_VALUE"""),5.6)</f>
        <v>5.6</v>
      </c>
      <c r="AW1133" s="14">
        <f>IFERROR(__xludf.DUMMYFUNCTION("""COMPUTED_VALUE"""),52.4)</f>
        <v>52.4</v>
      </c>
      <c r="AX1133" s="14">
        <f>IFERROR(__xludf.DUMMYFUNCTION("""COMPUTED_VALUE"""),1.819E8)</f>
        <v>181900000</v>
      </c>
      <c r="AY1133" s="14">
        <f>IFERROR(__xludf.DUMMYFUNCTION("""COMPUTED_VALUE"""),0.8)</f>
        <v>0.8</v>
      </c>
      <c r="AZ1133" s="14">
        <f>IFERROR(__xludf.DUMMYFUNCTION("""COMPUTED_VALUE"""),0.007)</f>
        <v>0.007</v>
      </c>
      <c r="BA1133" s="14">
        <f t="shared" si="1"/>
        <v>53.207</v>
      </c>
    </row>
    <row r="1134" ht="14.25" customHeight="1">
      <c r="A1134" s="10" t="str">
        <f>IFERROR(__xludf.DUMMYFUNCTION("""COMPUTED_VALUE"""),"300824DU02")</f>
        <v>300824DU02</v>
      </c>
      <c r="B1134" s="12" t="str">
        <f>IFERROR(__xludf.DUMMYFUNCTION("""COMPUTED_VALUE"""),"QYO-Arrayanal")</f>
        <v>QYO-Arrayanal</v>
      </c>
      <c r="C1134" s="12"/>
      <c r="D1134" s="12"/>
      <c r="E1134" s="44">
        <f>IFERROR(__xludf.DUMMYFUNCTION("""COMPUTED_VALUE"""),45534.0)</f>
        <v>45534</v>
      </c>
      <c r="F1134" s="12" t="str">
        <f>IFERROR(__xludf.DUMMYFUNCTION("""COMPUTED_VALUE"""),"TIPO I")</f>
        <v>TIPO I</v>
      </c>
      <c r="G1134" s="12" t="str">
        <f>IFERROR(__xludf.DUMMYFUNCTION("""COMPUTED_VALUE"""),"Durante el desarrollo del monitoreo no se percibe olor, se observa color y se evidencian residuos sólidos en los márgenes del cuerpo de agua. 
Altitud. 2827 msnm")</f>
        <v>Durante el desarrollo del monitoreo no se percibe olor, se observa color y se evidencian residuos sólidos en los márgenes del cuerpo de agua. 
Altitud. 2827 msnm</v>
      </c>
      <c r="H1134" s="45">
        <f>IFERROR(__xludf.DUMMYFUNCTION("""COMPUTED_VALUE"""),0.5)</f>
        <v>0.5</v>
      </c>
      <c r="I1134" s="45">
        <f>IFERROR(__xludf.DUMMYFUNCTION("""COMPUTED_VALUE"""),0.5833333333321207)</f>
        <v>0.5833333333</v>
      </c>
      <c r="J1134" s="12">
        <f>IFERROR(__xludf.DUMMYFUNCTION("""COMPUTED_VALUE"""),2.5)</f>
        <v>2.5</v>
      </c>
      <c r="K1134" s="12">
        <f>IFERROR(__xludf.DUMMYFUNCTION("""COMPUTED_VALUE"""),0.29)</f>
        <v>0.29</v>
      </c>
      <c r="L1134" s="14">
        <f>IFERROR(__xludf.DUMMYFUNCTION("""COMPUTED_VALUE"""),118.358)</f>
        <v>118.358</v>
      </c>
      <c r="M1134" s="14">
        <f>IFERROR(__xludf.DUMMYFUNCTION("""COMPUTED_VALUE"""),117.683)</f>
        <v>117.683</v>
      </c>
      <c r="N1134" s="14">
        <f>IFERROR(__xludf.DUMMYFUNCTION("""COMPUTED_VALUE"""),119.073)</f>
        <v>119.073</v>
      </c>
      <c r="O1134" s="14">
        <f>IFERROR(__xludf.DUMMYFUNCTION("""COMPUTED_VALUE"""),119.284)</f>
        <v>119.284</v>
      </c>
      <c r="P1134" s="14">
        <f>IFERROR(__xludf.DUMMYFUNCTION("""COMPUTED_VALUE"""),118.819)</f>
        <v>118.819</v>
      </c>
      <c r="Q1134" s="14">
        <f>IFERROR(__xludf.DUMMYFUNCTION("""COMPUTED_VALUE"""),118.643)</f>
        <v>118.643</v>
      </c>
      <c r="R1134" s="48">
        <f>IFERROR(__xludf.DUMMYFUNCTION("""COMPUTED_VALUE"""),6.56)</f>
        <v>6.56</v>
      </c>
      <c r="S1134" s="48">
        <f>IFERROR(__xludf.DUMMYFUNCTION("""COMPUTED_VALUE"""),6.44)</f>
        <v>6.44</v>
      </c>
      <c r="T1134" s="48">
        <f>IFERROR(__xludf.DUMMYFUNCTION("""COMPUTED_VALUE"""),6.25)</f>
        <v>6.25</v>
      </c>
      <c r="U1134" s="48">
        <f>IFERROR(__xludf.DUMMYFUNCTION("""COMPUTED_VALUE"""),6.54)</f>
        <v>6.54</v>
      </c>
      <c r="V1134" s="48">
        <f>IFERROR(__xludf.DUMMYFUNCTION("""COMPUTED_VALUE"""),6.59)</f>
        <v>6.59</v>
      </c>
      <c r="W1134" s="14">
        <f>IFERROR(__xludf.DUMMYFUNCTION("""COMPUTED_VALUE"""),6.475999999999999)</f>
        <v>6.476</v>
      </c>
      <c r="X1134" s="14">
        <f>IFERROR(__xludf.DUMMYFUNCTION("""COMPUTED_VALUE"""),12.0)</f>
        <v>12</v>
      </c>
      <c r="Y1134" s="14">
        <f>IFERROR(__xludf.DUMMYFUNCTION("""COMPUTED_VALUE"""),12.1)</f>
        <v>12.1</v>
      </c>
      <c r="Z1134" s="14">
        <f>IFERROR(__xludf.DUMMYFUNCTION("""COMPUTED_VALUE"""),12.1)</f>
        <v>12.1</v>
      </c>
      <c r="AA1134" s="14">
        <f>IFERROR(__xludf.DUMMYFUNCTION("""COMPUTED_VALUE"""),12.3)</f>
        <v>12.3</v>
      </c>
      <c r="AB1134" s="14">
        <f>IFERROR(__xludf.DUMMYFUNCTION("""COMPUTED_VALUE"""),12.5)</f>
        <v>12.5</v>
      </c>
      <c r="AC1134" s="14">
        <f>IFERROR(__xludf.DUMMYFUNCTION("""COMPUTED_VALUE"""),12.2)</f>
        <v>12.2</v>
      </c>
      <c r="AD1134" s="48">
        <f>IFERROR(__xludf.DUMMYFUNCTION("""COMPUTED_VALUE"""),80.6)</f>
        <v>80.6</v>
      </c>
      <c r="AE1134" s="48">
        <f>IFERROR(__xludf.DUMMYFUNCTION("""COMPUTED_VALUE"""),77.5)</f>
        <v>77.5</v>
      </c>
      <c r="AF1134" s="48">
        <f>IFERROR(__xludf.DUMMYFUNCTION("""COMPUTED_VALUE"""),69.6)</f>
        <v>69.6</v>
      </c>
      <c r="AG1134" s="48">
        <f>IFERROR(__xludf.DUMMYFUNCTION("""COMPUTED_VALUE"""),68.3)</f>
        <v>68.3</v>
      </c>
      <c r="AH1134" s="48">
        <f>IFERROR(__xludf.DUMMYFUNCTION("""COMPUTED_VALUE"""),67.3)</f>
        <v>67.3</v>
      </c>
      <c r="AI1134" s="14">
        <f>IFERROR(__xludf.DUMMYFUNCTION("""COMPUTED_VALUE"""),72.66)</f>
        <v>72.66</v>
      </c>
      <c r="AJ1134" s="14">
        <f>IFERROR(__xludf.DUMMYFUNCTION("""COMPUTED_VALUE"""),5.89)</f>
        <v>5.89</v>
      </c>
      <c r="AK1134" s="14">
        <f>IFERROR(__xludf.DUMMYFUNCTION("""COMPUTED_VALUE"""),5.52)</f>
        <v>5.52</v>
      </c>
      <c r="AL1134" s="14">
        <f>IFERROR(__xludf.DUMMYFUNCTION("""COMPUTED_VALUE"""),5.72)</f>
        <v>5.72</v>
      </c>
      <c r="AM1134" s="14">
        <f>IFERROR(__xludf.DUMMYFUNCTION("""COMPUTED_VALUE"""),6.61)</f>
        <v>6.61</v>
      </c>
      <c r="AN1134" s="14">
        <f>IFERROR(__xludf.DUMMYFUNCTION("""COMPUTED_VALUE"""),6.18)</f>
        <v>6.18</v>
      </c>
      <c r="AO1134" s="14">
        <f>IFERROR(__xludf.DUMMYFUNCTION("""COMPUTED_VALUE"""),5.984)</f>
        <v>5.984</v>
      </c>
      <c r="AP1134" s="14">
        <f>IFERROR(__xludf.DUMMYFUNCTION("""COMPUTED_VALUE"""),4.0)</f>
        <v>4</v>
      </c>
      <c r="AQ1134" s="14">
        <f>IFERROR(__xludf.DUMMYFUNCTION("""COMPUTED_VALUE"""),16.0)</f>
        <v>16</v>
      </c>
      <c r="AR1134" s="14">
        <f>IFERROR(__xludf.DUMMYFUNCTION("""COMPUTED_VALUE"""),5.0)</f>
        <v>5</v>
      </c>
      <c r="AS1134" s="14">
        <f>IFERROR(__xludf.DUMMYFUNCTION("""COMPUTED_VALUE"""),8.8)</f>
        <v>8.8</v>
      </c>
      <c r="AT1134" s="14">
        <f>IFERROR(__xludf.DUMMYFUNCTION("""COMPUTED_VALUE"""),0.07)</f>
        <v>0.07</v>
      </c>
      <c r="AU1134" s="14">
        <f>IFERROR(__xludf.DUMMYFUNCTION("""COMPUTED_VALUE"""),1.291E8)</f>
        <v>129100000</v>
      </c>
      <c r="AV1134" s="14">
        <f>IFERROR(__xludf.DUMMYFUNCTION("""COMPUTED_VALUE"""),0.14)</f>
        <v>0.14</v>
      </c>
      <c r="AW1134" s="14">
        <f>IFERROR(__xludf.DUMMYFUNCTION("""COMPUTED_VALUE"""),1.1)</f>
        <v>1.1</v>
      </c>
      <c r="AX1134" s="14">
        <f>IFERROR(__xludf.DUMMYFUNCTION("""COMPUTED_VALUE"""),1.112E8)</f>
        <v>111200000</v>
      </c>
      <c r="AY1134" s="14">
        <f>IFERROR(__xludf.DUMMYFUNCTION("""COMPUTED_VALUE"""),0.9)</f>
        <v>0.9</v>
      </c>
      <c r="AZ1134" s="14">
        <f>IFERROR(__xludf.DUMMYFUNCTION("""COMPUTED_VALUE"""),0.042)</f>
        <v>0.042</v>
      </c>
      <c r="BA1134" s="14">
        <f t="shared" si="1"/>
        <v>2.042</v>
      </c>
    </row>
    <row r="1135" ht="14.25" customHeight="1">
      <c r="A1135" s="10" t="str">
        <f>IFERROR(__xludf.DUMMYFUNCTION("""COMPUTED_VALUE"""),"280824HA02")</f>
        <v>280824HA02</v>
      </c>
      <c r="B1135" s="12" t="str">
        <f>IFERROR(__xludf.DUMMYFUNCTION("""COMPUTED_VALUE"""),"QCH-La Orquídea")</f>
        <v>QCH-La Orquídea</v>
      </c>
      <c r="C1135" s="12"/>
      <c r="D1135" s="12"/>
      <c r="E1135" s="44">
        <f>IFERROR(__xludf.DUMMYFUNCTION("""COMPUTED_VALUE"""),45532.0)</f>
        <v>45532</v>
      </c>
      <c r="F1135" s="12" t="str">
        <f>IFERROR(__xludf.DUMMYFUNCTION("""COMPUTED_VALUE"""),"TIPO I")</f>
        <v>TIPO I</v>
      </c>
      <c r="G1135" s="12" t="str">
        <f>IFERROR(__xludf.DUMMYFUNCTION("""COMPUTED_VALUE"""),"Durante el desarrollo del monitoreo se observa color, se percibe olor y se observan residuos solidos en el cuerpo de agua. En la cuarta alícuota se evidencia un cambio en la coloración. 
Altitud. 2828 msnm")</f>
        <v>Durante el desarrollo del monitoreo se observa color, se percibe olor y se observan residuos solidos en el cuerpo de agua. En la cuarta alícuota se evidencia un cambio en la coloración. 
Altitud. 2828 msnm</v>
      </c>
      <c r="H1135" s="45">
        <f>IFERROR(__xludf.DUMMYFUNCTION("""COMPUTED_VALUE"""),0.4583333333321207)</f>
        <v>0.4583333333</v>
      </c>
      <c r="I1135" s="45">
        <f>IFERROR(__xludf.DUMMYFUNCTION("""COMPUTED_VALUE"""),0.5416666666678793)</f>
        <v>0.5416666667</v>
      </c>
      <c r="J1135" s="12">
        <f>IFERROR(__xludf.DUMMYFUNCTION("""COMPUTED_VALUE"""),1.0)</f>
        <v>1</v>
      </c>
      <c r="K1135" s="12"/>
      <c r="L1135" s="14">
        <f>IFERROR(__xludf.DUMMYFUNCTION("""COMPUTED_VALUE"""),0.246)</f>
        <v>0.246</v>
      </c>
      <c r="M1135" s="14">
        <f>IFERROR(__xludf.DUMMYFUNCTION("""COMPUTED_VALUE"""),0.244)</f>
        <v>0.244</v>
      </c>
      <c r="N1135" s="14">
        <f>IFERROR(__xludf.DUMMYFUNCTION("""COMPUTED_VALUE"""),0.242)</f>
        <v>0.242</v>
      </c>
      <c r="O1135" s="14">
        <f>IFERROR(__xludf.DUMMYFUNCTION("""COMPUTED_VALUE"""),0.38)</f>
        <v>0.38</v>
      </c>
      <c r="P1135" s="14">
        <f>IFERROR(__xludf.DUMMYFUNCTION("""COMPUTED_VALUE"""),0.373)</f>
        <v>0.373</v>
      </c>
      <c r="Q1135" s="14">
        <f>IFERROR(__xludf.DUMMYFUNCTION("""COMPUTED_VALUE"""),0.297)</f>
        <v>0.297</v>
      </c>
      <c r="R1135" s="48">
        <f>IFERROR(__xludf.DUMMYFUNCTION("""COMPUTED_VALUE"""),8.09)</f>
        <v>8.09</v>
      </c>
      <c r="S1135" s="48">
        <f>IFERROR(__xludf.DUMMYFUNCTION("""COMPUTED_VALUE"""),8.34)</f>
        <v>8.34</v>
      </c>
      <c r="T1135" s="48">
        <f>IFERROR(__xludf.DUMMYFUNCTION("""COMPUTED_VALUE"""),8.46)</f>
        <v>8.46</v>
      </c>
      <c r="U1135" s="48">
        <f>IFERROR(__xludf.DUMMYFUNCTION("""COMPUTED_VALUE"""),8.29)</f>
        <v>8.29</v>
      </c>
      <c r="V1135" s="48">
        <f>IFERROR(__xludf.DUMMYFUNCTION("""COMPUTED_VALUE"""),8.22)</f>
        <v>8.22</v>
      </c>
      <c r="W1135" s="14">
        <f>IFERROR(__xludf.DUMMYFUNCTION("""COMPUTED_VALUE"""),8.28)</f>
        <v>8.28</v>
      </c>
      <c r="X1135" s="14">
        <f>IFERROR(__xludf.DUMMYFUNCTION("""COMPUTED_VALUE"""),15.9)</f>
        <v>15.9</v>
      </c>
      <c r="Y1135" s="14">
        <f>IFERROR(__xludf.DUMMYFUNCTION("""COMPUTED_VALUE"""),16.2)</f>
        <v>16.2</v>
      </c>
      <c r="Z1135" s="14">
        <f>IFERROR(__xludf.DUMMYFUNCTION("""COMPUTED_VALUE"""),16.0)</f>
        <v>16</v>
      </c>
      <c r="AA1135" s="14">
        <f>IFERROR(__xludf.DUMMYFUNCTION("""COMPUTED_VALUE"""),16.7)</f>
        <v>16.7</v>
      </c>
      <c r="AB1135" s="14">
        <f>IFERROR(__xludf.DUMMYFUNCTION("""COMPUTED_VALUE"""),16.5)</f>
        <v>16.5</v>
      </c>
      <c r="AC1135" s="14">
        <f>IFERROR(__xludf.DUMMYFUNCTION("""COMPUTED_VALUE"""),16.259999999999998)</f>
        <v>16.26</v>
      </c>
      <c r="AD1135" s="48">
        <f>IFERROR(__xludf.DUMMYFUNCTION("""COMPUTED_VALUE"""),799.0)</f>
        <v>799</v>
      </c>
      <c r="AE1135" s="48">
        <f>IFERROR(__xludf.DUMMYFUNCTION("""COMPUTED_VALUE"""),811.0)</f>
        <v>811</v>
      </c>
      <c r="AF1135" s="48">
        <f>IFERROR(__xludf.DUMMYFUNCTION("""COMPUTED_VALUE"""),823.0)</f>
        <v>823</v>
      </c>
      <c r="AG1135" s="48">
        <f>IFERROR(__xludf.DUMMYFUNCTION("""COMPUTED_VALUE"""),864.0)</f>
        <v>864</v>
      </c>
      <c r="AH1135" s="48">
        <f>IFERROR(__xludf.DUMMYFUNCTION("""COMPUTED_VALUE"""),889.0)</f>
        <v>889</v>
      </c>
      <c r="AI1135" s="14">
        <f>IFERROR(__xludf.DUMMYFUNCTION("""COMPUTED_VALUE"""),837.2)</f>
        <v>837.2</v>
      </c>
      <c r="AJ1135" s="14">
        <f>IFERROR(__xludf.DUMMYFUNCTION("""COMPUTED_VALUE"""),4.53)</f>
        <v>4.53</v>
      </c>
      <c r="AK1135" s="14">
        <f>IFERROR(__xludf.DUMMYFUNCTION("""COMPUTED_VALUE"""),4.5)</f>
        <v>4.5</v>
      </c>
      <c r="AL1135" s="14">
        <f>IFERROR(__xludf.DUMMYFUNCTION("""COMPUTED_VALUE"""),4.47)</f>
        <v>4.47</v>
      </c>
      <c r="AM1135" s="14">
        <f>IFERROR(__xludf.DUMMYFUNCTION("""COMPUTED_VALUE"""),3.84)</f>
        <v>3.84</v>
      </c>
      <c r="AN1135" s="14">
        <f>IFERROR(__xludf.DUMMYFUNCTION("""COMPUTED_VALUE"""),3.78)</f>
        <v>3.78</v>
      </c>
      <c r="AO1135" s="14">
        <f>IFERROR(__xludf.DUMMYFUNCTION("""COMPUTED_VALUE"""),4.224)</f>
        <v>4.224</v>
      </c>
      <c r="AP1135" s="14">
        <f>IFERROR(__xludf.DUMMYFUNCTION("""COMPUTED_VALUE"""),47.0)</f>
        <v>47</v>
      </c>
      <c r="AQ1135" s="14">
        <f>IFERROR(__xludf.DUMMYFUNCTION("""COMPUTED_VALUE"""),104.0)</f>
        <v>104</v>
      </c>
      <c r="AR1135" s="14">
        <f>IFERROR(__xludf.DUMMYFUNCTION("""COMPUTED_VALUE"""),53.0)</f>
        <v>53</v>
      </c>
      <c r="AS1135" s="14">
        <f>IFERROR(__xludf.DUMMYFUNCTION("""COMPUTED_VALUE"""),4.8)</f>
        <v>4.8</v>
      </c>
      <c r="AT1135" s="14">
        <f>IFERROR(__xludf.DUMMYFUNCTION("""COMPUTED_VALUE"""),15.29)</f>
        <v>15.29</v>
      </c>
      <c r="AU1135" s="14">
        <f>IFERROR(__xludf.DUMMYFUNCTION("""COMPUTED_VALUE"""),17200.0)</f>
        <v>17200</v>
      </c>
      <c r="AV1135" s="14">
        <f>IFERROR(__xludf.DUMMYFUNCTION("""COMPUTED_VALUE"""),0.26)</f>
        <v>0.26</v>
      </c>
      <c r="AW1135" s="14">
        <f>IFERROR(__xludf.DUMMYFUNCTION("""COMPUTED_VALUE"""),6.4)</f>
        <v>6.4</v>
      </c>
      <c r="AX1135" s="14">
        <f>IFERROR(__xludf.DUMMYFUNCTION("""COMPUTED_VALUE"""),16160.0)</f>
        <v>16160</v>
      </c>
      <c r="AY1135" s="14">
        <f>IFERROR(__xludf.DUMMYFUNCTION("""COMPUTED_VALUE"""),0.7)</f>
        <v>0.7</v>
      </c>
      <c r="AZ1135" s="14">
        <f>IFERROR(__xludf.DUMMYFUNCTION("""COMPUTED_VALUE"""),0.007)</f>
        <v>0.007</v>
      </c>
      <c r="BA1135" s="14">
        <f t="shared" si="1"/>
        <v>7.107</v>
      </c>
    </row>
    <row r="1136" ht="14.25" customHeight="1">
      <c r="A1136" s="10" t="str">
        <f>IFERROR(__xludf.DUMMYFUNCTION("""COMPUTED_VALUE"""),"280824DU04")</f>
        <v>280824DU04</v>
      </c>
      <c r="B1136" s="12" t="str">
        <f>IFERROR(__xludf.DUMMYFUNCTION("""COMPUTED_VALUE"""),"QLI-Bella Flor")</f>
        <v>QLI-Bella Flor</v>
      </c>
      <c r="C1136" s="12"/>
      <c r="D1136" s="12"/>
      <c r="E1136" s="44">
        <f>IFERROR(__xludf.DUMMYFUNCTION("""COMPUTED_VALUE"""),45532.0)</f>
        <v>45532</v>
      </c>
      <c r="F1136" s="12" t="str">
        <f>IFERROR(__xludf.DUMMYFUNCTION("""COMPUTED_VALUE"""),"TIPO I")</f>
        <v>TIPO I</v>
      </c>
      <c r="G1136" s="12" t="str">
        <f>IFERROR(__xludf.DUMMYFUNCTION("""COMPUTED_VALUE"""),"Durante el desarrollo del monitoreo se observa color y se percibe olor. 
Altitud. 2793 msnm")</f>
        <v>Durante el desarrollo del monitoreo se observa color y se percibe olor. 
Altitud. 2793 msnm</v>
      </c>
      <c r="H1136" s="45">
        <f>IFERROR(__xludf.DUMMYFUNCTION("""COMPUTED_VALUE"""),0.6666666666678793)</f>
        <v>0.6666666667</v>
      </c>
      <c r="I1136" s="45">
        <f>IFERROR(__xludf.DUMMYFUNCTION("""COMPUTED_VALUE"""),0.75)</f>
        <v>0.75</v>
      </c>
      <c r="J1136" s="12">
        <f>IFERROR(__xludf.DUMMYFUNCTION("""COMPUTED_VALUE"""),1.1)</f>
        <v>1.1</v>
      </c>
      <c r="K1136" s="12">
        <f>IFERROR(__xludf.DUMMYFUNCTION("""COMPUTED_VALUE"""),0.19)</f>
        <v>0.19</v>
      </c>
      <c r="L1136" s="14">
        <f>IFERROR(__xludf.DUMMYFUNCTION("""COMPUTED_VALUE"""),19.058)</f>
        <v>19.058</v>
      </c>
      <c r="M1136" s="14">
        <f>IFERROR(__xludf.DUMMYFUNCTION("""COMPUTED_VALUE"""),19.954)</f>
        <v>19.954</v>
      </c>
      <c r="N1136" s="14">
        <f>IFERROR(__xludf.DUMMYFUNCTION("""COMPUTED_VALUE"""),20.469)</f>
        <v>20.469</v>
      </c>
      <c r="O1136" s="14">
        <f>IFERROR(__xludf.DUMMYFUNCTION("""COMPUTED_VALUE"""),20.784)</f>
        <v>20.784</v>
      </c>
      <c r="P1136" s="14">
        <f>IFERROR(__xludf.DUMMYFUNCTION("""COMPUTED_VALUE"""),21.756)</f>
        <v>21.756</v>
      </c>
      <c r="Q1136" s="14">
        <f>IFERROR(__xludf.DUMMYFUNCTION("""COMPUTED_VALUE"""),20.404)</f>
        <v>20.404</v>
      </c>
      <c r="R1136" s="48">
        <f>IFERROR(__xludf.DUMMYFUNCTION("""COMPUTED_VALUE"""),8.04)</f>
        <v>8.04</v>
      </c>
      <c r="S1136" s="48">
        <f>IFERROR(__xludf.DUMMYFUNCTION("""COMPUTED_VALUE"""),7.93)</f>
        <v>7.93</v>
      </c>
      <c r="T1136" s="48">
        <f>IFERROR(__xludf.DUMMYFUNCTION("""COMPUTED_VALUE"""),7.78)</f>
        <v>7.78</v>
      </c>
      <c r="U1136" s="48">
        <f>IFERROR(__xludf.DUMMYFUNCTION("""COMPUTED_VALUE"""),7.87)</f>
        <v>7.87</v>
      </c>
      <c r="V1136" s="48">
        <f>IFERROR(__xludf.DUMMYFUNCTION("""COMPUTED_VALUE"""),7.6)</f>
        <v>7.6</v>
      </c>
      <c r="W1136" s="14">
        <f>IFERROR(__xludf.DUMMYFUNCTION("""COMPUTED_VALUE"""),7.843999999999999)</f>
        <v>7.844</v>
      </c>
      <c r="X1136" s="14">
        <f>IFERROR(__xludf.DUMMYFUNCTION("""COMPUTED_VALUE"""),16.0)</f>
        <v>16</v>
      </c>
      <c r="Y1136" s="14">
        <f>IFERROR(__xludf.DUMMYFUNCTION("""COMPUTED_VALUE"""),15.6)</f>
        <v>15.6</v>
      </c>
      <c r="Z1136" s="14">
        <f>IFERROR(__xludf.DUMMYFUNCTION("""COMPUTED_VALUE"""),15.9)</f>
        <v>15.9</v>
      </c>
      <c r="AA1136" s="14">
        <f>IFERROR(__xludf.DUMMYFUNCTION("""COMPUTED_VALUE"""),15.7)</f>
        <v>15.7</v>
      </c>
      <c r="AB1136" s="14">
        <f>IFERROR(__xludf.DUMMYFUNCTION("""COMPUTED_VALUE"""),15.4)</f>
        <v>15.4</v>
      </c>
      <c r="AC1136" s="14">
        <f>IFERROR(__xludf.DUMMYFUNCTION("""COMPUTED_VALUE"""),15.720000000000002)</f>
        <v>15.72</v>
      </c>
      <c r="AD1136" s="48">
        <f>IFERROR(__xludf.DUMMYFUNCTION("""COMPUTED_VALUE"""),568.0)</f>
        <v>568</v>
      </c>
      <c r="AE1136" s="48">
        <f>IFERROR(__xludf.DUMMYFUNCTION("""COMPUTED_VALUE"""),599.0)</f>
        <v>599</v>
      </c>
      <c r="AF1136" s="48">
        <f>IFERROR(__xludf.DUMMYFUNCTION("""COMPUTED_VALUE"""),582.0)</f>
        <v>582</v>
      </c>
      <c r="AG1136" s="48">
        <f>IFERROR(__xludf.DUMMYFUNCTION("""COMPUTED_VALUE"""),525.0)</f>
        <v>525</v>
      </c>
      <c r="AH1136" s="48">
        <f>IFERROR(__xludf.DUMMYFUNCTION("""COMPUTED_VALUE"""),573.0)</f>
        <v>573</v>
      </c>
      <c r="AI1136" s="14">
        <f>IFERROR(__xludf.DUMMYFUNCTION("""COMPUTED_VALUE"""),569.4)</f>
        <v>569.4</v>
      </c>
      <c r="AJ1136" s="14">
        <f>IFERROR(__xludf.DUMMYFUNCTION("""COMPUTED_VALUE"""),4.89)</f>
        <v>4.89</v>
      </c>
      <c r="AK1136" s="14">
        <f>IFERROR(__xludf.DUMMYFUNCTION("""COMPUTED_VALUE"""),4.37)</f>
        <v>4.37</v>
      </c>
      <c r="AL1136" s="14">
        <f>IFERROR(__xludf.DUMMYFUNCTION("""COMPUTED_VALUE"""),4.12)</f>
        <v>4.12</v>
      </c>
      <c r="AM1136" s="14">
        <f>IFERROR(__xludf.DUMMYFUNCTION("""COMPUTED_VALUE"""),3.83)</f>
        <v>3.83</v>
      </c>
      <c r="AN1136" s="14">
        <f>IFERROR(__xludf.DUMMYFUNCTION("""COMPUTED_VALUE"""),3.9)</f>
        <v>3.9</v>
      </c>
      <c r="AO1136" s="14">
        <f>IFERROR(__xludf.DUMMYFUNCTION("""COMPUTED_VALUE"""),4.2219999999999995)</f>
        <v>4.222</v>
      </c>
      <c r="AP1136" s="14">
        <f>IFERROR(__xludf.DUMMYFUNCTION("""COMPUTED_VALUE"""),102.0)</f>
        <v>102</v>
      </c>
      <c r="AQ1136" s="14">
        <f>IFERROR(__xludf.DUMMYFUNCTION("""COMPUTED_VALUE"""),141.0)</f>
        <v>141</v>
      </c>
      <c r="AR1136" s="14">
        <f>IFERROR(__xludf.DUMMYFUNCTION("""COMPUTED_VALUE"""),29.0)</f>
        <v>29</v>
      </c>
      <c r="AS1136" s="14">
        <f>IFERROR(__xludf.DUMMYFUNCTION("""COMPUTED_VALUE"""),7.3)</f>
        <v>7.3</v>
      </c>
      <c r="AT1136" s="14">
        <f>IFERROR(__xludf.DUMMYFUNCTION("""COMPUTED_VALUE"""),13.33)</f>
        <v>13.33</v>
      </c>
      <c r="AU1136" s="14">
        <f>IFERROR(__xludf.DUMMYFUNCTION("""COMPUTED_VALUE"""),9160000.0)</f>
        <v>9160000</v>
      </c>
      <c r="AV1136" s="14">
        <f>IFERROR(__xludf.DUMMYFUNCTION("""COMPUTED_VALUE"""),3.32)</f>
        <v>3.32</v>
      </c>
      <c r="AW1136" s="14">
        <f>IFERROR(__xludf.DUMMYFUNCTION("""COMPUTED_VALUE"""),29.4)</f>
        <v>29.4</v>
      </c>
      <c r="AX1136" s="14">
        <f>IFERROR(__xludf.DUMMYFUNCTION("""COMPUTED_VALUE"""),5900000.0)</f>
        <v>5900000</v>
      </c>
      <c r="AY1136" s="14">
        <f>IFERROR(__xludf.DUMMYFUNCTION("""COMPUTED_VALUE"""),0.6)</f>
        <v>0.6</v>
      </c>
      <c r="AZ1136" s="14">
        <f>IFERROR(__xludf.DUMMYFUNCTION("""COMPUTED_VALUE"""),0.007)</f>
        <v>0.007</v>
      </c>
      <c r="BA1136" s="14">
        <f t="shared" si="1"/>
        <v>30.007</v>
      </c>
    </row>
    <row r="1137" ht="14.25" customHeight="1">
      <c r="A1137" s="10" t="str">
        <f>IFERROR(__xludf.DUMMYFUNCTION("""COMPUTED_VALUE"""),"300824DU03")</f>
        <v>300824DU03</v>
      </c>
      <c r="B1137" s="12" t="str">
        <f>IFERROR(__xludf.DUMMYFUNCTION("""COMPUTED_VALUE"""),"QYO-Bolonia")</f>
        <v>QYO-Bolonia</v>
      </c>
      <c r="C1137" s="12"/>
      <c r="D1137" s="12"/>
      <c r="E1137" s="44">
        <f>IFERROR(__xludf.DUMMYFUNCTION("""COMPUTED_VALUE"""),45534.0)</f>
        <v>45534</v>
      </c>
      <c r="F1137" s="12" t="str">
        <f>IFERROR(__xludf.DUMMYFUNCTION("""COMPUTED_VALUE"""),"TIPO I")</f>
        <v>TIPO I</v>
      </c>
      <c r="G1137" s="12" t="str">
        <f>IFERROR(__xludf.DUMMYFUNCTION("""COMPUTED_VALUE"""),"Monitoreo realizado en canal con lecho rocoso y lodoso, durante la toma de muestra se observa color, residuos sólidos en el cuerpo de agua y sus márgenes, se percibe olor. 
Altitud: 2750 msnm")</f>
        <v>Monitoreo realizado en canal con lecho rocoso y lodoso, durante la toma de muestra se observa color, residuos sólidos en el cuerpo de agua y sus márgenes, se percibe olor. 
Altitud: 2750 msnm</v>
      </c>
      <c r="H1137" s="45">
        <f>IFERROR(__xludf.DUMMYFUNCTION("""COMPUTED_VALUE"""),0.6666666666678793)</f>
        <v>0.6666666667</v>
      </c>
      <c r="I1137" s="45">
        <f>IFERROR(__xludf.DUMMYFUNCTION("""COMPUTED_VALUE"""),0.75)</f>
        <v>0.75</v>
      </c>
      <c r="J1137" s="12">
        <f>IFERROR(__xludf.DUMMYFUNCTION("""COMPUTED_VALUE"""),2.6)</f>
        <v>2.6</v>
      </c>
      <c r="K1137" s="12">
        <f>IFERROR(__xludf.DUMMYFUNCTION("""COMPUTED_VALUE"""),0.65)</f>
        <v>0.65</v>
      </c>
      <c r="L1137" s="14">
        <f>IFERROR(__xludf.DUMMYFUNCTION("""COMPUTED_VALUE"""),382.547)</f>
        <v>382.547</v>
      </c>
      <c r="M1137" s="14">
        <f>IFERROR(__xludf.DUMMYFUNCTION("""COMPUTED_VALUE"""),381.798)</f>
        <v>381.798</v>
      </c>
      <c r="N1137" s="14">
        <f>IFERROR(__xludf.DUMMYFUNCTION("""COMPUTED_VALUE"""),383.618)</f>
        <v>383.618</v>
      </c>
      <c r="O1137" s="14">
        <f>IFERROR(__xludf.DUMMYFUNCTION("""COMPUTED_VALUE"""),384.717)</f>
        <v>384.717</v>
      </c>
      <c r="P1137" s="14">
        <f>IFERROR(__xludf.DUMMYFUNCTION("""COMPUTED_VALUE"""),382.244)</f>
        <v>382.244</v>
      </c>
      <c r="Q1137" s="14">
        <f>IFERROR(__xludf.DUMMYFUNCTION("""COMPUTED_VALUE"""),382.985)</f>
        <v>382.985</v>
      </c>
      <c r="R1137" s="48">
        <f>IFERROR(__xludf.DUMMYFUNCTION("""COMPUTED_VALUE"""),6.83)</f>
        <v>6.83</v>
      </c>
      <c r="S1137" s="48">
        <f>IFERROR(__xludf.DUMMYFUNCTION("""COMPUTED_VALUE"""),6.55)</f>
        <v>6.55</v>
      </c>
      <c r="T1137" s="48">
        <f>IFERROR(__xludf.DUMMYFUNCTION("""COMPUTED_VALUE"""),6.94)</f>
        <v>6.94</v>
      </c>
      <c r="U1137" s="48">
        <f>IFERROR(__xludf.DUMMYFUNCTION("""COMPUTED_VALUE"""),6.76)</f>
        <v>6.76</v>
      </c>
      <c r="V1137" s="48">
        <f>IFERROR(__xludf.DUMMYFUNCTION("""COMPUTED_VALUE"""),7.02)</f>
        <v>7.02</v>
      </c>
      <c r="W1137" s="14">
        <f>IFERROR(__xludf.DUMMYFUNCTION("""COMPUTED_VALUE"""),6.8199999999999985)</f>
        <v>6.82</v>
      </c>
      <c r="X1137" s="14">
        <f>IFERROR(__xludf.DUMMYFUNCTION("""COMPUTED_VALUE"""),16.7)</f>
        <v>16.7</v>
      </c>
      <c r="Y1137" s="14">
        <f>IFERROR(__xludf.DUMMYFUNCTION("""COMPUTED_VALUE"""),16.7)</f>
        <v>16.7</v>
      </c>
      <c r="Z1137" s="14">
        <f>IFERROR(__xludf.DUMMYFUNCTION("""COMPUTED_VALUE"""),16.6)</f>
        <v>16.6</v>
      </c>
      <c r="AA1137" s="14">
        <f>IFERROR(__xludf.DUMMYFUNCTION("""COMPUTED_VALUE"""),16.4)</f>
        <v>16.4</v>
      </c>
      <c r="AB1137" s="14">
        <f>IFERROR(__xludf.DUMMYFUNCTION("""COMPUTED_VALUE"""),16.4)</f>
        <v>16.4</v>
      </c>
      <c r="AC1137" s="14">
        <f>IFERROR(__xludf.DUMMYFUNCTION("""COMPUTED_VALUE"""),16.560000000000002)</f>
        <v>16.56</v>
      </c>
      <c r="AD1137" s="48">
        <f>IFERROR(__xludf.DUMMYFUNCTION("""COMPUTED_VALUE"""),166.4)</f>
        <v>166.4</v>
      </c>
      <c r="AE1137" s="48">
        <f>IFERROR(__xludf.DUMMYFUNCTION("""COMPUTED_VALUE"""),163.9)</f>
        <v>163.9</v>
      </c>
      <c r="AF1137" s="48">
        <f>IFERROR(__xludf.DUMMYFUNCTION("""COMPUTED_VALUE"""),177.4)</f>
        <v>177.4</v>
      </c>
      <c r="AG1137" s="48">
        <f>IFERROR(__xludf.DUMMYFUNCTION("""COMPUTED_VALUE"""),187.2)</f>
        <v>187.2</v>
      </c>
      <c r="AH1137" s="48">
        <f>IFERROR(__xludf.DUMMYFUNCTION("""COMPUTED_VALUE"""),229.0)</f>
        <v>229</v>
      </c>
      <c r="AI1137" s="14">
        <f>IFERROR(__xludf.DUMMYFUNCTION("""COMPUTED_VALUE"""),184.78000000000003)</f>
        <v>184.78</v>
      </c>
      <c r="AJ1137" s="14">
        <f>IFERROR(__xludf.DUMMYFUNCTION("""COMPUTED_VALUE"""),5.67)</f>
        <v>5.67</v>
      </c>
      <c r="AK1137" s="14">
        <f>IFERROR(__xludf.DUMMYFUNCTION("""COMPUTED_VALUE"""),5.23)</f>
        <v>5.23</v>
      </c>
      <c r="AL1137" s="14">
        <f>IFERROR(__xludf.DUMMYFUNCTION("""COMPUTED_VALUE"""),5.46)</f>
        <v>5.46</v>
      </c>
      <c r="AM1137" s="14">
        <f>IFERROR(__xludf.DUMMYFUNCTION("""COMPUTED_VALUE"""),5.25)</f>
        <v>5.25</v>
      </c>
      <c r="AN1137" s="14">
        <f>IFERROR(__xludf.DUMMYFUNCTION("""COMPUTED_VALUE"""),5.09)</f>
        <v>5.09</v>
      </c>
      <c r="AO1137" s="14">
        <f>IFERROR(__xludf.DUMMYFUNCTION("""COMPUTED_VALUE"""),5.34)</f>
        <v>5.34</v>
      </c>
      <c r="AP1137" s="14">
        <f>IFERROR(__xludf.DUMMYFUNCTION("""COMPUTED_VALUE"""),12.0)</f>
        <v>12</v>
      </c>
      <c r="AQ1137" s="14">
        <f>IFERROR(__xludf.DUMMYFUNCTION("""COMPUTED_VALUE"""),32.0)</f>
        <v>32</v>
      </c>
      <c r="AR1137" s="14">
        <f>IFERROR(__xludf.DUMMYFUNCTION("""COMPUTED_VALUE"""),5.0)</f>
        <v>5</v>
      </c>
      <c r="AS1137" s="14">
        <f>IFERROR(__xludf.DUMMYFUNCTION("""COMPUTED_VALUE"""),9.7)</f>
        <v>9.7</v>
      </c>
      <c r="AT1137" s="14">
        <f>IFERROR(__xludf.DUMMYFUNCTION("""COMPUTED_VALUE"""),0.07)</f>
        <v>0.07</v>
      </c>
      <c r="AU1137" s="14">
        <f>IFERROR(__xludf.DUMMYFUNCTION("""COMPUTED_VALUE"""),1.145E8)</f>
        <v>114500000</v>
      </c>
      <c r="AV1137" s="14">
        <f>IFERROR(__xludf.DUMMYFUNCTION("""COMPUTED_VALUE"""),0.4)</f>
        <v>0.4</v>
      </c>
      <c r="AW1137" s="14">
        <f>IFERROR(__xludf.DUMMYFUNCTION("""COMPUTED_VALUE"""),5.6)</f>
        <v>5.6</v>
      </c>
      <c r="AX1137" s="14">
        <f>IFERROR(__xludf.DUMMYFUNCTION("""COMPUTED_VALUE"""),7.12E7)</f>
        <v>71200000</v>
      </c>
      <c r="AY1137" s="14">
        <f>IFERROR(__xludf.DUMMYFUNCTION("""COMPUTED_VALUE"""),1.1)</f>
        <v>1.1</v>
      </c>
      <c r="AZ1137" s="14">
        <f>IFERROR(__xludf.DUMMYFUNCTION("""COMPUTED_VALUE"""),0.101)</f>
        <v>0.101</v>
      </c>
      <c r="BA1137" s="14">
        <f t="shared" si="1"/>
        <v>6.801</v>
      </c>
    </row>
    <row r="1138" ht="14.25" customHeight="1">
      <c r="A1138" s="10" t="str">
        <f>IFERROR(__xludf.DUMMYFUNCTION("""COMPUTED_VALUE"""),"060924FE02")</f>
        <v>060924FE02</v>
      </c>
      <c r="B1138" s="12" t="str">
        <f>IFERROR(__xludf.DUMMYFUNCTION("""COMPUTED_VALUE"""),"HCO-Los Lagartos")</f>
        <v>HCO-Los Lagartos</v>
      </c>
      <c r="C1138" s="12"/>
      <c r="D1138" s="12"/>
      <c r="E1138" s="44">
        <f>IFERROR(__xludf.DUMMYFUNCTION("""COMPUTED_VALUE"""),45541.0)</f>
        <v>45541</v>
      </c>
      <c r="F1138" s="12" t="str">
        <f>IFERROR(__xludf.DUMMYFUNCTION("""COMPUTED_VALUE"""),"TIPO I")</f>
        <v>TIPO I</v>
      </c>
      <c r="G1138" s="12" t="str">
        <f>IFERROR(__xludf.DUMMYFUNCTION("""COMPUTED_VALUE"""),"Durante el desarrollo del monitoreo se observa color y se percibe olor. 
Altitud. 2529 msnm. ")</f>
        <v>Durante el desarrollo del monitoreo se observa color y se percibe olor. 
Altitud. 2529 msnm. </v>
      </c>
      <c r="H1138" s="45">
        <f>IFERROR(__xludf.DUMMYFUNCTION("""COMPUTED_VALUE"""),0.4166666666678793)</f>
        <v>0.4166666667</v>
      </c>
      <c r="I1138" s="45">
        <f>IFERROR(__xludf.DUMMYFUNCTION("""COMPUTED_VALUE"""),0.5)</f>
        <v>0.5</v>
      </c>
      <c r="J1138" s="12">
        <f>IFERROR(__xludf.DUMMYFUNCTION("""COMPUTED_VALUE"""),6.3)</f>
        <v>6.3</v>
      </c>
      <c r="K1138" s="12">
        <f>IFERROR(__xludf.DUMMYFUNCTION("""COMPUTED_VALUE"""),0.48)</f>
        <v>0.48</v>
      </c>
      <c r="L1138" s="14">
        <f>IFERROR(__xludf.DUMMYFUNCTION("""COMPUTED_VALUE"""),232.793)</f>
        <v>232.793</v>
      </c>
      <c r="M1138" s="14">
        <f>IFERROR(__xludf.DUMMYFUNCTION("""COMPUTED_VALUE"""),253.696)</f>
        <v>253.696</v>
      </c>
      <c r="N1138" s="14">
        <f>IFERROR(__xludf.DUMMYFUNCTION("""COMPUTED_VALUE"""),246.787)</f>
        <v>246.787</v>
      </c>
      <c r="O1138" s="14">
        <f>IFERROR(__xludf.DUMMYFUNCTION("""COMPUTED_VALUE"""),245.206)</f>
        <v>245.206</v>
      </c>
      <c r="P1138" s="14">
        <f>IFERROR(__xludf.DUMMYFUNCTION("""COMPUTED_VALUE"""),252.13)</f>
        <v>252.13</v>
      </c>
      <c r="Q1138" s="14">
        <f>IFERROR(__xludf.DUMMYFUNCTION("""COMPUTED_VALUE"""),129.396)</f>
        <v>129.396</v>
      </c>
      <c r="R1138" s="48">
        <f>IFERROR(__xludf.DUMMYFUNCTION("""COMPUTED_VALUE"""),7.79)</f>
        <v>7.79</v>
      </c>
      <c r="S1138" s="48">
        <f>IFERROR(__xludf.DUMMYFUNCTION("""COMPUTED_VALUE"""),7.68)</f>
        <v>7.68</v>
      </c>
      <c r="T1138" s="48">
        <f>IFERROR(__xludf.DUMMYFUNCTION("""COMPUTED_VALUE"""),7.6)</f>
        <v>7.6</v>
      </c>
      <c r="U1138" s="48">
        <f>IFERROR(__xludf.DUMMYFUNCTION("""COMPUTED_VALUE"""),7.75)</f>
        <v>7.75</v>
      </c>
      <c r="V1138" s="48">
        <f>IFERROR(__xludf.DUMMYFUNCTION("""COMPUTED_VALUE"""),7.55)</f>
        <v>7.55</v>
      </c>
      <c r="W1138" s="14">
        <f>IFERROR(__xludf.DUMMYFUNCTION("""COMPUTED_VALUE"""),7.6739999999999995)</f>
        <v>7.674</v>
      </c>
      <c r="X1138" s="14">
        <f>IFERROR(__xludf.DUMMYFUNCTION("""COMPUTED_VALUE"""),18.6)</f>
        <v>18.6</v>
      </c>
      <c r="Y1138" s="14">
        <f>IFERROR(__xludf.DUMMYFUNCTION("""COMPUTED_VALUE"""),19.2)</f>
        <v>19.2</v>
      </c>
      <c r="Z1138" s="14">
        <f>IFERROR(__xludf.DUMMYFUNCTION("""COMPUTED_VALUE"""),18.5)</f>
        <v>18.5</v>
      </c>
      <c r="AA1138" s="14">
        <f>IFERROR(__xludf.DUMMYFUNCTION("""COMPUTED_VALUE"""),17.7)</f>
        <v>17.7</v>
      </c>
      <c r="AB1138" s="14">
        <f>IFERROR(__xludf.DUMMYFUNCTION("""COMPUTED_VALUE"""),17.6)</f>
        <v>17.6</v>
      </c>
      <c r="AC1138" s="14">
        <f>IFERROR(__xludf.DUMMYFUNCTION("""COMPUTED_VALUE"""),18.32)</f>
        <v>18.32</v>
      </c>
      <c r="AD1138" s="48">
        <f>IFERROR(__xludf.DUMMYFUNCTION("""COMPUTED_VALUE"""),553.0)</f>
        <v>553</v>
      </c>
      <c r="AE1138" s="48">
        <f>IFERROR(__xludf.DUMMYFUNCTION("""COMPUTED_VALUE"""),507.0)</f>
        <v>507</v>
      </c>
      <c r="AF1138" s="48">
        <f>IFERROR(__xludf.DUMMYFUNCTION("""COMPUTED_VALUE"""),514.0)</f>
        <v>514</v>
      </c>
      <c r="AG1138" s="48">
        <f>IFERROR(__xludf.DUMMYFUNCTION("""COMPUTED_VALUE"""),558.0)</f>
        <v>558</v>
      </c>
      <c r="AH1138" s="48">
        <f>IFERROR(__xludf.DUMMYFUNCTION("""COMPUTED_VALUE"""),544.0)</f>
        <v>544</v>
      </c>
      <c r="AI1138" s="14">
        <f>IFERROR(__xludf.DUMMYFUNCTION("""COMPUTED_VALUE"""),535.2)</f>
        <v>535.2</v>
      </c>
      <c r="AJ1138" s="14">
        <f>IFERROR(__xludf.DUMMYFUNCTION("""COMPUTED_VALUE"""),0.97)</f>
        <v>0.97</v>
      </c>
      <c r="AK1138" s="14">
        <f>IFERROR(__xludf.DUMMYFUNCTION("""COMPUTED_VALUE"""),0.76)</f>
        <v>0.76</v>
      </c>
      <c r="AL1138" s="14">
        <f>IFERROR(__xludf.DUMMYFUNCTION("""COMPUTED_VALUE"""),0.22)</f>
        <v>0.22</v>
      </c>
      <c r="AM1138" s="14">
        <f>IFERROR(__xludf.DUMMYFUNCTION("""COMPUTED_VALUE"""),0.26)</f>
        <v>0.26</v>
      </c>
      <c r="AN1138" s="14">
        <f>IFERROR(__xludf.DUMMYFUNCTION("""COMPUTED_VALUE"""),0.54)</f>
        <v>0.54</v>
      </c>
      <c r="AO1138" s="14">
        <f>IFERROR(__xludf.DUMMYFUNCTION("""COMPUTED_VALUE"""),0.55)</f>
        <v>0.55</v>
      </c>
      <c r="AP1138" s="14">
        <f>IFERROR(__xludf.DUMMYFUNCTION("""COMPUTED_VALUE"""),69.0)</f>
        <v>69</v>
      </c>
      <c r="AQ1138" s="14">
        <f>IFERROR(__xludf.DUMMYFUNCTION("""COMPUTED_VALUE"""),98.0)</f>
        <v>98</v>
      </c>
      <c r="AR1138" s="14">
        <f>IFERROR(__xludf.DUMMYFUNCTION("""COMPUTED_VALUE"""),18.0)</f>
        <v>18</v>
      </c>
      <c r="AS1138" s="14">
        <f>IFERROR(__xludf.DUMMYFUNCTION("""COMPUTED_VALUE"""),15.5)</f>
        <v>15.5</v>
      </c>
      <c r="AT1138" s="14">
        <f>IFERROR(__xludf.DUMMYFUNCTION("""COMPUTED_VALUE"""),2.5)</f>
        <v>2.5</v>
      </c>
      <c r="AU1138" s="14">
        <f>IFERROR(__xludf.DUMMYFUNCTION("""COMPUTED_VALUE"""),1.014E7)</f>
        <v>10140000</v>
      </c>
      <c r="AV1138" s="14">
        <f>IFERROR(__xludf.DUMMYFUNCTION("""COMPUTED_VALUE"""),2.57)</f>
        <v>2.57</v>
      </c>
      <c r="AW1138" s="14">
        <f>IFERROR(__xludf.DUMMYFUNCTION("""COMPUTED_VALUE"""),39.8)</f>
        <v>39.8</v>
      </c>
      <c r="AX1138" s="14">
        <f>IFERROR(__xludf.DUMMYFUNCTION("""COMPUTED_VALUE"""),6500000.0)</f>
        <v>6500000</v>
      </c>
      <c r="AY1138" s="14">
        <f>IFERROR(__xludf.DUMMYFUNCTION("""COMPUTED_VALUE"""),0.4)</f>
        <v>0.4</v>
      </c>
      <c r="AZ1138" s="14">
        <f>IFERROR(__xludf.DUMMYFUNCTION("""COMPUTED_VALUE"""),0.007)</f>
        <v>0.007</v>
      </c>
      <c r="BA1138" s="14">
        <f t="shared" si="1"/>
        <v>40.207</v>
      </c>
    </row>
    <row r="1139" ht="14.25" customHeight="1">
      <c r="A1139" s="10" t="str">
        <f>IFERROR(__xludf.DUMMYFUNCTION("""COMPUTED_VALUE"""),"060924FM02")</f>
        <v>060924FM02</v>
      </c>
      <c r="B1139" s="12" t="str">
        <f>IFERROR(__xludf.DUMMYFUNCTION("""COMPUTED_VALUE"""),"COR-Prado Veraniego")</f>
        <v>COR-Prado Veraniego</v>
      </c>
      <c r="C1139" s="12"/>
      <c r="D1139" s="12"/>
      <c r="E1139" s="44">
        <f>IFERROR(__xludf.DUMMYFUNCTION("""COMPUTED_VALUE"""),45541.0)</f>
        <v>45541</v>
      </c>
      <c r="F1139" s="12" t="str">
        <f>IFERROR(__xludf.DUMMYFUNCTION("""COMPUTED_VALUE"""),"TIPO I")</f>
        <v>TIPO I</v>
      </c>
      <c r="G1139" s="12" t="str">
        <f>IFERROR(__xludf.DUMMYFUNCTION("""COMPUTED_VALUE"""),"Durante el desarrollo del monitoreo se percibe olor y se observa color. A partir del segundo aforo se observa disminución del ancho del cauce y caudal del mismo. ")</f>
        <v>Durante el desarrollo del monitoreo se percibe olor y se observa color. A partir del segundo aforo se observa disminución del ancho del cauce y caudal del mismo. </v>
      </c>
      <c r="H1139" s="45">
        <f>IFERROR(__xludf.DUMMYFUNCTION("""COMPUTED_VALUE"""),0.4583333333321207)</f>
        <v>0.4583333333</v>
      </c>
      <c r="I1139" s="45">
        <f>IFERROR(__xludf.DUMMYFUNCTION("""COMPUTED_VALUE"""),0.5416666666678793)</f>
        <v>0.5416666667</v>
      </c>
      <c r="J1139" s="12">
        <f>IFERROR(__xludf.DUMMYFUNCTION("""COMPUTED_VALUE"""),4.5)</f>
        <v>4.5</v>
      </c>
      <c r="K1139" s="12">
        <f>IFERROR(__xludf.DUMMYFUNCTION("""COMPUTED_VALUE"""),0.14)</f>
        <v>0.14</v>
      </c>
      <c r="L1139" s="14">
        <f>IFERROR(__xludf.DUMMYFUNCTION("""COMPUTED_VALUE"""),135.154)</f>
        <v>135.154</v>
      </c>
      <c r="M1139" s="14">
        <f>IFERROR(__xludf.DUMMYFUNCTION("""COMPUTED_VALUE"""),88.473)</f>
        <v>88.473</v>
      </c>
      <c r="N1139" s="14">
        <f>IFERROR(__xludf.DUMMYFUNCTION("""COMPUTED_VALUE"""),63.3)</f>
        <v>63.3</v>
      </c>
      <c r="O1139" s="14">
        <f>IFERROR(__xludf.DUMMYFUNCTION("""COMPUTED_VALUE"""),63.723)</f>
        <v>63.723</v>
      </c>
      <c r="P1139" s="14">
        <f>IFERROR(__xludf.DUMMYFUNCTION("""COMPUTED_VALUE"""),62.609)</f>
        <v>62.609</v>
      </c>
      <c r="Q1139" s="14">
        <f>IFERROR(__xludf.DUMMYFUNCTION("""COMPUTED_VALUE"""),82.652)</f>
        <v>82.652</v>
      </c>
      <c r="R1139" s="48">
        <f>IFERROR(__xludf.DUMMYFUNCTION("""COMPUTED_VALUE"""),7.67)</f>
        <v>7.67</v>
      </c>
      <c r="S1139" s="48">
        <f>IFERROR(__xludf.DUMMYFUNCTION("""COMPUTED_VALUE"""),7.98)</f>
        <v>7.98</v>
      </c>
      <c r="T1139" s="48">
        <f>IFERROR(__xludf.DUMMYFUNCTION("""COMPUTED_VALUE"""),8.15)</f>
        <v>8.15</v>
      </c>
      <c r="U1139" s="48">
        <f>IFERROR(__xludf.DUMMYFUNCTION("""COMPUTED_VALUE"""),8.01)</f>
        <v>8.01</v>
      </c>
      <c r="V1139" s="48">
        <f>IFERROR(__xludf.DUMMYFUNCTION("""COMPUTED_VALUE"""),8.25)</f>
        <v>8.25</v>
      </c>
      <c r="W1139" s="14">
        <f>IFERROR(__xludf.DUMMYFUNCTION("""COMPUTED_VALUE"""),8.012)</f>
        <v>8.012</v>
      </c>
      <c r="X1139" s="14">
        <f>IFERROR(__xludf.DUMMYFUNCTION("""COMPUTED_VALUE"""),23.5)</f>
        <v>23.5</v>
      </c>
      <c r="Y1139" s="14">
        <f>IFERROR(__xludf.DUMMYFUNCTION("""COMPUTED_VALUE"""),22.8)</f>
        <v>22.8</v>
      </c>
      <c r="Z1139" s="14">
        <f>IFERROR(__xludf.DUMMYFUNCTION("""COMPUTED_VALUE"""),22.4)</f>
        <v>22.4</v>
      </c>
      <c r="AA1139" s="14">
        <f>IFERROR(__xludf.DUMMYFUNCTION("""COMPUTED_VALUE"""),22.6)</f>
        <v>22.6</v>
      </c>
      <c r="AB1139" s="14">
        <f>IFERROR(__xludf.DUMMYFUNCTION("""COMPUTED_VALUE"""),22.4)</f>
        <v>22.4</v>
      </c>
      <c r="AC1139" s="14">
        <f>IFERROR(__xludf.DUMMYFUNCTION("""COMPUTED_VALUE"""),22.74)</f>
        <v>22.74</v>
      </c>
      <c r="AD1139" s="48">
        <f>IFERROR(__xludf.DUMMYFUNCTION("""COMPUTED_VALUE"""),284.0)</f>
        <v>284</v>
      </c>
      <c r="AE1139" s="48">
        <f>IFERROR(__xludf.DUMMYFUNCTION("""COMPUTED_VALUE"""),299.0)</f>
        <v>299</v>
      </c>
      <c r="AF1139" s="48">
        <f>IFERROR(__xludf.DUMMYFUNCTION("""COMPUTED_VALUE"""),314.0)</f>
        <v>314</v>
      </c>
      <c r="AG1139" s="48">
        <f>IFERROR(__xludf.DUMMYFUNCTION("""COMPUTED_VALUE"""),347.0)</f>
        <v>347</v>
      </c>
      <c r="AH1139" s="48">
        <f>IFERROR(__xludf.DUMMYFUNCTION("""COMPUTED_VALUE"""),406.0)</f>
        <v>406</v>
      </c>
      <c r="AI1139" s="14">
        <f>IFERROR(__xludf.DUMMYFUNCTION("""COMPUTED_VALUE"""),330.0)</f>
        <v>330</v>
      </c>
      <c r="AJ1139" s="14">
        <f>IFERROR(__xludf.DUMMYFUNCTION("""COMPUTED_VALUE"""),4.09)</f>
        <v>4.09</v>
      </c>
      <c r="AK1139" s="14">
        <f>IFERROR(__xludf.DUMMYFUNCTION("""COMPUTED_VALUE"""),4.28)</f>
        <v>4.28</v>
      </c>
      <c r="AL1139" s="14">
        <f>IFERROR(__xludf.DUMMYFUNCTION("""COMPUTED_VALUE"""),3.98)</f>
        <v>3.98</v>
      </c>
      <c r="AM1139" s="14">
        <f>IFERROR(__xludf.DUMMYFUNCTION("""COMPUTED_VALUE"""),4.49)</f>
        <v>4.49</v>
      </c>
      <c r="AN1139" s="14">
        <f>IFERROR(__xludf.DUMMYFUNCTION("""COMPUTED_VALUE"""),4.56)</f>
        <v>4.56</v>
      </c>
      <c r="AO1139" s="14">
        <f>IFERROR(__xludf.DUMMYFUNCTION("""COMPUTED_VALUE"""),4.28)</f>
        <v>4.28</v>
      </c>
      <c r="AP1139" s="14">
        <f>IFERROR(__xludf.DUMMYFUNCTION("""COMPUTED_VALUE"""),12.0)</f>
        <v>12</v>
      </c>
      <c r="AQ1139" s="14">
        <f>IFERROR(__xludf.DUMMYFUNCTION("""COMPUTED_VALUE"""),20.0)</f>
        <v>20</v>
      </c>
      <c r="AR1139" s="14">
        <f>IFERROR(__xludf.DUMMYFUNCTION("""COMPUTED_VALUE"""),24.0)</f>
        <v>24</v>
      </c>
      <c r="AS1139" s="14">
        <f>IFERROR(__xludf.DUMMYFUNCTION("""COMPUTED_VALUE"""),7.3)</f>
        <v>7.3</v>
      </c>
      <c r="AT1139" s="14">
        <f>IFERROR(__xludf.DUMMYFUNCTION("""COMPUTED_VALUE"""),0.07)</f>
        <v>0.07</v>
      </c>
      <c r="AU1139" s="14">
        <f>IFERROR(__xludf.DUMMYFUNCTION("""COMPUTED_VALUE"""),1.421E8)</f>
        <v>142100000</v>
      </c>
      <c r="AV1139" s="14">
        <f>IFERROR(__xludf.DUMMYFUNCTION("""COMPUTED_VALUE"""),0.8)</f>
        <v>0.8</v>
      </c>
      <c r="AW1139" s="14">
        <f>IFERROR(__xludf.DUMMYFUNCTION("""COMPUTED_VALUE"""),1.1)</f>
        <v>1.1</v>
      </c>
      <c r="AX1139" s="14">
        <f>IFERROR(__xludf.DUMMYFUNCTION("""COMPUTED_VALUE"""),1.153E8)</f>
        <v>115300000</v>
      </c>
      <c r="AY1139" s="14">
        <f>IFERROR(__xludf.DUMMYFUNCTION("""COMPUTED_VALUE"""),0.5)</f>
        <v>0.5</v>
      </c>
      <c r="AZ1139" s="14">
        <f>IFERROR(__xludf.DUMMYFUNCTION("""COMPUTED_VALUE"""),0.125)</f>
        <v>0.125</v>
      </c>
      <c r="BA1139" s="14">
        <f t="shared" si="1"/>
        <v>1.725</v>
      </c>
    </row>
    <row r="1140" ht="14.25" customHeight="1">
      <c r="A1140" s="10" t="str">
        <f>IFERROR(__xludf.DUMMYFUNCTION("""COMPUTED_VALUE"""),"060924FE03")</f>
        <v>060924FE03</v>
      </c>
      <c r="B1140" s="12" t="str">
        <f>IFERROR(__xludf.DUMMYFUNCTION("""COMPUTED_VALUE"""),"COR-Humedal Córdoba")</f>
        <v>COR-Humedal Córdoba</v>
      </c>
      <c r="C1140" s="12"/>
      <c r="D1140" s="12"/>
      <c r="E1140" s="44">
        <f>IFERROR(__xludf.DUMMYFUNCTION("""COMPUTED_VALUE"""),45541.0)</f>
        <v>45541</v>
      </c>
      <c r="F1140" s="12" t="str">
        <f>IFERROR(__xludf.DUMMYFUNCTION("""COMPUTED_VALUE"""),"TIPO I")</f>
        <v>TIPO I</v>
      </c>
      <c r="G1140" s="12" t="str">
        <f>IFERROR(__xludf.DUMMYFUNCTION("""COMPUTED_VALUE"""),"Monitoreo realizado en canal natural con lecho rocos arenoso, durante la toma de muestra se observa color y se percibe olor. 
Altitud: 2554 msnm")</f>
        <v>Monitoreo realizado en canal natural con lecho rocos arenoso, durante la toma de muestra se observa color y se percibe olor. 
Altitud: 2554 msnm</v>
      </c>
      <c r="H1140" s="45">
        <f>IFERROR(__xludf.DUMMYFUNCTION("""COMPUTED_VALUE"""),0.5833333333321207)</f>
        <v>0.5833333333</v>
      </c>
      <c r="I1140" s="45">
        <f>IFERROR(__xludf.DUMMYFUNCTION("""COMPUTED_VALUE"""),0.6666666666678793)</f>
        <v>0.6666666667</v>
      </c>
      <c r="J1140" s="12">
        <f>IFERROR(__xludf.DUMMYFUNCTION("""COMPUTED_VALUE"""),7.7)</f>
        <v>7.7</v>
      </c>
      <c r="K1140" s="12">
        <f>IFERROR(__xludf.DUMMYFUNCTION("""COMPUTED_VALUE"""),0.68)</f>
        <v>0.68</v>
      </c>
      <c r="L1140" s="14">
        <f>IFERROR(__xludf.DUMMYFUNCTION("""COMPUTED_VALUE"""),331.049)</f>
        <v>331.049</v>
      </c>
      <c r="M1140" s="14">
        <f>IFERROR(__xludf.DUMMYFUNCTION("""COMPUTED_VALUE"""),347.222)</f>
        <v>347.222</v>
      </c>
      <c r="N1140" s="14">
        <f>IFERROR(__xludf.DUMMYFUNCTION("""COMPUTED_VALUE"""),357.715)</f>
        <v>357.715</v>
      </c>
      <c r="O1140" s="14">
        <f>IFERROR(__xludf.DUMMYFUNCTION("""COMPUTED_VALUE"""),363.068)</f>
        <v>363.068</v>
      </c>
      <c r="P1140" s="14">
        <f>IFERROR(__xludf.DUMMYFUNCTION("""COMPUTED_VALUE"""),375.408)</f>
        <v>375.408</v>
      </c>
      <c r="Q1140" s="14">
        <f>IFERROR(__xludf.DUMMYFUNCTION("""COMPUTED_VALUE"""),354.892)</f>
        <v>354.892</v>
      </c>
      <c r="R1140" s="48">
        <f>IFERROR(__xludf.DUMMYFUNCTION("""COMPUTED_VALUE"""),7.7)</f>
        <v>7.7</v>
      </c>
      <c r="S1140" s="48">
        <f>IFERROR(__xludf.DUMMYFUNCTION("""COMPUTED_VALUE"""),7.54)</f>
        <v>7.54</v>
      </c>
      <c r="T1140" s="48">
        <f>IFERROR(__xludf.DUMMYFUNCTION("""COMPUTED_VALUE"""),7.44)</f>
        <v>7.44</v>
      </c>
      <c r="U1140" s="48">
        <f>IFERROR(__xludf.DUMMYFUNCTION("""COMPUTED_VALUE"""),7.77)</f>
        <v>7.77</v>
      </c>
      <c r="V1140" s="48">
        <f>IFERROR(__xludf.DUMMYFUNCTION("""COMPUTED_VALUE"""),7.58)</f>
        <v>7.58</v>
      </c>
      <c r="W1140" s="14">
        <f>IFERROR(__xludf.DUMMYFUNCTION("""COMPUTED_VALUE"""),7.606)</f>
        <v>7.606</v>
      </c>
      <c r="X1140" s="14">
        <f>IFERROR(__xludf.DUMMYFUNCTION("""COMPUTED_VALUE"""),17.8)</f>
        <v>17.8</v>
      </c>
      <c r="Y1140" s="14">
        <f>IFERROR(__xludf.DUMMYFUNCTION("""COMPUTED_VALUE"""),17.7)</f>
        <v>17.7</v>
      </c>
      <c r="Z1140" s="14">
        <f>IFERROR(__xludf.DUMMYFUNCTION("""COMPUTED_VALUE"""),17.0)</f>
        <v>17</v>
      </c>
      <c r="AA1140" s="14">
        <f>IFERROR(__xludf.DUMMYFUNCTION("""COMPUTED_VALUE"""),17.2)</f>
        <v>17.2</v>
      </c>
      <c r="AB1140" s="14">
        <f>IFERROR(__xludf.DUMMYFUNCTION("""COMPUTED_VALUE"""),17.4)</f>
        <v>17.4</v>
      </c>
      <c r="AC1140" s="14">
        <f>IFERROR(__xludf.DUMMYFUNCTION("""COMPUTED_VALUE"""),17.419999999999998)</f>
        <v>17.42</v>
      </c>
      <c r="AD1140" s="48">
        <f>IFERROR(__xludf.DUMMYFUNCTION("""COMPUTED_VALUE"""),510.0)</f>
        <v>510</v>
      </c>
      <c r="AE1140" s="48">
        <f>IFERROR(__xludf.DUMMYFUNCTION("""COMPUTED_VALUE"""),525.0)</f>
        <v>525</v>
      </c>
      <c r="AF1140" s="48">
        <f>IFERROR(__xludf.DUMMYFUNCTION("""COMPUTED_VALUE"""),515.0)</f>
        <v>515</v>
      </c>
      <c r="AG1140" s="48">
        <f>IFERROR(__xludf.DUMMYFUNCTION("""COMPUTED_VALUE"""),469.0)</f>
        <v>469</v>
      </c>
      <c r="AH1140" s="48">
        <f>IFERROR(__xludf.DUMMYFUNCTION("""COMPUTED_VALUE"""),478.0)</f>
        <v>478</v>
      </c>
      <c r="AI1140" s="14">
        <f>IFERROR(__xludf.DUMMYFUNCTION("""COMPUTED_VALUE"""),499.4)</f>
        <v>499.4</v>
      </c>
      <c r="AJ1140" s="14">
        <f>IFERROR(__xludf.DUMMYFUNCTION("""COMPUTED_VALUE"""),0.36)</f>
        <v>0.36</v>
      </c>
      <c r="AK1140" s="14">
        <f>IFERROR(__xludf.DUMMYFUNCTION("""COMPUTED_VALUE"""),1.01)</f>
        <v>1.01</v>
      </c>
      <c r="AL1140" s="14">
        <f>IFERROR(__xludf.DUMMYFUNCTION("""COMPUTED_VALUE"""),0.32)</f>
        <v>0.32</v>
      </c>
      <c r="AM1140" s="14">
        <f>IFERROR(__xludf.DUMMYFUNCTION("""COMPUTED_VALUE"""),0.55)</f>
        <v>0.55</v>
      </c>
      <c r="AN1140" s="14">
        <f>IFERROR(__xludf.DUMMYFUNCTION("""COMPUTED_VALUE"""),0.43)</f>
        <v>0.43</v>
      </c>
      <c r="AO1140" s="14">
        <f>IFERROR(__xludf.DUMMYFUNCTION("""COMPUTED_VALUE"""),0.534)</f>
        <v>0.534</v>
      </c>
      <c r="AP1140" s="14">
        <f>IFERROR(__xludf.DUMMYFUNCTION("""COMPUTED_VALUE"""),45.0)</f>
        <v>45</v>
      </c>
      <c r="AQ1140" s="14">
        <f>IFERROR(__xludf.DUMMYFUNCTION("""COMPUTED_VALUE"""),66.0)</f>
        <v>66</v>
      </c>
      <c r="AR1140" s="14">
        <f>IFERROR(__xludf.DUMMYFUNCTION("""COMPUTED_VALUE"""),22.0)</f>
        <v>22</v>
      </c>
      <c r="AS1140" s="14">
        <f>IFERROR(__xludf.DUMMYFUNCTION("""COMPUTED_VALUE"""),27.0)</f>
        <v>27</v>
      </c>
      <c r="AT1140" s="14">
        <f>IFERROR(__xludf.DUMMYFUNCTION("""COMPUTED_VALUE"""),2.21)</f>
        <v>2.21</v>
      </c>
      <c r="AU1140" s="14">
        <f>IFERROR(__xludf.DUMMYFUNCTION("""COMPUTED_VALUE"""),1.043E7)</f>
        <v>10430000</v>
      </c>
      <c r="AV1140" s="14">
        <f>IFERROR(__xludf.DUMMYFUNCTION("""COMPUTED_VALUE"""),2.65)</f>
        <v>2.65</v>
      </c>
      <c r="AW1140" s="14">
        <f>IFERROR(__xludf.DUMMYFUNCTION("""COMPUTED_VALUE"""),18.5)</f>
        <v>18.5</v>
      </c>
      <c r="AX1140" s="14">
        <f>IFERROR(__xludf.DUMMYFUNCTION("""COMPUTED_VALUE"""),7800000.0)</f>
        <v>7800000</v>
      </c>
      <c r="AY1140" s="14">
        <f>IFERROR(__xludf.DUMMYFUNCTION("""COMPUTED_VALUE"""),0.6)</f>
        <v>0.6</v>
      </c>
      <c r="AZ1140" s="14">
        <f>IFERROR(__xludf.DUMMYFUNCTION("""COMPUTED_VALUE"""),0.007)</f>
        <v>0.007</v>
      </c>
      <c r="BA1140" s="14">
        <f t="shared" si="1"/>
        <v>19.107</v>
      </c>
    </row>
    <row r="1141" ht="14.25" customHeight="1">
      <c r="A1141" s="10" t="str">
        <f>IFERROR(__xludf.DUMMYFUNCTION("""COMPUTED_VALUE"""),"100924FM01")</f>
        <v>100924FM01</v>
      </c>
      <c r="B1141" s="12" t="str">
        <f>IFERROR(__xludf.DUMMYFUNCTION("""COMPUTED_VALUE"""),"QSL-Portal Usme")</f>
        <v>QSL-Portal Usme</v>
      </c>
      <c r="C1141" s="12"/>
      <c r="D1141" s="12"/>
      <c r="E1141" s="44">
        <f>IFERROR(__xludf.DUMMYFUNCTION("""COMPUTED_VALUE"""),45545.0)</f>
        <v>45545</v>
      </c>
      <c r="F1141" s="12" t="str">
        <f>IFERROR(__xludf.DUMMYFUNCTION("""COMPUTED_VALUE"""),"TIPO I")</f>
        <v>TIPO I</v>
      </c>
      <c r="G1141" s="12" t="str">
        <f>IFERROR(__xludf.DUMMYFUNCTION("""COMPUTED_VALUE"""),"Toma de muestra en canal en concreto, durante el monitoreo se percibe olor, se observa color, cambio de coloración y aumento del caudal.Estructura tipo canal en concreto, Durante el desarrollo del monitoreo se observa color y se persibe olor, durante la t"&amp;"oma de la última alícuota se observó cambio de coloración y aumento del caudal. ")</f>
        <v>Toma de muestra en canal en concreto, durante el monitoreo se percibe olor, se observa color, cambio de coloración y aumento del caudal.Estructura tipo canal en concreto, Durante el desarrollo del monitoreo se observa color y se persibe olor, durante la toma de la última alícuota se observó cambio de coloración y aumento del caudal. </v>
      </c>
      <c r="H1141" s="45">
        <f>IFERROR(__xludf.DUMMYFUNCTION("""COMPUTED_VALUE"""),0.3333333333321207)</f>
        <v>0.3333333333</v>
      </c>
      <c r="I1141" s="45">
        <f>IFERROR(__xludf.DUMMYFUNCTION("""COMPUTED_VALUE"""),0.4166666666678793)</f>
        <v>0.4166666667</v>
      </c>
      <c r="J1141" s="12">
        <f>IFERROR(__xludf.DUMMYFUNCTION("""COMPUTED_VALUE"""),3.0)</f>
        <v>3</v>
      </c>
      <c r="K1141" s="12">
        <f>IFERROR(__xludf.DUMMYFUNCTION("""COMPUTED_VALUE"""),0.13)</f>
        <v>0.13</v>
      </c>
      <c r="L1141" s="14">
        <f>IFERROR(__xludf.DUMMYFUNCTION("""COMPUTED_VALUE"""),36.556)</f>
        <v>36.556</v>
      </c>
      <c r="M1141" s="14">
        <f>IFERROR(__xludf.DUMMYFUNCTION("""COMPUTED_VALUE"""),35.576)</f>
        <v>35.576</v>
      </c>
      <c r="N1141" s="14">
        <f>IFERROR(__xludf.DUMMYFUNCTION("""COMPUTED_VALUE"""),36.501)</f>
        <v>36.501</v>
      </c>
      <c r="O1141" s="14">
        <f>IFERROR(__xludf.DUMMYFUNCTION("""COMPUTED_VALUE"""),37.164)</f>
        <v>37.164</v>
      </c>
      <c r="P1141" s="14">
        <f>IFERROR(__xludf.DUMMYFUNCTION("""COMPUTED_VALUE"""),43.077)</f>
        <v>43.077</v>
      </c>
      <c r="Q1141" s="14">
        <f>IFERROR(__xludf.DUMMYFUNCTION("""COMPUTED_VALUE"""),37.775)</f>
        <v>37.775</v>
      </c>
      <c r="R1141" s="48">
        <f>IFERROR(__xludf.DUMMYFUNCTION("""COMPUTED_VALUE"""),8.14)</f>
        <v>8.14</v>
      </c>
      <c r="S1141" s="48">
        <f>IFERROR(__xludf.DUMMYFUNCTION("""COMPUTED_VALUE"""),8.16)</f>
        <v>8.16</v>
      </c>
      <c r="T1141" s="48">
        <f>IFERROR(__xludf.DUMMYFUNCTION("""COMPUTED_VALUE"""),8.07)</f>
        <v>8.07</v>
      </c>
      <c r="U1141" s="48">
        <f>IFERROR(__xludf.DUMMYFUNCTION("""COMPUTED_VALUE"""),7.98)</f>
        <v>7.98</v>
      </c>
      <c r="V1141" s="48">
        <f>IFERROR(__xludf.DUMMYFUNCTION("""COMPUTED_VALUE"""),7.89)</f>
        <v>7.89</v>
      </c>
      <c r="W1141" s="14">
        <f>IFERROR(__xludf.DUMMYFUNCTION("""COMPUTED_VALUE"""),8.048)</f>
        <v>8.048</v>
      </c>
      <c r="X1141" s="14">
        <f>IFERROR(__xludf.DUMMYFUNCTION("""COMPUTED_VALUE"""),15.1)</f>
        <v>15.1</v>
      </c>
      <c r="Y1141" s="14">
        <f>IFERROR(__xludf.DUMMYFUNCTION("""COMPUTED_VALUE"""),15.2)</f>
        <v>15.2</v>
      </c>
      <c r="Z1141" s="14">
        <f>IFERROR(__xludf.DUMMYFUNCTION("""COMPUTED_VALUE"""),15.4)</f>
        <v>15.4</v>
      </c>
      <c r="AA1141" s="14">
        <f>IFERROR(__xludf.DUMMYFUNCTION("""COMPUTED_VALUE"""),15.6)</f>
        <v>15.6</v>
      </c>
      <c r="AB1141" s="14">
        <f>IFERROR(__xludf.DUMMYFUNCTION("""COMPUTED_VALUE"""),15.8)</f>
        <v>15.8</v>
      </c>
      <c r="AC1141" s="14">
        <f>IFERROR(__xludf.DUMMYFUNCTION("""COMPUTED_VALUE"""),15.419999999999998)</f>
        <v>15.42</v>
      </c>
      <c r="AD1141" s="48">
        <f>IFERROR(__xludf.DUMMYFUNCTION("""COMPUTED_VALUE"""),427.0)</f>
        <v>427</v>
      </c>
      <c r="AE1141" s="48">
        <f>IFERROR(__xludf.DUMMYFUNCTION("""COMPUTED_VALUE"""),411.0)</f>
        <v>411</v>
      </c>
      <c r="AF1141" s="48">
        <f>IFERROR(__xludf.DUMMYFUNCTION("""COMPUTED_VALUE"""),398.0)</f>
        <v>398</v>
      </c>
      <c r="AG1141" s="48">
        <f>IFERROR(__xludf.DUMMYFUNCTION("""COMPUTED_VALUE"""),390.0)</f>
        <v>390</v>
      </c>
      <c r="AH1141" s="48">
        <f>IFERROR(__xludf.DUMMYFUNCTION("""COMPUTED_VALUE"""),391.0)</f>
        <v>391</v>
      </c>
      <c r="AI1141" s="14">
        <f>IFERROR(__xludf.DUMMYFUNCTION("""COMPUTED_VALUE"""),403.4)</f>
        <v>403.4</v>
      </c>
      <c r="AJ1141" s="14">
        <f>IFERROR(__xludf.DUMMYFUNCTION("""COMPUTED_VALUE"""),1.47)</f>
        <v>1.47</v>
      </c>
      <c r="AK1141" s="14">
        <f>IFERROR(__xludf.DUMMYFUNCTION("""COMPUTED_VALUE"""),1.76)</f>
        <v>1.76</v>
      </c>
      <c r="AL1141" s="14">
        <f>IFERROR(__xludf.DUMMYFUNCTION("""COMPUTED_VALUE"""),1.64)</f>
        <v>1.64</v>
      </c>
      <c r="AM1141" s="14">
        <f>IFERROR(__xludf.DUMMYFUNCTION("""COMPUTED_VALUE"""),1.54)</f>
        <v>1.54</v>
      </c>
      <c r="AN1141" s="14">
        <f>IFERROR(__xludf.DUMMYFUNCTION("""COMPUTED_VALUE"""),1.7)</f>
        <v>1.7</v>
      </c>
      <c r="AO1141" s="14">
        <f>IFERROR(__xludf.DUMMYFUNCTION("""COMPUTED_VALUE"""),1.6219999999999999)</f>
        <v>1.622</v>
      </c>
      <c r="AP1141" s="14">
        <f>IFERROR(__xludf.DUMMYFUNCTION("""COMPUTED_VALUE"""),57.0)</f>
        <v>57</v>
      </c>
      <c r="AQ1141" s="14">
        <f>IFERROR(__xludf.DUMMYFUNCTION("""COMPUTED_VALUE"""),121.0)</f>
        <v>121</v>
      </c>
      <c r="AR1141" s="14">
        <f>IFERROR(__xludf.DUMMYFUNCTION("""COMPUTED_VALUE"""),97.0)</f>
        <v>97</v>
      </c>
      <c r="AS1141" s="14">
        <f>IFERROR(__xludf.DUMMYFUNCTION("""COMPUTED_VALUE"""),26.0)</f>
        <v>26</v>
      </c>
      <c r="AT1141" s="14">
        <f>IFERROR(__xludf.DUMMYFUNCTION("""COMPUTED_VALUE"""),0.83)</f>
        <v>0.83</v>
      </c>
      <c r="AU1141" s="14">
        <f>IFERROR(__xludf.DUMMYFUNCTION("""COMPUTED_VALUE"""),617000.0)</f>
        <v>617000</v>
      </c>
      <c r="AV1141" s="14">
        <f>IFERROR(__xludf.DUMMYFUNCTION("""COMPUTED_VALUE"""),1.9)</f>
        <v>1.9</v>
      </c>
      <c r="AW1141" s="14">
        <f>IFERROR(__xludf.DUMMYFUNCTION("""COMPUTED_VALUE"""),21.3)</f>
        <v>21.3</v>
      </c>
      <c r="AX1141" s="14">
        <f>IFERROR(__xludf.DUMMYFUNCTION("""COMPUTED_VALUE"""),16.0)</f>
        <v>16</v>
      </c>
      <c r="AY1141" s="14">
        <f>IFERROR(__xludf.DUMMYFUNCTION("""COMPUTED_VALUE"""),0.2)</f>
        <v>0.2</v>
      </c>
      <c r="AZ1141" s="14">
        <f>IFERROR(__xludf.DUMMYFUNCTION("""COMPUTED_VALUE"""),0.007)</f>
        <v>0.007</v>
      </c>
      <c r="BA1141" s="14">
        <f t="shared" si="1"/>
        <v>21.507</v>
      </c>
    </row>
    <row r="1142" ht="14.25" customHeight="1">
      <c r="A1142" s="10" t="str">
        <f>IFERROR(__xludf.DUMMYFUNCTION("""COMPUTED_VALUE"""),"100924FM02")</f>
        <v>100924FM02</v>
      </c>
      <c r="B1142" s="12" t="str">
        <f>IFERROR(__xludf.DUMMYFUNCTION("""COMPUTED_VALUE"""),"QSL-Alfonso López")</f>
        <v>QSL-Alfonso López</v>
      </c>
      <c r="C1142" s="12"/>
      <c r="D1142" s="12"/>
      <c r="E1142" s="44">
        <f>IFERROR(__xludf.DUMMYFUNCTION("""COMPUTED_VALUE"""),45545.0)</f>
        <v>45545</v>
      </c>
      <c r="F1142" s="12" t="str">
        <f>IFERROR(__xludf.DUMMYFUNCTION("""COMPUTED_VALUE"""),"TIPO I")</f>
        <v>TIPO I</v>
      </c>
      <c r="G1142" s="12" t="str">
        <f>IFERROR(__xludf.DUMMYFUNCTION("""COMPUTED_VALUE"""),"Toma de muestra en canal natural, durante el monitoreo se percibe olor, se observa color, residuos sólidos y roedores en los extremos del canal.")</f>
        <v>Toma de muestra en canal natural, durante el monitoreo se percibe olor, se observa color, residuos sólidos y roedores en los extremos del canal.</v>
      </c>
      <c r="H1142" s="45">
        <f>IFERROR(__xludf.DUMMYFUNCTION("""COMPUTED_VALUE"""),0.5)</f>
        <v>0.5</v>
      </c>
      <c r="I1142" s="45">
        <f>IFERROR(__xludf.DUMMYFUNCTION("""COMPUTED_VALUE"""),0.5833333333321207)</f>
        <v>0.5833333333</v>
      </c>
      <c r="J1142" s="12">
        <f>IFERROR(__xludf.DUMMYFUNCTION("""COMPUTED_VALUE"""),1.0)</f>
        <v>1</v>
      </c>
      <c r="K1142" s="12">
        <f>IFERROR(__xludf.DUMMYFUNCTION("""COMPUTED_VALUE"""),0.17)</f>
        <v>0.17</v>
      </c>
      <c r="L1142" s="14">
        <f>IFERROR(__xludf.DUMMYFUNCTION("""COMPUTED_VALUE"""),12.006)</f>
        <v>12.006</v>
      </c>
      <c r="M1142" s="14">
        <f>IFERROR(__xludf.DUMMYFUNCTION("""COMPUTED_VALUE"""),12.904)</f>
        <v>12.904</v>
      </c>
      <c r="N1142" s="14">
        <f>IFERROR(__xludf.DUMMYFUNCTION("""COMPUTED_VALUE"""),13.216)</f>
        <v>13.216</v>
      </c>
      <c r="O1142" s="14">
        <f>IFERROR(__xludf.DUMMYFUNCTION("""COMPUTED_VALUE"""),14.016)</f>
        <v>14.016</v>
      </c>
      <c r="P1142" s="14">
        <f>IFERROR(__xludf.DUMMYFUNCTION("""COMPUTED_VALUE"""),13.728)</f>
        <v>13.728</v>
      </c>
      <c r="Q1142" s="14">
        <f>IFERROR(__xludf.DUMMYFUNCTION("""COMPUTED_VALUE"""),13.174)</f>
        <v>13.174</v>
      </c>
      <c r="R1142" s="48">
        <f>IFERROR(__xludf.DUMMYFUNCTION("""COMPUTED_VALUE"""),7.89)</f>
        <v>7.89</v>
      </c>
      <c r="S1142" s="48">
        <f>IFERROR(__xludf.DUMMYFUNCTION("""COMPUTED_VALUE"""),8.15)</f>
        <v>8.15</v>
      </c>
      <c r="T1142" s="48">
        <f>IFERROR(__xludf.DUMMYFUNCTION("""COMPUTED_VALUE"""),8.12)</f>
        <v>8.12</v>
      </c>
      <c r="U1142" s="48">
        <f>IFERROR(__xludf.DUMMYFUNCTION("""COMPUTED_VALUE"""),8.25)</f>
        <v>8.25</v>
      </c>
      <c r="V1142" s="48">
        <f>IFERROR(__xludf.DUMMYFUNCTION("""COMPUTED_VALUE"""),8.17)</f>
        <v>8.17</v>
      </c>
      <c r="W1142" s="14">
        <f>IFERROR(__xludf.DUMMYFUNCTION("""COMPUTED_VALUE"""),8.116)</f>
        <v>8.116</v>
      </c>
      <c r="X1142" s="14">
        <f>IFERROR(__xludf.DUMMYFUNCTION("""COMPUTED_VALUE"""),14.0)</f>
        <v>14</v>
      </c>
      <c r="Y1142" s="14">
        <f>IFERROR(__xludf.DUMMYFUNCTION("""COMPUTED_VALUE"""),13.8)</f>
        <v>13.8</v>
      </c>
      <c r="Z1142" s="14">
        <f>IFERROR(__xludf.DUMMYFUNCTION("""COMPUTED_VALUE"""),14.3)</f>
        <v>14.3</v>
      </c>
      <c r="AA1142" s="14">
        <f>IFERROR(__xludf.DUMMYFUNCTION("""COMPUTED_VALUE"""),14.5)</f>
        <v>14.5</v>
      </c>
      <c r="AB1142" s="14">
        <f>IFERROR(__xludf.DUMMYFUNCTION("""COMPUTED_VALUE"""),14.6)</f>
        <v>14.6</v>
      </c>
      <c r="AC1142" s="14">
        <f>IFERROR(__xludf.DUMMYFUNCTION("""COMPUTED_VALUE"""),14.24)</f>
        <v>14.24</v>
      </c>
      <c r="AD1142" s="48">
        <f>IFERROR(__xludf.DUMMYFUNCTION("""COMPUTED_VALUE"""),258.0)</f>
        <v>258</v>
      </c>
      <c r="AE1142" s="48">
        <f>IFERROR(__xludf.DUMMYFUNCTION("""COMPUTED_VALUE"""),262.0)</f>
        <v>262</v>
      </c>
      <c r="AF1142" s="48">
        <f>IFERROR(__xludf.DUMMYFUNCTION("""COMPUTED_VALUE"""),263.0)</f>
        <v>263</v>
      </c>
      <c r="AG1142" s="48">
        <f>IFERROR(__xludf.DUMMYFUNCTION("""COMPUTED_VALUE"""),264.0)</f>
        <v>264</v>
      </c>
      <c r="AH1142" s="48">
        <f>IFERROR(__xludf.DUMMYFUNCTION("""COMPUTED_VALUE"""),267.0)</f>
        <v>267</v>
      </c>
      <c r="AI1142" s="14">
        <f>IFERROR(__xludf.DUMMYFUNCTION("""COMPUTED_VALUE"""),262.8)</f>
        <v>262.8</v>
      </c>
      <c r="AJ1142" s="14">
        <f>IFERROR(__xludf.DUMMYFUNCTION("""COMPUTED_VALUE"""),3.44)</f>
        <v>3.44</v>
      </c>
      <c r="AK1142" s="14">
        <f>IFERROR(__xludf.DUMMYFUNCTION("""COMPUTED_VALUE"""),3.29)</f>
        <v>3.29</v>
      </c>
      <c r="AL1142" s="14">
        <f>IFERROR(__xludf.DUMMYFUNCTION("""COMPUTED_VALUE"""),3.19)</f>
        <v>3.19</v>
      </c>
      <c r="AM1142" s="14">
        <f>IFERROR(__xludf.DUMMYFUNCTION("""COMPUTED_VALUE"""),3.3)</f>
        <v>3.3</v>
      </c>
      <c r="AN1142" s="14">
        <f>IFERROR(__xludf.DUMMYFUNCTION("""COMPUTED_VALUE"""),3.39)</f>
        <v>3.39</v>
      </c>
      <c r="AO1142" s="14">
        <f>IFERROR(__xludf.DUMMYFUNCTION("""COMPUTED_VALUE"""),3.322)</f>
        <v>3.322</v>
      </c>
      <c r="AP1142" s="14">
        <f>IFERROR(__xludf.DUMMYFUNCTION("""COMPUTED_VALUE"""),14.0)</f>
        <v>14</v>
      </c>
      <c r="AQ1142" s="14">
        <f>IFERROR(__xludf.DUMMYFUNCTION("""COMPUTED_VALUE"""),81.0)</f>
        <v>81</v>
      </c>
      <c r="AR1142" s="14">
        <f>IFERROR(__xludf.DUMMYFUNCTION("""COMPUTED_VALUE"""),121.0)</f>
        <v>121</v>
      </c>
      <c r="AS1142" s="14">
        <f>IFERROR(__xludf.DUMMYFUNCTION("""COMPUTED_VALUE"""),10.3)</f>
        <v>10.3</v>
      </c>
      <c r="AT1142" s="14">
        <f>IFERROR(__xludf.DUMMYFUNCTION("""COMPUTED_VALUE"""),0.07)</f>
        <v>0.07</v>
      </c>
      <c r="AU1142" s="14">
        <f>IFERROR(__xludf.DUMMYFUNCTION("""COMPUTED_VALUE"""),1.081E7)</f>
        <v>10810000</v>
      </c>
      <c r="AV1142" s="14">
        <f>IFERROR(__xludf.DUMMYFUNCTION("""COMPUTED_VALUE"""),0.26)</f>
        <v>0.26</v>
      </c>
      <c r="AW1142" s="14">
        <f>IFERROR(__xludf.DUMMYFUNCTION("""COMPUTED_VALUE"""),2.5)</f>
        <v>2.5</v>
      </c>
      <c r="AX1142" s="14">
        <f>IFERROR(__xludf.DUMMYFUNCTION("""COMPUTED_VALUE"""),789000.0)</f>
        <v>789000</v>
      </c>
      <c r="AY1142" s="14">
        <f>IFERROR(__xludf.DUMMYFUNCTION("""COMPUTED_VALUE"""),4.3)</f>
        <v>4.3</v>
      </c>
      <c r="AZ1142" s="14">
        <f>IFERROR(__xludf.DUMMYFUNCTION("""COMPUTED_VALUE"""),0.093)</f>
        <v>0.093</v>
      </c>
      <c r="BA1142" s="14">
        <f t="shared" si="1"/>
        <v>6.893</v>
      </c>
    </row>
    <row r="1143" ht="14.25" customHeight="1">
      <c r="A1143" s="10" t="str">
        <f>IFERROR(__xludf.DUMMYFUNCTION("""COMPUTED_VALUE"""),"100924FM03")</f>
        <v>100924FM03</v>
      </c>
      <c r="B1143" s="12" t="str">
        <f>IFERROR(__xludf.DUMMYFUNCTION("""COMPUTED_VALUE"""),"QSL-Barranquillita")</f>
        <v>QSL-Barranquillita</v>
      </c>
      <c r="C1143" s="12"/>
      <c r="D1143" s="12"/>
      <c r="E1143" s="44">
        <f>IFERROR(__xludf.DUMMYFUNCTION("""COMPUTED_VALUE"""),45545.0)</f>
        <v>45545</v>
      </c>
      <c r="F1143" s="12" t="str">
        <f>IFERROR(__xludf.DUMMYFUNCTION("""COMPUTED_VALUE"""),"TIPO I")</f>
        <v>TIPO I</v>
      </c>
      <c r="G1143" s="12" t="str">
        <f>IFERROR(__xludf.DUMMYFUNCTION("""COMPUTED_VALUE"""),"Toma de muestra en canal con estructura en concreto, durante el desarrollo del monitoreo se observa color, espuma y se persibe olor, en el cuerpo de agua.
Altitud: 2657 msnm. ")</f>
        <v>Toma de muestra en canal con estructura en concreto, durante el desarrollo del monitoreo se observa color, espuma y se persibe olor, en el cuerpo de agua.
Altitud: 2657 msnm. </v>
      </c>
      <c r="H1143" s="45">
        <f>IFERROR(__xludf.DUMMYFUNCTION("""COMPUTED_VALUE"""),0.6666666666678793)</f>
        <v>0.6666666667</v>
      </c>
      <c r="I1143" s="45">
        <f>IFERROR(__xludf.DUMMYFUNCTION("""COMPUTED_VALUE"""),0.75)</f>
        <v>0.75</v>
      </c>
      <c r="J1143" s="12">
        <f>IFERROR(__xludf.DUMMYFUNCTION("""COMPUTED_VALUE"""),1.4)</f>
        <v>1.4</v>
      </c>
      <c r="K1143" s="12">
        <f>IFERROR(__xludf.DUMMYFUNCTION("""COMPUTED_VALUE"""),0.07)</f>
        <v>0.07</v>
      </c>
      <c r="L1143" s="14">
        <f>IFERROR(__xludf.DUMMYFUNCTION("""COMPUTED_VALUE"""),16.022)</f>
        <v>16.022</v>
      </c>
      <c r="M1143" s="14">
        <f>IFERROR(__xludf.DUMMYFUNCTION("""COMPUTED_VALUE"""),16.936)</f>
        <v>16.936</v>
      </c>
      <c r="N1143" s="14">
        <f>IFERROR(__xludf.DUMMYFUNCTION("""COMPUTED_VALUE"""),17.288)</f>
        <v>17.288</v>
      </c>
      <c r="O1143" s="14">
        <f>IFERROR(__xludf.DUMMYFUNCTION("""COMPUTED_VALUE"""),17.703)</f>
        <v>17.703</v>
      </c>
      <c r="P1143" s="14">
        <f>IFERROR(__xludf.DUMMYFUNCTION("""COMPUTED_VALUE"""),17.933)</f>
        <v>17.933</v>
      </c>
      <c r="Q1143" s="14">
        <f>IFERROR(__xludf.DUMMYFUNCTION("""COMPUTED_VALUE"""),17.176)</f>
        <v>17.176</v>
      </c>
      <c r="R1143" s="48">
        <f>IFERROR(__xludf.DUMMYFUNCTION("""COMPUTED_VALUE"""),8.05)</f>
        <v>8.05</v>
      </c>
      <c r="S1143" s="48">
        <f>IFERROR(__xludf.DUMMYFUNCTION("""COMPUTED_VALUE"""),8.07)</f>
        <v>8.07</v>
      </c>
      <c r="T1143" s="48">
        <f>IFERROR(__xludf.DUMMYFUNCTION("""COMPUTED_VALUE"""),8.05)</f>
        <v>8.05</v>
      </c>
      <c r="U1143" s="48">
        <f>IFERROR(__xludf.DUMMYFUNCTION("""COMPUTED_VALUE"""),8.09)</f>
        <v>8.09</v>
      </c>
      <c r="V1143" s="48">
        <f>IFERROR(__xludf.DUMMYFUNCTION("""COMPUTED_VALUE"""),8.11)</f>
        <v>8.11</v>
      </c>
      <c r="W1143" s="14">
        <f>IFERROR(__xludf.DUMMYFUNCTION("""COMPUTED_VALUE"""),8.074000000000002)</f>
        <v>8.074</v>
      </c>
      <c r="X1143" s="14">
        <f>IFERROR(__xludf.DUMMYFUNCTION("""COMPUTED_VALUE"""),18.8)</f>
        <v>18.8</v>
      </c>
      <c r="Y1143" s="14">
        <f>IFERROR(__xludf.DUMMYFUNCTION("""COMPUTED_VALUE"""),18.6)</f>
        <v>18.6</v>
      </c>
      <c r="Z1143" s="14">
        <f>IFERROR(__xludf.DUMMYFUNCTION("""COMPUTED_VALUE"""),18.2)</f>
        <v>18.2</v>
      </c>
      <c r="AA1143" s="14">
        <f>IFERROR(__xludf.DUMMYFUNCTION("""COMPUTED_VALUE"""),18.0)</f>
        <v>18</v>
      </c>
      <c r="AB1143" s="14">
        <f>IFERROR(__xludf.DUMMYFUNCTION("""COMPUTED_VALUE"""),18.1)</f>
        <v>18.1</v>
      </c>
      <c r="AC1143" s="14">
        <f>IFERROR(__xludf.DUMMYFUNCTION("""COMPUTED_VALUE"""),18.340000000000003)</f>
        <v>18.34</v>
      </c>
      <c r="AD1143" s="48">
        <f>IFERROR(__xludf.DUMMYFUNCTION("""COMPUTED_VALUE"""),376.0)</f>
        <v>376</v>
      </c>
      <c r="AE1143" s="48">
        <f>IFERROR(__xludf.DUMMYFUNCTION("""COMPUTED_VALUE"""),378.0)</f>
        <v>378</v>
      </c>
      <c r="AF1143" s="48">
        <f>IFERROR(__xludf.DUMMYFUNCTION("""COMPUTED_VALUE"""),385.0)</f>
        <v>385</v>
      </c>
      <c r="AG1143" s="48">
        <f>IFERROR(__xludf.DUMMYFUNCTION("""COMPUTED_VALUE"""),384.0)</f>
        <v>384</v>
      </c>
      <c r="AH1143" s="48">
        <f>IFERROR(__xludf.DUMMYFUNCTION("""COMPUTED_VALUE"""),386.0)</f>
        <v>386</v>
      </c>
      <c r="AI1143" s="14">
        <f>IFERROR(__xludf.DUMMYFUNCTION("""COMPUTED_VALUE"""),381.8)</f>
        <v>381.8</v>
      </c>
      <c r="AJ1143" s="14">
        <f>IFERROR(__xludf.DUMMYFUNCTION("""COMPUTED_VALUE"""),3.31)</f>
        <v>3.31</v>
      </c>
      <c r="AK1143" s="14">
        <f>IFERROR(__xludf.DUMMYFUNCTION("""COMPUTED_VALUE"""),3.46)</f>
        <v>3.46</v>
      </c>
      <c r="AL1143" s="14">
        <f>IFERROR(__xludf.DUMMYFUNCTION("""COMPUTED_VALUE"""),3.02)</f>
        <v>3.02</v>
      </c>
      <c r="AM1143" s="14">
        <f>IFERROR(__xludf.DUMMYFUNCTION("""COMPUTED_VALUE"""),2.9)</f>
        <v>2.9</v>
      </c>
      <c r="AN1143" s="14">
        <f>IFERROR(__xludf.DUMMYFUNCTION("""COMPUTED_VALUE"""),2.75)</f>
        <v>2.75</v>
      </c>
      <c r="AO1143" s="14">
        <f>IFERROR(__xludf.DUMMYFUNCTION("""COMPUTED_VALUE"""),3.088)</f>
        <v>3.088</v>
      </c>
      <c r="AP1143" s="14">
        <f>IFERROR(__xludf.DUMMYFUNCTION("""COMPUTED_VALUE"""),52.0)</f>
        <v>52</v>
      </c>
      <c r="AQ1143" s="14">
        <f>IFERROR(__xludf.DUMMYFUNCTION("""COMPUTED_VALUE"""),77.0)</f>
        <v>77</v>
      </c>
      <c r="AR1143" s="14">
        <f>IFERROR(__xludf.DUMMYFUNCTION("""COMPUTED_VALUE"""),39.0)</f>
        <v>39</v>
      </c>
      <c r="AS1143" s="14">
        <f>IFERROR(__xludf.DUMMYFUNCTION("""COMPUTED_VALUE"""),9.6)</f>
        <v>9.6</v>
      </c>
      <c r="AT1143" s="14">
        <f>IFERROR(__xludf.DUMMYFUNCTION("""COMPUTED_VALUE"""),1.36)</f>
        <v>1.36</v>
      </c>
      <c r="AU1143" s="14">
        <f>IFERROR(__xludf.DUMMYFUNCTION("""COMPUTED_VALUE"""),58300.0)</f>
        <v>58300</v>
      </c>
      <c r="AV1143" s="14">
        <f>IFERROR(__xludf.DUMMYFUNCTION("""COMPUTED_VALUE"""),1.27)</f>
        <v>1.27</v>
      </c>
      <c r="AW1143" s="14">
        <f>IFERROR(__xludf.DUMMYFUNCTION("""COMPUTED_VALUE"""),10.6)</f>
        <v>10.6</v>
      </c>
      <c r="AX1143" s="14">
        <f>IFERROR(__xludf.DUMMYFUNCTION("""COMPUTED_VALUE"""),9.7)</f>
        <v>9.7</v>
      </c>
      <c r="AY1143" s="14">
        <f>IFERROR(__xludf.DUMMYFUNCTION("""COMPUTED_VALUE"""),0.4)</f>
        <v>0.4</v>
      </c>
      <c r="AZ1143" s="14">
        <f>IFERROR(__xludf.DUMMYFUNCTION("""COMPUTED_VALUE"""),0.007)</f>
        <v>0.007</v>
      </c>
      <c r="BA1143" s="14">
        <f t="shared" si="1"/>
        <v>11.007</v>
      </c>
    </row>
    <row r="1144" ht="14.25" customHeight="1">
      <c r="A1144" s="10" t="str">
        <f>IFERROR(__xludf.DUMMYFUNCTION("""COMPUTED_VALUE"""),"160924FE01")</f>
        <v>160924FE01</v>
      </c>
      <c r="B1144" s="12" t="str">
        <f>IFERROR(__xludf.DUMMYFUNCTION("""COMPUTED_VALUE"""),"CMO-Santa Ana")</f>
        <v>CMO-Santa Ana</v>
      </c>
      <c r="C1144" s="12"/>
      <c r="D1144" s="12"/>
      <c r="E1144" s="44">
        <f>IFERROR(__xludf.DUMMYFUNCTION("""COMPUTED_VALUE"""),45581.0)</f>
        <v>45581</v>
      </c>
      <c r="F1144" s="12" t="str">
        <f>IFERROR(__xludf.DUMMYFUNCTION("""COMPUTED_VALUE"""),"TIPO I")</f>
        <v>TIPO I</v>
      </c>
      <c r="G1144" s="12" t="str">
        <f>IFERROR(__xludf.DUMMYFUNCTION("""COMPUTED_VALUE"""),"Toma de muestra en canal en concreto, durante el monitoreo se percibe olor, se observa color y lama en el lecho del canal. 
Altitud: 2578msnm. ")</f>
        <v>Toma de muestra en canal en concreto, durante el monitoreo se percibe olor, se observa color y lama en el lecho del canal. 
Altitud: 2578msnm. </v>
      </c>
      <c r="H1144" s="45">
        <f>IFERROR(__xludf.DUMMYFUNCTION("""COMPUTED_VALUE"""),0.3333333333321207)</f>
        <v>0.3333333333</v>
      </c>
      <c r="I1144" s="45">
        <f>IFERROR(__xludf.DUMMYFUNCTION("""COMPUTED_VALUE"""),0.4166666666678793)</f>
        <v>0.4166666667</v>
      </c>
      <c r="J1144" s="12">
        <f>IFERROR(__xludf.DUMMYFUNCTION("""COMPUTED_VALUE"""),3.2)</f>
        <v>3.2</v>
      </c>
      <c r="K1144" s="12">
        <f>IFERROR(__xludf.DUMMYFUNCTION("""COMPUTED_VALUE"""),0.11)</f>
        <v>0.11</v>
      </c>
      <c r="L1144" s="14">
        <f>IFERROR(__xludf.DUMMYFUNCTION("""COMPUTED_VALUE"""),130.569)</f>
        <v>130.569</v>
      </c>
      <c r="M1144" s="14">
        <f>IFERROR(__xludf.DUMMYFUNCTION("""COMPUTED_VALUE"""),134.88)</f>
        <v>134.88</v>
      </c>
      <c r="N1144" s="14">
        <f>IFERROR(__xludf.DUMMYFUNCTION("""COMPUTED_VALUE"""),132.207)</f>
        <v>132.207</v>
      </c>
      <c r="O1144" s="14">
        <f>IFERROR(__xludf.DUMMYFUNCTION("""COMPUTED_VALUE"""),138.423)</f>
        <v>138.423</v>
      </c>
      <c r="P1144" s="14">
        <f>IFERROR(__xludf.DUMMYFUNCTION("""COMPUTED_VALUE"""),141.94)</f>
        <v>141.94</v>
      </c>
      <c r="Q1144" s="14">
        <f>IFERROR(__xludf.DUMMYFUNCTION("""COMPUTED_VALUE"""),135.604)</f>
        <v>135.604</v>
      </c>
      <c r="R1144" s="48">
        <f>IFERROR(__xludf.DUMMYFUNCTION("""COMPUTED_VALUE"""),6.44)</f>
        <v>6.44</v>
      </c>
      <c r="S1144" s="48">
        <f>IFERROR(__xludf.DUMMYFUNCTION("""COMPUTED_VALUE"""),6.41)</f>
        <v>6.41</v>
      </c>
      <c r="T1144" s="48">
        <f>IFERROR(__xludf.DUMMYFUNCTION("""COMPUTED_VALUE"""),6.38)</f>
        <v>6.38</v>
      </c>
      <c r="U1144" s="48">
        <f>IFERROR(__xludf.DUMMYFUNCTION("""COMPUTED_VALUE"""),6.31)</f>
        <v>6.31</v>
      </c>
      <c r="V1144" s="48">
        <f>IFERROR(__xludf.DUMMYFUNCTION("""COMPUTED_VALUE"""),6.48)</f>
        <v>6.48</v>
      </c>
      <c r="W1144" s="14">
        <f>IFERROR(__xludf.DUMMYFUNCTION("""COMPUTED_VALUE"""),6.403999999999999)</f>
        <v>6.404</v>
      </c>
      <c r="X1144" s="14">
        <f>IFERROR(__xludf.DUMMYFUNCTION("""COMPUTED_VALUE"""),17.5)</f>
        <v>17.5</v>
      </c>
      <c r="Y1144" s="14">
        <f>IFERROR(__xludf.DUMMYFUNCTION("""COMPUTED_VALUE"""),17.7)</f>
        <v>17.7</v>
      </c>
      <c r="Z1144" s="14">
        <f>IFERROR(__xludf.DUMMYFUNCTION("""COMPUTED_VALUE"""),17.9)</f>
        <v>17.9</v>
      </c>
      <c r="AA1144" s="14">
        <f>IFERROR(__xludf.DUMMYFUNCTION("""COMPUTED_VALUE"""),18.4)</f>
        <v>18.4</v>
      </c>
      <c r="AB1144" s="14">
        <f>IFERROR(__xludf.DUMMYFUNCTION("""COMPUTED_VALUE"""),18.7)</f>
        <v>18.7</v>
      </c>
      <c r="AC1144" s="14">
        <f>IFERROR(__xludf.DUMMYFUNCTION("""COMPUTED_VALUE"""),18.04)</f>
        <v>18.04</v>
      </c>
      <c r="AD1144" s="48">
        <f>IFERROR(__xludf.DUMMYFUNCTION("""COMPUTED_VALUE"""),484.0)</f>
        <v>484</v>
      </c>
      <c r="AE1144" s="48">
        <f>IFERROR(__xludf.DUMMYFUNCTION("""COMPUTED_VALUE"""),476.0)</f>
        <v>476</v>
      </c>
      <c r="AF1144" s="48">
        <f>IFERROR(__xludf.DUMMYFUNCTION("""COMPUTED_VALUE"""),464.0)</f>
        <v>464</v>
      </c>
      <c r="AG1144" s="48">
        <f>IFERROR(__xludf.DUMMYFUNCTION("""COMPUTED_VALUE"""),445.0)</f>
        <v>445</v>
      </c>
      <c r="AH1144" s="48">
        <f>IFERROR(__xludf.DUMMYFUNCTION("""COMPUTED_VALUE"""),431.0)</f>
        <v>431</v>
      </c>
      <c r="AI1144" s="14">
        <f>IFERROR(__xludf.DUMMYFUNCTION("""COMPUTED_VALUE"""),460.0)</f>
        <v>460</v>
      </c>
      <c r="AJ1144" s="14">
        <f>IFERROR(__xludf.DUMMYFUNCTION("""COMPUTED_VALUE"""),1.48)</f>
        <v>1.48</v>
      </c>
      <c r="AK1144" s="14">
        <f>IFERROR(__xludf.DUMMYFUNCTION("""COMPUTED_VALUE"""),1.55)</f>
        <v>1.55</v>
      </c>
      <c r="AL1144" s="14">
        <f>IFERROR(__xludf.DUMMYFUNCTION("""COMPUTED_VALUE"""),1.36)</f>
        <v>1.36</v>
      </c>
      <c r="AM1144" s="14">
        <f>IFERROR(__xludf.DUMMYFUNCTION("""COMPUTED_VALUE"""),1.49)</f>
        <v>1.49</v>
      </c>
      <c r="AN1144" s="14">
        <f>IFERROR(__xludf.DUMMYFUNCTION("""COMPUTED_VALUE"""),1.54)</f>
        <v>1.54</v>
      </c>
      <c r="AO1144" s="14">
        <f>IFERROR(__xludf.DUMMYFUNCTION("""COMPUTED_VALUE"""),1.4840000000000002)</f>
        <v>1.484</v>
      </c>
      <c r="AP1144" s="14">
        <f>IFERROR(__xludf.DUMMYFUNCTION("""COMPUTED_VALUE"""),88.0)</f>
        <v>88</v>
      </c>
      <c r="AQ1144" s="14">
        <f>IFERROR(__xludf.DUMMYFUNCTION("""COMPUTED_VALUE"""),148.0)</f>
        <v>148</v>
      </c>
      <c r="AR1144" s="14">
        <f>IFERROR(__xludf.DUMMYFUNCTION("""COMPUTED_VALUE"""),40.0)</f>
        <v>40</v>
      </c>
      <c r="AS1144" s="14">
        <f>IFERROR(__xludf.DUMMYFUNCTION("""COMPUTED_VALUE"""),15.7)</f>
        <v>15.7</v>
      </c>
      <c r="AT1144" s="14">
        <f>IFERROR(__xludf.DUMMYFUNCTION("""COMPUTED_VALUE"""),2.56)</f>
        <v>2.56</v>
      </c>
      <c r="AU1144" s="14">
        <f>IFERROR(__xludf.DUMMYFUNCTION("""COMPUTED_VALUE"""),521000.0)</f>
        <v>521000</v>
      </c>
      <c r="AV1144" s="14">
        <f>IFERROR(__xludf.DUMMYFUNCTION("""COMPUTED_VALUE"""),3.02)</f>
        <v>3.02</v>
      </c>
      <c r="AW1144" s="14">
        <f>IFERROR(__xludf.DUMMYFUNCTION("""COMPUTED_VALUE"""),31.6)</f>
        <v>31.6</v>
      </c>
      <c r="AX1144" s="14">
        <f>IFERROR(__xludf.DUMMYFUNCTION("""COMPUTED_VALUE"""),364000.0)</f>
        <v>364000</v>
      </c>
      <c r="AY1144" s="14">
        <f>IFERROR(__xludf.DUMMYFUNCTION("""COMPUTED_VALUE"""),0.2)</f>
        <v>0.2</v>
      </c>
      <c r="AZ1144" s="14">
        <f>IFERROR(__xludf.DUMMYFUNCTION("""COMPUTED_VALUE"""),0.007)</f>
        <v>0.007</v>
      </c>
      <c r="BA1144" s="14">
        <f t="shared" si="1"/>
        <v>31.807</v>
      </c>
    </row>
    <row r="1145" ht="14.25" customHeight="1">
      <c r="A1145" s="10" t="str">
        <f>IFERROR(__xludf.DUMMYFUNCTION("""COMPUTED_VALUE"""),"160924FE03")</f>
        <v>160924FE03</v>
      </c>
      <c r="B1145" s="12" t="str">
        <f>IFERROR(__xludf.DUMMYFUNCTION("""COMPUTED_VALUE"""),"CMO-Alhambra")</f>
        <v>CMO-Alhambra</v>
      </c>
      <c r="C1145" s="12"/>
      <c r="D1145" s="12"/>
      <c r="E1145" s="44">
        <f>IFERROR(__xludf.DUMMYFUNCTION("""COMPUTED_VALUE"""),45551.0)</f>
        <v>45551</v>
      </c>
      <c r="F1145" s="12" t="str">
        <f>IFERROR(__xludf.DUMMYFUNCTION("""COMPUTED_VALUE"""),"TIPO I")</f>
        <v>TIPO I</v>
      </c>
      <c r="G1145" s="12" t="str">
        <f>IFERROR(__xludf.DUMMYFUNCTION("""COMPUTED_VALUE"""),"Toma de muestra en canal en concreto, durante el monitoreo se percibe olor, se observa color y residuos sólidos.
Altitud: 2569 msnm. ")</f>
        <v>Toma de muestra en canal en concreto, durante el monitoreo se percibe olor, se observa color y residuos sólidos.
Altitud: 2569 msnm. </v>
      </c>
      <c r="H1145" s="45">
        <f>IFERROR(__xludf.DUMMYFUNCTION("""COMPUTED_VALUE"""),0.5833333333321207)</f>
        <v>0.5833333333</v>
      </c>
      <c r="I1145" s="45">
        <f>IFERROR(__xludf.DUMMYFUNCTION("""COMPUTED_VALUE"""),0.6666666666678793)</f>
        <v>0.6666666667</v>
      </c>
      <c r="J1145" s="12">
        <f>IFERROR(__xludf.DUMMYFUNCTION("""COMPUTED_VALUE"""),5.0)</f>
        <v>5</v>
      </c>
      <c r="K1145" s="12">
        <f>IFERROR(__xludf.DUMMYFUNCTION("""COMPUTED_VALUE"""),0.16)</f>
        <v>0.16</v>
      </c>
      <c r="L1145" s="14">
        <f>IFERROR(__xludf.DUMMYFUNCTION("""COMPUTED_VALUE"""),170.157)</f>
        <v>170.157</v>
      </c>
      <c r="M1145" s="14">
        <f>IFERROR(__xludf.DUMMYFUNCTION("""COMPUTED_VALUE"""),167.981)</f>
        <v>167.981</v>
      </c>
      <c r="N1145" s="14">
        <f>IFERROR(__xludf.DUMMYFUNCTION("""COMPUTED_VALUE"""),166.657)</f>
        <v>166.657</v>
      </c>
      <c r="O1145" s="14">
        <f>IFERROR(__xludf.DUMMYFUNCTION("""COMPUTED_VALUE"""),164.282)</f>
        <v>164.282</v>
      </c>
      <c r="P1145" s="14">
        <f>IFERROR(__xludf.DUMMYFUNCTION("""COMPUTED_VALUE"""),167.38)</f>
        <v>167.38</v>
      </c>
      <c r="Q1145" s="14">
        <f>IFERROR(__xludf.DUMMYFUNCTION("""COMPUTED_VALUE"""),167.291)</f>
        <v>167.291</v>
      </c>
      <c r="R1145" s="48">
        <f>IFERROR(__xludf.DUMMYFUNCTION("""COMPUTED_VALUE"""),7.34)</f>
        <v>7.34</v>
      </c>
      <c r="S1145" s="48">
        <f>IFERROR(__xludf.DUMMYFUNCTION("""COMPUTED_VALUE"""),7.25)</f>
        <v>7.25</v>
      </c>
      <c r="T1145" s="48">
        <f>IFERROR(__xludf.DUMMYFUNCTION("""COMPUTED_VALUE"""),7.3)</f>
        <v>7.3</v>
      </c>
      <c r="U1145" s="48">
        <f>IFERROR(__xludf.DUMMYFUNCTION("""COMPUTED_VALUE"""),7.42)</f>
        <v>7.42</v>
      </c>
      <c r="V1145" s="48">
        <f>IFERROR(__xludf.DUMMYFUNCTION("""COMPUTED_VALUE"""),7.36)</f>
        <v>7.36</v>
      </c>
      <c r="W1145" s="14">
        <f>IFERROR(__xludf.DUMMYFUNCTION("""COMPUTED_VALUE"""),7.3340000000000005)</f>
        <v>7.334</v>
      </c>
      <c r="X1145" s="14">
        <f>IFERROR(__xludf.DUMMYFUNCTION("""COMPUTED_VALUE"""),21.9)</f>
        <v>21.9</v>
      </c>
      <c r="Y1145" s="14">
        <f>IFERROR(__xludf.DUMMYFUNCTION("""COMPUTED_VALUE"""),21.8)</f>
        <v>21.8</v>
      </c>
      <c r="Z1145" s="14">
        <f>IFERROR(__xludf.DUMMYFUNCTION("""COMPUTED_VALUE"""),21.7)</f>
        <v>21.7</v>
      </c>
      <c r="AA1145" s="14">
        <f>IFERROR(__xludf.DUMMYFUNCTION("""COMPUTED_VALUE"""),21.4)</f>
        <v>21.4</v>
      </c>
      <c r="AB1145" s="14">
        <f>IFERROR(__xludf.DUMMYFUNCTION("""COMPUTED_VALUE"""),21.4)</f>
        <v>21.4</v>
      </c>
      <c r="AC1145" s="14">
        <f>IFERROR(__xludf.DUMMYFUNCTION("""COMPUTED_VALUE"""),21.640000000000004)</f>
        <v>21.64</v>
      </c>
      <c r="AD1145" s="48">
        <f>IFERROR(__xludf.DUMMYFUNCTION("""COMPUTED_VALUE"""),571.0)</f>
        <v>571</v>
      </c>
      <c r="AE1145" s="48">
        <f>IFERROR(__xludf.DUMMYFUNCTION("""COMPUTED_VALUE"""),582.0)</f>
        <v>582</v>
      </c>
      <c r="AF1145" s="48">
        <f>IFERROR(__xludf.DUMMYFUNCTION("""COMPUTED_VALUE"""),585.0)</f>
        <v>585</v>
      </c>
      <c r="AG1145" s="48">
        <f>IFERROR(__xludf.DUMMYFUNCTION("""COMPUTED_VALUE"""),589.0)</f>
        <v>589</v>
      </c>
      <c r="AH1145" s="48">
        <f>IFERROR(__xludf.DUMMYFUNCTION("""COMPUTED_VALUE"""),597.0)</f>
        <v>597</v>
      </c>
      <c r="AI1145" s="14">
        <f>IFERROR(__xludf.DUMMYFUNCTION("""COMPUTED_VALUE"""),584.8)</f>
        <v>584.8</v>
      </c>
      <c r="AJ1145" s="14">
        <f>IFERROR(__xludf.DUMMYFUNCTION("""COMPUTED_VALUE"""),1.24)</f>
        <v>1.24</v>
      </c>
      <c r="AK1145" s="14">
        <f>IFERROR(__xludf.DUMMYFUNCTION("""COMPUTED_VALUE"""),1.33)</f>
        <v>1.33</v>
      </c>
      <c r="AL1145" s="14">
        <f>IFERROR(__xludf.DUMMYFUNCTION("""COMPUTED_VALUE"""),1.26)</f>
        <v>1.26</v>
      </c>
      <c r="AM1145" s="14">
        <f>IFERROR(__xludf.DUMMYFUNCTION("""COMPUTED_VALUE"""),1.35)</f>
        <v>1.35</v>
      </c>
      <c r="AN1145" s="14">
        <f>IFERROR(__xludf.DUMMYFUNCTION("""COMPUTED_VALUE"""),1.43)</f>
        <v>1.43</v>
      </c>
      <c r="AO1145" s="14">
        <f>IFERROR(__xludf.DUMMYFUNCTION("""COMPUTED_VALUE"""),1.3219999999999998)</f>
        <v>1.322</v>
      </c>
      <c r="AP1145" s="14">
        <f>IFERROR(__xludf.DUMMYFUNCTION("""COMPUTED_VALUE"""),164.0)</f>
        <v>164</v>
      </c>
      <c r="AQ1145" s="14">
        <f>IFERROR(__xludf.DUMMYFUNCTION("""COMPUTED_VALUE"""),256.0)</f>
        <v>256</v>
      </c>
      <c r="AR1145" s="14">
        <f>IFERROR(__xludf.DUMMYFUNCTION("""COMPUTED_VALUE"""),108.0)</f>
        <v>108</v>
      </c>
      <c r="AS1145" s="14">
        <f>IFERROR(__xludf.DUMMYFUNCTION("""COMPUTED_VALUE"""),15.9)</f>
        <v>15.9</v>
      </c>
      <c r="AT1145" s="14">
        <f>IFERROR(__xludf.DUMMYFUNCTION("""COMPUTED_VALUE"""),4.53)</f>
        <v>4.53</v>
      </c>
      <c r="AU1145" s="14">
        <f>IFERROR(__xludf.DUMMYFUNCTION("""COMPUTED_VALUE"""),1.616E8)</f>
        <v>161600000</v>
      </c>
      <c r="AV1145" s="14">
        <f>IFERROR(__xludf.DUMMYFUNCTION("""COMPUTED_VALUE"""),4.02)</f>
        <v>4.02</v>
      </c>
      <c r="AW1145" s="14">
        <f>IFERROR(__xludf.DUMMYFUNCTION("""COMPUTED_VALUE"""),46.5)</f>
        <v>46.5</v>
      </c>
      <c r="AX1145" s="14">
        <f>IFERROR(__xludf.DUMMYFUNCTION("""COMPUTED_VALUE"""),1.246E8)</f>
        <v>124600000</v>
      </c>
      <c r="AY1145" s="14">
        <f>IFERROR(__xludf.DUMMYFUNCTION("""COMPUTED_VALUE"""),0.4)</f>
        <v>0.4</v>
      </c>
      <c r="AZ1145" s="14">
        <f>IFERROR(__xludf.DUMMYFUNCTION("""COMPUTED_VALUE"""),0.007)</f>
        <v>0.007</v>
      </c>
      <c r="BA1145" s="14">
        <f t="shared" si="1"/>
        <v>46.907</v>
      </c>
    </row>
    <row r="1146" ht="14.25" customHeight="1">
      <c r="A1146" s="10" t="str">
        <f>IFERROR(__xludf.DUMMYFUNCTION("""COMPUTED_VALUE"""),"170924DA02")</f>
        <v>170924DA02</v>
      </c>
      <c r="B1146" s="12" t="str">
        <f>IFERROR(__xludf.DUMMYFUNCTION("""COMPUTED_VALUE"""),"QLI-El Satélite")</f>
        <v>QLI-El Satélite</v>
      </c>
      <c r="C1146" s="12"/>
      <c r="D1146" s="12"/>
      <c r="E1146" s="44">
        <f>IFERROR(__xludf.DUMMYFUNCTION("""COMPUTED_VALUE"""),45552.0)</f>
        <v>45552</v>
      </c>
      <c r="F1146" s="12" t="str">
        <f>IFERROR(__xludf.DUMMYFUNCTION("""COMPUTED_VALUE"""),"TIPO I")</f>
        <v>TIPO I</v>
      </c>
      <c r="G1146" s="12" t="str">
        <f>IFERROR(__xludf.DUMMYFUNCTION("""COMPUTED_VALUE"""),"Toma de muestra en lecho natural rocoso-arenoso, durante el monitoreo se percibe olor, se observa color y residuos sólidos en el lecho y márgenes del cauce. Aguas arriba se observa resalto hidráulico ocasionado por piedras, también se observa vertimiento "&amp;"con flujo leve continuo  QSL-RTU-0460.   
Altitud: 2576 msnm ")</f>
        <v>Toma de muestra en lecho natural rocoso-arenoso, durante el monitoreo se percibe olor, se observa color y residuos sólidos en el lecho y márgenes del cauce. Aguas arriba se observa resalto hidráulico ocasionado por piedras, también se observa vertimiento con flujo leve continuo  QSL-RTU-0460.   
Altitud: 2576 msnm </v>
      </c>
      <c r="H1146" s="45">
        <f>IFERROR(__xludf.DUMMYFUNCTION("""COMPUTED_VALUE"""),0.5)</f>
        <v>0.5</v>
      </c>
      <c r="I1146" s="45">
        <f>IFERROR(__xludf.DUMMYFUNCTION("""COMPUTED_VALUE"""),0.5833333333321207)</f>
        <v>0.5833333333</v>
      </c>
      <c r="J1146" s="12">
        <f>IFERROR(__xludf.DUMMYFUNCTION("""COMPUTED_VALUE"""),3.15)</f>
        <v>3.15</v>
      </c>
      <c r="K1146" s="12">
        <f>IFERROR(__xludf.DUMMYFUNCTION("""COMPUTED_VALUE"""),0.21)</f>
        <v>0.21</v>
      </c>
      <c r="L1146" s="14">
        <f>IFERROR(__xludf.DUMMYFUNCTION("""COMPUTED_VALUE"""),45.594)</f>
        <v>45.594</v>
      </c>
      <c r="M1146" s="14">
        <f>IFERROR(__xludf.DUMMYFUNCTION("""COMPUTED_VALUE"""),47.765)</f>
        <v>47.765</v>
      </c>
      <c r="N1146" s="14">
        <f>IFERROR(__xludf.DUMMYFUNCTION("""COMPUTED_VALUE"""),48.308)</f>
        <v>48.308</v>
      </c>
      <c r="O1146" s="14">
        <f>IFERROR(__xludf.DUMMYFUNCTION("""COMPUTED_VALUE"""),46.935)</f>
        <v>46.935</v>
      </c>
      <c r="P1146" s="14">
        <f>IFERROR(__xludf.DUMMYFUNCTION("""COMPUTED_VALUE"""),47.857)</f>
        <v>47.857</v>
      </c>
      <c r="Q1146" s="14">
        <f>IFERROR(__xludf.DUMMYFUNCTION("""COMPUTED_VALUE"""),47.292)</f>
        <v>47.292</v>
      </c>
      <c r="R1146" s="48">
        <f>IFERROR(__xludf.DUMMYFUNCTION("""COMPUTED_VALUE"""),7.44)</f>
        <v>7.44</v>
      </c>
      <c r="S1146" s="48">
        <f>IFERROR(__xludf.DUMMYFUNCTION("""COMPUTED_VALUE"""),7.34)</f>
        <v>7.34</v>
      </c>
      <c r="T1146" s="48">
        <f>IFERROR(__xludf.DUMMYFUNCTION("""COMPUTED_VALUE"""),7.32)</f>
        <v>7.32</v>
      </c>
      <c r="U1146" s="48">
        <f>IFERROR(__xludf.DUMMYFUNCTION("""COMPUTED_VALUE"""),7.3)</f>
        <v>7.3</v>
      </c>
      <c r="V1146" s="48">
        <f>IFERROR(__xludf.DUMMYFUNCTION("""COMPUTED_VALUE"""),7.27)</f>
        <v>7.27</v>
      </c>
      <c r="W1146" s="14">
        <f>IFERROR(__xludf.DUMMYFUNCTION("""COMPUTED_VALUE"""),7.3340000000000005)</f>
        <v>7.334</v>
      </c>
      <c r="X1146" s="14">
        <f>IFERROR(__xludf.DUMMYFUNCTION("""COMPUTED_VALUE"""),19.0)</f>
        <v>19</v>
      </c>
      <c r="Y1146" s="14">
        <f>IFERROR(__xludf.DUMMYFUNCTION("""COMPUTED_VALUE"""),20.7)</f>
        <v>20.7</v>
      </c>
      <c r="Z1146" s="14">
        <f>IFERROR(__xludf.DUMMYFUNCTION("""COMPUTED_VALUE"""),20.7)</f>
        <v>20.7</v>
      </c>
      <c r="AA1146" s="14">
        <f>IFERROR(__xludf.DUMMYFUNCTION("""COMPUTED_VALUE"""),20.4)</f>
        <v>20.4</v>
      </c>
      <c r="AB1146" s="14">
        <f>IFERROR(__xludf.DUMMYFUNCTION("""COMPUTED_VALUE"""),20.0)</f>
        <v>20</v>
      </c>
      <c r="AC1146" s="14">
        <f>IFERROR(__xludf.DUMMYFUNCTION("""COMPUTED_VALUE"""),20.160000000000004)</f>
        <v>20.16</v>
      </c>
      <c r="AD1146" s="48">
        <f>IFERROR(__xludf.DUMMYFUNCTION("""COMPUTED_VALUE"""),715.0)</f>
        <v>715</v>
      </c>
      <c r="AE1146" s="48">
        <f>IFERROR(__xludf.DUMMYFUNCTION("""COMPUTED_VALUE"""),764.0)</f>
        <v>764</v>
      </c>
      <c r="AF1146" s="48">
        <f>IFERROR(__xludf.DUMMYFUNCTION("""COMPUTED_VALUE"""),704.0)</f>
        <v>704</v>
      </c>
      <c r="AG1146" s="48">
        <f>IFERROR(__xludf.DUMMYFUNCTION("""COMPUTED_VALUE"""),733.0)</f>
        <v>733</v>
      </c>
      <c r="AH1146" s="48">
        <f>IFERROR(__xludf.DUMMYFUNCTION("""COMPUTED_VALUE"""),723.0)</f>
        <v>723</v>
      </c>
      <c r="AI1146" s="14">
        <f>IFERROR(__xludf.DUMMYFUNCTION("""COMPUTED_VALUE"""),727.8)</f>
        <v>727.8</v>
      </c>
      <c r="AJ1146" s="14">
        <f>IFERROR(__xludf.DUMMYFUNCTION("""COMPUTED_VALUE"""),1.46)</f>
        <v>1.46</v>
      </c>
      <c r="AK1146" s="14">
        <f>IFERROR(__xludf.DUMMYFUNCTION("""COMPUTED_VALUE"""),1.53)</f>
        <v>1.53</v>
      </c>
      <c r="AL1146" s="14">
        <f>IFERROR(__xludf.DUMMYFUNCTION("""COMPUTED_VALUE"""),1.37)</f>
        <v>1.37</v>
      </c>
      <c r="AM1146" s="14">
        <f>IFERROR(__xludf.DUMMYFUNCTION("""COMPUTED_VALUE"""),1.3)</f>
        <v>1.3</v>
      </c>
      <c r="AN1146" s="14">
        <f>IFERROR(__xludf.DUMMYFUNCTION("""COMPUTED_VALUE"""),1.38)</f>
        <v>1.38</v>
      </c>
      <c r="AO1146" s="14">
        <f>IFERROR(__xludf.DUMMYFUNCTION("""COMPUTED_VALUE"""),1.408)</f>
        <v>1.408</v>
      </c>
      <c r="AP1146" s="14">
        <f>IFERROR(__xludf.DUMMYFUNCTION("""COMPUTED_VALUE"""),142.0)</f>
        <v>142</v>
      </c>
      <c r="AQ1146" s="14">
        <f>IFERROR(__xludf.DUMMYFUNCTION("""COMPUTED_VALUE"""),236.0)</f>
        <v>236</v>
      </c>
      <c r="AR1146" s="14">
        <f>IFERROR(__xludf.DUMMYFUNCTION("""COMPUTED_VALUE"""),162.0)</f>
        <v>162</v>
      </c>
      <c r="AS1146" s="14">
        <f>IFERROR(__xludf.DUMMYFUNCTION("""COMPUTED_VALUE"""),13.6)</f>
        <v>13.6</v>
      </c>
      <c r="AT1146" s="14">
        <f>IFERROR(__xludf.DUMMYFUNCTION("""COMPUTED_VALUE"""),4.41)</f>
        <v>4.41</v>
      </c>
      <c r="AU1146" s="14">
        <f>IFERROR(__xludf.DUMMYFUNCTION("""COMPUTED_VALUE"""),1.183E8)</f>
        <v>118300000</v>
      </c>
      <c r="AV1146" s="14">
        <f>IFERROR(__xludf.DUMMYFUNCTION("""COMPUTED_VALUE"""),4.48)</f>
        <v>4.48</v>
      </c>
      <c r="AW1146" s="14">
        <f>IFERROR(__xludf.DUMMYFUNCTION("""COMPUTED_VALUE"""),33.0)</f>
        <v>33</v>
      </c>
      <c r="AX1146" s="14">
        <f>IFERROR(__xludf.DUMMYFUNCTION("""COMPUTED_VALUE"""),4200000.0)</f>
        <v>4200000</v>
      </c>
      <c r="AY1146" s="14">
        <f>IFERROR(__xludf.DUMMYFUNCTION("""COMPUTED_VALUE"""),0.5)</f>
        <v>0.5</v>
      </c>
      <c r="AZ1146" s="14">
        <f>IFERROR(__xludf.DUMMYFUNCTION("""COMPUTED_VALUE"""),0.007)</f>
        <v>0.007</v>
      </c>
      <c r="BA1146" s="14">
        <f t="shared" si="1"/>
        <v>33.507</v>
      </c>
    </row>
    <row r="1147" ht="14.25" customHeight="1">
      <c r="A1147" s="10" t="str">
        <f>IFERROR(__xludf.DUMMYFUNCTION("""COMPUTED_VALUE"""),"090924FM01")</f>
        <v>090924FM01</v>
      </c>
      <c r="B1147" s="12" t="str">
        <f>IFERROR(__xludf.DUMMYFUNCTION("""COMPUTED_VALUE"""),"CON-Country")</f>
        <v>CON-Country</v>
      </c>
      <c r="C1147" s="12"/>
      <c r="D1147" s="12"/>
      <c r="E1147" s="44">
        <f>IFERROR(__xludf.DUMMYFUNCTION("""COMPUTED_VALUE"""),45544.0)</f>
        <v>45544</v>
      </c>
      <c r="F1147" s="12" t="str">
        <f>IFERROR(__xludf.DUMMYFUNCTION("""COMPUTED_VALUE"""),"TIPO I")</f>
        <v>TIPO I</v>
      </c>
      <c r="G1147" s="12" t="str">
        <f>IFERROR(__xludf.DUMMYFUNCTION("""COMPUTED_VALUE"""),"Canal artificial en concreto, durante el desarrollo del monitoreo se observa color, se percibe olor se observan residuos sólidos en las margenes del canal.")</f>
        <v>Canal artificial en concreto, durante el desarrollo del monitoreo se observa color, se percibe olor se observan residuos sólidos en las margenes del canal.</v>
      </c>
      <c r="H1147" s="45">
        <f>IFERROR(__xludf.DUMMYFUNCTION("""COMPUTED_VALUE"""),0.3333333333321207)</f>
        <v>0.3333333333</v>
      </c>
      <c r="I1147" s="45">
        <f>IFERROR(__xludf.DUMMYFUNCTION("""COMPUTED_VALUE"""),0.4166666666678793)</f>
        <v>0.4166666667</v>
      </c>
      <c r="J1147" s="12">
        <f>IFERROR(__xludf.DUMMYFUNCTION("""COMPUTED_VALUE"""),3.0)</f>
        <v>3</v>
      </c>
      <c r="K1147" s="12">
        <f>IFERROR(__xludf.DUMMYFUNCTION("""COMPUTED_VALUE"""),0.09)</f>
        <v>0.09</v>
      </c>
      <c r="L1147" s="14">
        <f>IFERROR(__xludf.DUMMYFUNCTION("""COMPUTED_VALUE"""),15.654)</f>
        <v>15.654</v>
      </c>
      <c r="M1147" s="14">
        <f>IFERROR(__xludf.DUMMYFUNCTION("""COMPUTED_VALUE"""),16.05)</f>
        <v>16.05</v>
      </c>
      <c r="N1147" s="14">
        <f>IFERROR(__xludf.DUMMYFUNCTION("""COMPUTED_VALUE"""),16.151)</f>
        <v>16.151</v>
      </c>
      <c r="O1147" s="14">
        <f>IFERROR(__xludf.DUMMYFUNCTION("""COMPUTED_VALUE"""),16.272)</f>
        <v>16.272</v>
      </c>
      <c r="P1147" s="14">
        <f>IFERROR(__xludf.DUMMYFUNCTION("""COMPUTED_VALUE"""),16.311)</f>
        <v>16.311</v>
      </c>
      <c r="Q1147" s="14">
        <f>IFERROR(__xludf.DUMMYFUNCTION("""COMPUTED_VALUE"""),16.088)</f>
        <v>16.088</v>
      </c>
      <c r="R1147" s="48">
        <f>IFERROR(__xludf.DUMMYFUNCTION("""COMPUTED_VALUE"""),7.91)</f>
        <v>7.91</v>
      </c>
      <c r="S1147" s="48">
        <f>IFERROR(__xludf.DUMMYFUNCTION("""COMPUTED_VALUE"""),7.89)</f>
        <v>7.89</v>
      </c>
      <c r="T1147" s="48">
        <f>IFERROR(__xludf.DUMMYFUNCTION("""COMPUTED_VALUE"""),8.08)</f>
        <v>8.08</v>
      </c>
      <c r="U1147" s="48">
        <f>IFERROR(__xludf.DUMMYFUNCTION("""COMPUTED_VALUE"""),8.54)</f>
        <v>8.54</v>
      </c>
      <c r="V1147" s="48">
        <f>IFERROR(__xludf.DUMMYFUNCTION("""COMPUTED_VALUE"""),8.65)</f>
        <v>8.65</v>
      </c>
      <c r="W1147" s="14">
        <f>IFERROR(__xludf.DUMMYFUNCTION("""COMPUTED_VALUE"""),8.214)</f>
        <v>8.214</v>
      </c>
      <c r="X1147" s="14">
        <f>IFERROR(__xludf.DUMMYFUNCTION("""COMPUTED_VALUE"""),16.2)</f>
        <v>16.2</v>
      </c>
      <c r="Y1147" s="14">
        <f>IFERROR(__xludf.DUMMYFUNCTION("""COMPUTED_VALUE"""),16.8)</f>
        <v>16.8</v>
      </c>
      <c r="Z1147" s="14">
        <f>IFERROR(__xludf.DUMMYFUNCTION("""COMPUTED_VALUE"""),18.5)</f>
        <v>18.5</v>
      </c>
      <c r="AA1147" s="14">
        <f>IFERROR(__xludf.DUMMYFUNCTION("""COMPUTED_VALUE"""),18.6)</f>
        <v>18.6</v>
      </c>
      <c r="AB1147" s="14">
        <f>IFERROR(__xludf.DUMMYFUNCTION("""COMPUTED_VALUE"""),20.4)</f>
        <v>20.4</v>
      </c>
      <c r="AC1147" s="14">
        <f>IFERROR(__xludf.DUMMYFUNCTION("""COMPUTED_VALUE"""),18.1)</f>
        <v>18.1</v>
      </c>
      <c r="AD1147" s="48">
        <f>IFERROR(__xludf.DUMMYFUNCTION("""COMPUTED_VALUE"""),461.0)</f>
        <v>461</v>
      </c>
      <c r="AE1147" s="48">
        <f>IFERROR(__xludf.DUMMYFUNCTION("""COMPUTED_VALUE"""),510.0)</f>
        <v>510</v>
      </c>
      <c r="AF1147" s="48">
        <f>IFERROR(__xludf.DUMMYFUNCTION("""COMPUTED_VALUE"""),626.0)</f>
        <v>626</v>
      </c>
      <c r="AG1147" s="48">
        <f>IFERROR(__xludf.DUMMYFUNCTION("""COMPUTED_VALUE"""),785.0)</f>
        <v>785</v>
      </c>
      <c r="AH1147" s="48">
        <f>IFERROR(__xludf.DUMMYFUNCTION("""COMPUTED_VALUE"""),849.0)</f>
        <v>849</v>
      </c>
      <c r="AI1147" s="14">
        <f>IFERROR(__xludf.DUMMYFUNCTION("""COMPUTED_VALUE"""),646.2)</f>
        <v>646.2</v>
      </c>
      <c r="AJ1147" s="14">
        <f>IFERROR(__xludf.DUMMYFUNCTION("""COMPUTED_VALUE"""),2.11)</f>
        <v>2.11</v>
      </c>
      <c r="AK1147" s="14">
        <f>IFERROR(__xludf.DUMMYFUNCTION("""COMPUTED_VALUE"""),1.77)</f>
        <v>1.77</v>
      </c>
      <c r="AL1147" s="14">
        <f>IFERROR(__xludf.DUMMYFUNCTION("""COMPUTED_VALUE"""),1.57)</f>
        <v>1.57</v>
      </c>
      <c r="AM1147" s="14">
        <f>IFERROR(__xludf.DUMMYFUNCTION("""COMPUTED_VALUE"""),1.62)</f>
        <v>1.62</v>
      </c>
      <c r="AN1147" s="14">
        <f>IFERROR(__xludf.DUMMYFUNCTION("""COMPUTED_VALUE"""),1.29)</f>
        <v>1.29</v>
      </c>
      <c r="AO1147" s="14">
        <f>IFERROR(__xludf.DUMMYFUNCTION("""COMPUTED_VALUE"""),1.672)</f>
        <v>1.672</v>
      </c>
      <c r="AP1147" s="14">
        <f>IFERROR(__xludf.DUMMYFUNCTION("""COMPUTED_VALUE"""),199.0)</f>
        <v>199</v>
      </c>
      <c r="AQ1147" s="14">
        <f>IFERROR(__xludf.DUMMYFUNCTION("""COMPUTED_VALUE"""),272.0)</f>
        <v>272</v>
      </c>
      <c r="AR1147" s="14">
        <f>IFERROR(__xludf.DUMMYFUNCTION("""COMPUTED_VALUE"""),111.0)</f>
        <v>111</v>
      </c>
      <c r="AS1147" s="14">
        <f>IFERROR(__xludf.DUMMYFUNCTION("""COMPUTED_VALUE"""),36.0)</f>
        <v>36</v>
      </c>
      <c r="AT1147" s="14">
        <f>IFERROR(__xludf.DUMMYFUNCTION("""COMPUTED_VALUE"""),1.78)</f>
        <v>1.78</v>
      </c>
      <c r="AU1147" s="14">
        <f>IFERROR(__xludf.DUMMYFUNCTION("""COMPUTED_VALUE"""),9.36E7)</f>
        <v>93600000</v>
      </c>
      <c r="AV1147" s="14">
        <f>IFERROR(__xludf.DUMMYFUNCTION("""COMPUTED_VALUE"""),4.45)</f>
        <v>4.45</v>
      </c>
      <c r="AW1147" s="14">
        <f>IFERROR(__xludf.DUMMYFUNCTION("""COMPUTED_VALUE"""),53.5)</f>
        <v>53.5</v>
      </c>
      <c r="AX1147" s="14">
        <f>IFERROR(__xludf.DUMMYFUNCTION("""COMPUTED_VALUE"""),6.13E7)</f>
        <v>61300000</v>
      </c>
      <c r="AY1147" s="14">
        <f>IFERROR(__xludf.DUMMYFUNCTION("""COMPUTED_VALUE"""),0.6)</f>
        <v>0.6</v>
      </c>
      <c r="AZ1147" s="14">
        <f>IFERROR(__xludf.DUMMYFUNCTION("""COMPUTED_VALUE"""),0.007)</f>
        <v>0.007</v>
      </c>
      <c r="BA1147" s="14">
        <f t="shared" si="1"/>
        <v>54.107</v>
      </c>
    </row>
    <row r="1148" ht="14.25" customHeight="1">
      <c r="A1148" s="10" t="str">
        <f>IFERROR(__xludf.DUMMYFUNCTION("""COMPUTED_VALUE"""),"170924DA03")</f>
        <v>170924DA03</v>
      </c>
      <c r="B1148" s="12" t="str">
        <f>IFERROR(__xludf.DUMMYFUNCTION("""COMPUTED_VALUE"""),"QLI-Villa del Diamante")</f>
        <v>QLI-Villa del Diamante</v>
      </c>
      <c r="C1148" s="12"/>
      <c r="D1148" s="12"/>
      <c r="E1148" s="44">
        <f>IFERROR(__xludf.DUMMYFUNCTION("""COMPUTED_VALUE"""),45552.0)</f>
        <v>45552</v>
      </c>
      <c r="F1148" s="12" t="str">
        <f>IFERROR(__xludf.DUMMYFUNCTION("""COMPUTED_VALUE"""),"TIPO I")</f>
        <v>TIPO I</v>
      </c>
      <c r="G1148" s="12" t="str">
        <f>IFERROR(__xludf.DUMMYFUNCTION("""COMPUTED_VALUE"""),"Toma de muestra en lecho natural rocoso, durante el monitoreo no se percibe olor, se observa color y residuos sólidos. Aguas arriba del punto de monitoreo se observa resalto hidráulico generando espuma, a partir de la 3 alícuota se presentan lluvias leves"&amp;". 
Altitud: 2638msnm. ")</f>
        <v>Toma de muestra en lecho natural rocoso, durante el monitoreo no se percibe olor, se observa color y residuos sólidos. Aguas arriba del punto de monitoreo se observa resalto hidráulico generando espuma, a partir de la 3 alícuota se presentan lluvias leves. 
Altitud: 2638msnm. </v>
      </c>
      <c r="H1148" s="45">
        <f>IFERROR(__xludf.DUMMYFUNCTION("""COMPUTED_VALUE"""),0.6666666666678793)</f>
        <v>0.6666666667</v>
      </c>
      <c r="I1148" s="45">
        <f>IFERROR(__xludf.DUMMYFUNCTION("""COMPUTED_VALUE"""),0.75)</f>
        <v>0.75</v>
      </c>
      <c r="J1148" s="12">
        <f>IFERROR(__xludf.DUMMYFUNCTION("""COMPUTED_VALUE"""),1.5)</f>
        <v>1.5</v>
      </c>
      <c r="K1148" s="12">
        <f>IFERROR(__xludf.DUMMYFUNCTION("""COMPUTED_VALUE"""),0.15)</f>
        <v>0.15</v>
      </c>
      <c r="L1148" s="14">
        <f>IFERROR(__xludf.DUMMYFUNCTION("""COMPUTED_VALUE"""),30.077)</f>
        <v>30.077</v>
      </c>
      <c r="M1148" s="14">
        <f>IFERROR(__xludf.DUMMYFUNCTION("""COMPUTED_VALUE"""),29.507)</f>
        <v>29.507</v>
      </c>
      <c r="N1148" s="14">
        <f>IFERROR(__xludf.DUMMYFUNCTION("""COMPUTED_VALUE"""),29.99)</f>
        <v>29.99</v>
      </c>
      <c r="O1148" s="14">
        <f>IFERROR(__xludf.DUMMYFUNCTION("""COMPUTED_VALUE"""),31.032)</f>
        <v>31.032</v>
      </c>
      <c r="P1148" s="14">
        <f>IFERROR(__xludf.DUMMYFUNCTION("""COMPUTED_VALUE"""),31.636)</f>
        <v>31.636</v>
      </c>
      <c r="Q1148" s="14">
        <f>IFERROR(__xludf.DUMMYFUNCTION("""COMPUTED_VALUE"""),30.449)</f>
        <v>30.449</v>
      </c>
      <c r="R1148" s="48">
        <f>IFERROR(__xludf.DUMMYFUNCTION("""COMPUTED_VALUE"""),7.55)</f>
        <v>7.55</v>
      </c>
      <c r="S1148" s="48">
        <f>IFERROR(__xludf.DUMMYFUNCTION("""COMPUTED_VALUE"""),7.6)</f>
        <v>7.6</v>
      </c>
      <c r="T1148" s="48">
        <f>IFERROR(__xludf.DUMMYFUNCTION("""COMPUTED_VALUE"""),7.49)</f>
        <v>7.49</v>
      </c>
      <c r="U1148" s="48">
        <f>IFERROR(__xludf.DUMMYFUNCTION("""COMPUTED_VALUE"""),7.7)</f>
        <v>7.7</v>
      </c>
      <c r="V1148" s="48">
        <f>IFERROR(__xludf.DUMMYFUNCTION("""COMPUTED_VALUE"""),7.63)</f>
        <v>7.63</v>
      </c>
      <c r="W1148" s="14">
        <f>IFERROR(__xludf.DUMMYFUNCTION("""COMPUTED_VALUE"""),7.593999999999999)</f>
        <v>7.594</v>
      </c>
      <c r="X1148" s="14">
        <f>IFERROR(__xludf.DUMMYFUNCTION("""COMPUTED_VALUE"""),17.0)</f>
        <v>17</v>
      </c>
      <c r="Y1148" s="14">
        <f>IFERROR(__xludf.DUMMYFUNCTION("""COMPUTED_VALUE"""),16.6)</f>
        <v>16.6</v>
      </c>
      <c r="Z1148" s="14">
        <f>IFERROR(__xludf.DUMMYFUNCTION("""COMPUTED_VALUE"""),16.6)</f>
        <v>16.6</v>
      </c>
      <c r="AA1148" s="14">
        <f>IFERROR(__xludf.DUMMYFUNCTION("""COMPUTED_VALUE"""),16.4)</f>
        <v>16.4</v>
      </c>
      <c r="AB1148" s="14">
        <f>IFERROR(__xludf.DUMMYFUNCTION("""COMPUTED_VALUE"""),16.4)</f>
        <v>16.4</v>
      </c>
      <c r="AC1148" s="14">
        <f>IFERROR(__xludf.DUMMYFUNCTION("""COMPUTED_VALUE"""),16.6)</f>
        <v>16.6</v>
      </c>
      <c r="AD1148" s="48">
        <f>IFERROR(__xludf.DUMMYFUNCTION("""COMPUTED_VALUE"""),530.0)</f>
        <v>530</v>
      </c>
      <c r="AE1148" s="48">
        <f>IFERROR(__xludf.DUMMYFUNCTION("""COMPUTED_VALUE"""),495.0)</f>
        <v>495</v>
      </c>
      <c r="AF1148" s="48">
        <f>IFERROR(__xludf.DUMMYFUNCTION("""COMPUTED_VALUE"""),533.0)</f>
        <v>533</v>
      </c>
      <c r="AG1148" s="48">
        <f>IFERROR(__xludf.DUMMYFUNCTION("""COMPUTED_VALUE"""),513.0)</f>
        <v>513</v>
      </c>
      <c r="AH1148" s="48">
        <f>IFERROR(__xludf.DUMMYFUNCTION("""COMPUTED_VALUE"""),536.0)</f>
        <v>536</v>
      </c>
      <c r="AI1148" s="14">
        <f>IFERROR(__xludf.DUMMYFUNCTION("""COMPUTED_VALUE"""),521.4)</f>
        <v>521.4</v>
      </c>
      <c r="AJ1148" s="14">
        <f>IFERROR(__xludf.DUMMYFUNCTION("""COMPUTED_VALUE"""),5.52)</f>
        <v>5.52</v>
      </c>
      <c r="AK1148" s="14">
        <f>IFERROR(__xludf.DUMMYFUNCTION("""COMPUTED_VALUE"""),5.0)</f>
        <v>5</v>
      </c>
      <c r="AL1148" s="14">
        <f>IFERROR(__xludf.DUMMYFUNCTION("""COMPUTED_VALUE"""),5.18)</f>
        <v>5.18</v>
      </c>
      <c r="AM1148" s="14">
        <f>IFERROR(__xludf.DUMMYFUNCTION("""COMPUTED_VALUE"""),5.06)</f>
        <v>5.06</v>
      </c>
      <c r="AN1148" s="14">
        <f>IFERROR(__xludf.DUMMYFUNCTION("""COMPUTED_VALUE"""),5.17)</f>
        <v>5.17</v>
      </c>
      <c r="AO1148" s="14">
        <f>IFERROR(__xludf.DUMMYFUNCTION("""COMPUTED_VALUE"""),5.186)</f>
        <v>5.186</v>
      </c>
      <c r="AP1148" s="14">
        <f>IFERROR(__xludf.DUMMYFUNCTION("""COMPUTED_VALUE"""),14.0)</f>
        <v>14</v>
      </c>
      <c r="AQ1148" s="14">
        <f>IFERROR(__xludf.DUMMYFUNCTION("""COMPUTED_VALUE"""),37.0)</f>
        <v>37</v>
      </c>
      <c r="AR1148" s="14">
        <f>IFERROR(__xludf.DUMMYFUNCTION("""COMPUTED_VALUE"""),9.0)</f>
        <v>9</v>
      </c>
      <c r="AS1148" s="14">
        <f>IFERROR(__xludf.DUMMYFUNCTION("""COMPUTED_VALUE"""),4.6)</f>
        <v>4.6</v>
      </c>
      <c r="AT1148" s="14">
        <f>IFERROR(__xludf.DUMMYFUNCTION("""COMPUTED_VALUE"""),0.37)</f>
        <v>0.37</v>
      </c>
      <c r="AU1148" s="14">
        <f>IFERROR(__xludf.DUMMYFUNCTION("""COMPUTED_VALUE"""),1.515E8)</f>
        <v>151500000</v>
      </c>
      <c r="AV1148" s="14">
        <f>IFERROR(__xludf.DUMMYFUNCTION("""COMPUTED_VALUE"""),3.0)</f>
        <v>3</v>
      </c>
      <c r="AW1148" s="14">
        <f>IFERROR(__xludf.DUMMYFUNCTION("""COMPUTED_VALUE"""),26.3)</f>
        <v>26.3</v>
      </c>
      <c r="AX1148" s="14">
        <f>IFERROR(__xludf.DUMMYFUNCTION("""COMPUTED_VALUE"""),1.374E8)</f>
        <v>137400000</v>
      </c>
      <c r="AY1148" s="14">
        <f>IFERROR(__xludf.DUMMYFUNCTION("""COMPUTED_VALUE"""),1.8)</f>
        <v>1.8</v>
      </c>
      <c r="AZ1148" s="14">
        <f>IFERROR(__xludf.DUMMYFUNCTION("""COMPUTED_VALUE"""),0.395)</f>
        <v>0.395</v>
      </c>
      <c r="BA1148" s="14">
        <f t="shared" si="1"/>
        <v>28.495</v>
      </c>
    </row>
    <row r="1149" ht="14.25" customHeight="1">
      <c r="A1149" s="10" t="str">
        <f>IFERROR(__xludf.DUMMYFUNCTION("""COMPUTED_VALUE"""),"090924FM03")</f>
        <v>090924FM03</v>
      </c>
      <c r="B1149" s="12" t="str">
        <f>IFERROR(__xludf.DUMMYFUNCTION("""COMPUTED_VALUE"""),"COR-Victoria Norte")</f>
        <v>COR-Victoria Norte</v>
      </c>
      <c r="C1149" s="12"/>
      <c r="D1149" s="12"/>
      <c r="E1149" s="44">
        <f>IFERROR(__xludf.DUMMYFUNCTION("""COMPUTED_VALUE"""),45544.0)</f>
        <v>45544</v>
      </c>
      <c r="F1149" s="12" t="str">
        <f>IFERROR(__xludf.DUMMYFUNCTION("""COMPUTED_VALUE"""),"TIPO I")</f>
        <v>TIPO I</v>
      </c>
      <c r="G1149" s="12" t="str">
        <f>IFERROR(__xludf.DUMMYFUNCTION("""COMPUTED_VALUE"""),"Monitoreo realizado en canal Canal artificial en concreto, durante el desarrollo del monitoreo se observa color y se persibe olor.
")</f>
        <v>Monitoreo realizado en canal Canal artificial en concreto, durante el desarrollo del monitoreo se observa color y se persibe olor.
</v>
      </c>
      <c r="H1149" s="45">
        <f>IFERROR(__xludf.DUMMYFUNCTION("""COMPUTED_VALUE"""),0.6666666666678793)</f>
        <v>0.6666666667</v>
      </c>
      <c r="I1149" s="45">
        <f>IFERROR(__xludf.DUMMYFUNCTION("""COMPUTED_VALUE"""),0.75)</f>
        <v>0.75</v>
      </c>
      <c r="J1149" s="12">
        <f>IFERROR(__xludf.DUMMYFUNCTION("""COMPUTED_VALUE"""),3.0)</f>
        <v>3</v>
      </c>
      <c r="K1149" s="12">
        <f>IFERROR(__xludf.DUMMYFUNCTION("""COMPUTED_VALUE"""),0.09)</f>
        <v>0.09</v>
      </c>
      <c r="L1149" s="14">
        <f>IFERROR(__xludf.DUMMYFUNCTION("""COMPUTED_VALUE"""),21.188)</f>
        <v>21.188</v>
      </c>
      <c r="M1149" s="14">
        <f>IFERROR(__xludf.DUMMYFUNCTION("""COMPUTED_VALUE"""),21.766)</f>
        <v>21.766</v>
      </c>
      <c r="N1149" s="14">
        <f>IFERROR(__xludf.DUMMYFUNCTION("""COMPUTED_VALUE"""),22.061)</f>
        <v>22.061</v>
      </c>
      <c r="O1149" s="14">
        <f>IFERROR(__xludf.DUMMYFUNCTION("""COMPUTED_VALUE"""),22.832)</f>
        <v>22.832</v>
      </c>
      <c r="P1149" s="14">
        <f>IFERROR(__xludf.DUMMYFUNCTION("""COMPUTED_VALUE"""),22.828)</f>
        <v>22.828</v>
      </c>
      <c r="Q1149" s="14">
        <f>IFERROR(__xludf.DUMMYFUNCTION("""COMPUTED_VALUE"""),22.135)</f>
        <v>22.135</v>
      </c>
      <c r="R1149" s="48">
        <f>IFERROR(__xludf.DUMMYFUNCTION("""COMPUTED_VALUE"""),7.56)</f>
        <v>7.56</v>
      </c>
      <c r="S1149" s="48">
        <f>IFERROR(__xludf.DUMMYFUNCTION("""COMPUTED_VALUE"""),8.5)</f>
        <v>8.5</v>
      </c>
      <c r="T1149" s="48">
        <f>IFERROR(__xludf.DUMMYFUNCTION("""COMPUTED_VALUE"""),8.46)</f>
        <v>8.46</v>
      </c>
      <c r="U1149" s="48">
        <f>IFERROR(__xludf.DUMMYFUNCTION("""COMPUTED_VALUE"""),8.3)</f>
        <v>8.3</v>
      </c>
      <c r="V1149" s="48">
        <f>IFERROR(__xludf.DUMMYFUNCTION("""COMPUTED_VALUE"""),8.29)</f>
        <v>8.29</v>
      </c>
      <c r="W1149" s="14">
        <f>IFERROR(__xludf.DUMMYFUNCTION("""COMPUTED_VALUE"""),8.222)</f>
        <v>8.222</v>
      </c>
      <c r="X1149" s="14">
        <f>IFERROR(__xludf.DUMMYFUNCTION("""COMPUTED_VALUE"""),22.5)</f>
        <v>22.5</v>
      </c>
      <c r="Y1149" s="14">
        <f>IFERROR(__xludf.DUMMYFUNCTION("""COMPUTED_VALUE"""),21.9)</f>
        <v>21.9</v>
      </c>
      <c r="Z1149" s="14">
        <f>IFERROR(__xludf.DUMMYFUNCTION("""COMPUTED_VALUE"""),21.2)</f>
        <v>21.2</v>
      </c>
      <c r="AA1149" s="14">
        <f>IFERROR(__xludf.DUMMYFUNCTION("""COMPUTED_VALUE"""),20.8)</f>
        <v>20.8</v>
      </c>
      <c r="AB1149" s="14">
        <f>IFERROR(__xludf.DUMMYFUNCTION("""COMPUTED_VALUE"""),20.5)</f>
        <v>20.5</v>
      </c>
      <c r="AC1149" s="14">
        <f>IFERROR(__xludf.DUMMYFUNCTION("""COMPUTED_VALUE"""),21.38)</f>
        <v>21.38</v>
      </c>
      <c r="AD1149" s="48">
        <f>IFERROR(__xludf.DUMMYFUNCTION("""COMPUTED_VALUE"""),502.0)</f>
        <v>502</v>
      </c>
      <c r="AE1149" s="48">
        <f>IFERROR(__xludf.DUMMYFUNCTION("""COMPUTED_VALUE"""),507.0)</f>
        <v>507</v>
      </c>
      <c r="AF1149" s="48">
        <f>IFERROR(__xludf.DUMMYFUNCTION("""COMPUTED_VALUE"""),499.0)</f>
        <v>499</v>
      </c>
      <c r="AG1149" s="48">
        <f>IFERROR(__xludf.DUMMYFUNCTION("""COMPUTED_VALUE"""),511.0)</f>
        <v>511</v>
      </c>
      <c r="AH1149" s="48">
        <f>IFERROR(__xludf.DUMMYFUNCTION("""COMPUTED_VALUE"""),497.0)</f>
        <v>497</v>
      </c>
      <c r="AI1149" s="14">
        <f>IFERROR(__xludf.DUMMYFUNCTION("""COMPUTED_VALUE"""),503.2)</f>
        <v>503.2</v>
      </c>
      <c r="AJ1149" s="14">
        <f>IFERROR(__xludf.DUMMYFUNCTION("""COMPUTED_VALUE"""),2.01)</f>
        <v>2.01</v>
      </c>
      <c r="AK1149" s="14">
        <f>IFERROR(__xludf.DUMMYFUNCTION("""COMPUTED_VALUE"""),1.37)</f>
        <v>1.37</v>
      </c>
      <c r="AL1149" s="14">
        <f>IFERROR(__xludf.DUMMYFUNCTION("""COMPUTED_VALUE"""),1.5)</f>
        <v>1.5</v>
      </c>
      <c r="AM1149" s="14">
        <f>IFERROR(__xludf.DUMMYFUNCTION("""COMPUTED_VALUE"""),1.44)</f>
        <v>1.44</v>
      </c>
      <c r="AN1149" s="14">
        <f>IFERROR(__xludf.DUMMYFUNCTION("""COMPUTED_VALUE"""),1.58)</f>
        <v>1.58</v>
      </c>
      <c r="AO1149" s="14">
        <f>IFERROR(__xludf.DUMMYFUNCTION("""COMPUTED_VALUE"""),1.58)</f>
        <v>1.58</v>
      </c>
      <c r="AP1149" s="14">
        <f>IFERROR(__xludf.DUMMYFUNCTION("""COMPUTED_VALUE"""),78.0)</f>
        <v>78</v>
      </c>
      <c r="AQ1149" s="14">
        <f>IFERROR(__xludf.DUMMYFUNCTION("""COMPUTED_VALUE"""),96.0)</f>
        <v>96</v>
      </c>
      <c r="AR1149" s="14">
        <f>IFERROR(__xludf.DUMMYFUNCTION("""COMPUTED_VALUE"""),22.0)</f>
        <v>22</v>
      </c>
      <c r="AS1149" s="14">
        <f>IFERROR(__xludf.DUMMYFUNCTION("""COMPUTED_VALUE"""),9.5)</f>
        <v>9.5</v>
      </c>
      <c r="AT1149" s="14">
        <f>IFERROR(__xludf.DUMMYFUNCTION("""COMPUTED_VALUE"""),1.83)</f>
        <v>1.83</v>
      </c>
      <c r="AU1149" s="14">
        <f>IFERROR(__xludf.DUMMYFUNCTION("""COMPUTED_VALUE"""),9.34E7)</f>
        <v>93400000</v>
      </c>
      <c r="AV1149" s="14">
        <f>IFERROR(__xludf.DUMMYFUNCTION("""COMPUTED_VALUE"""),1.64)</f>
        <v>1.64</v>
      </c>
      <c r="AW1149" s="14">
        <f>IFERROR(__xludf.DUMMYFUNCTION("""COMPUTED_VALUE"""),21.3)</f>
        <v>21.3</v>
      </c>
      <c r="AX1149" s="14">
        <f>IFERROR(__xludf.DUMMYFUNCTION("""COMPUTED_VALUE"""),8.05E7)</f>
        <v>80500000</v>
      </c>
      <c r="AY1149" s="14">
        <f>IFERROR(__xludf.DUMMYFUNCTION("""COMPUTED_VALUE"""),0.4)</f>
        <v>0.4</v>
      </c>
      <c r="AZ1149" s="14">
        <f>IFERROR(__xludf.DUMMYFUNCTION("""COMPUTED_VALUE"""),0.007)</f>
        <v>0.007</v>
      </c>
      <c r="BA1149" s="14">
        <f t="shared" si="1"/>
        <v>21.707</v>
      </c>
    </row>
    <row r="1150" ht="14.25" customHeight="1">
      <c r="A1150" s="10" t="str">
        <f>IFERROR(__xludf.DUMMYFUNCTION("""COMPUTED_VALUE"""),"090924FE02")</f>
        <v>090924FE02</v>
      </c>
      <c r="B1150" s="12" t="str">
        <f>IFERROR(__xludf.DUMMYFUNCTION("""COMPUTED_VALUE"""),"QTR-Acapulco")</f>
        <v>QTR-Acapulco</v>
      </c>
      <c r="C1150" s="12"/>
      <c r="D1150" s="12"/>
      <c r="E1150" s="44">
        <f>IFERROR(__xludf.DUMMYFUNCTION("""COMPUTED_VALUE"""),45544.0)</f>
        <v>45544</v>
      </c>
      <c r="F1150" s="12" t="str">
        <f>IFERROR(__xludf.DUMMYFUNCTION("""COMPUTED_VALUE"""),"TIPO I")</f>
        <v>TIPO I</v>
      </c>
      <c r="G1150" s="12" t="str">
        <f>IFERROR(__xludf.DUMMYFUNCTION("""COMPUTED_VALUE"""),"Monitoreo realizado en lecho natural rocoso arenoso, durante el monitoreo se observa color y se percibe olor, se evidencia residuos sólidos en el lecho y márgenes del cuerpo de agua, a partir de la tercera alícuota se presenta un cambio de coloración y en"&amp;" los parámetros In-Situ del cuerpo de agua a causa de vertimientos aguas arriba del punto de monitoreo.
Altitud: 2622 msnm")</f>
        <v>Monitoreo realizado en lecho natural rocoso arenoso, durante el monitoreo se observa color y se percibe olor, se evidencia residuos sólidos en el lecho y márgenes del cuerpo de agua, a partir de la tercera alícuota se presenta un cambio de coloración y en los parámetros In-Situ del cuerpo de agua a causa de vertimientos aguas arriba del punto de monitoreo.
Altitud: 2622 msnm</v>
      </c>
      <c r="H1150" s="45">
        <f>IFERROR(__xludf.DUMMYFUNCTION("""COMPUTED_VALUE"""),0.5)</f>
        <v>0.5</v>
      </c>
      <c r="I1150" s="45">
        <f>IFERROR(__xludf.DUMMYFUNCTION("""COMPUTED_VALUE"""),0.5833333333321207)</f>
        <v>0.5833333333</v>
      </c>
      <c r="J1150" s="12">
        <f>IFERROR(__xludf.DUMMYFUNCTION("""COMPUTED_VALUE"""),1.2)</f>
        <v>1.2</v>
      </c>
      <c r="K1150" s="12">
        <f>IFERROR(__xludf.DUMMYFUNCTION("""COMPUTED_VALUE"""),0.24)</f>
        <v>0.24</v>
      </c>
      <c r="L1150" s="14">
        <f>IFERROR(__xludf.DUMMYFUNCTION("""COMPUTED_VALUE"""),65.047)</f>
        <v>65.047</v>
      </c>
      <c r="M1150" s="14">
        <f>IFERROR(__xludf.DUMMYFUNCTION("""COMPUTED_VALUE"""),70.725)</f>
        <v>70.725</v>
      </c>
      <c r="N1150" s="14">
        <f>IFERROR(__xludf.DUMMYFUNCTION("""COMPUTED_VALUE"""),70.06)</f>
        <v>70.06</v>
      </c>
      <c r="O1150" s="14">
        <f>IFERROR(__xludf.DUMMYFUNCTION("""COMPUTED_VALUE"""),69.228)</f>
        <v>69.228</v>
      </c>
      <c r="P1150" s="14">
        <f>IFERROR(__xludf.DUMMYFUNCTION("""COMPUTED_VALUE"""),70.487)</f>
        <v>70.487</v>
      </c>
      <c r="Q1150" s="14">
        <f>IFERROR(__xludf.DUMMYFUNCTION("""COMPUTED_VALUE"""),69.109)</f>
        <v>69.109</v>
      </c>
      <c r="R1150" s="48">
        <f>IFERROR(__xludf.DUMMYFUNCTION("""COMPUTED_VALUE"""),8.14)</f>
        <v>8.14</v>
      </c>
      <c r="S1150" s="48">
        <f>IFERROR(__xludf.DUMMYFUNCTION("""COMPUTED_VALUE"""),8.37)</f>
        <v>8.37</v>
      </c>
      <c r="T1150" s="48">
        <f>IFERROR(__xludf.DUMMYFUNCTION("""COMPUTED_VALUE"""),9.57)</f>
        <v>9.57</v>
      </c>
      <c r="U1150" s="48">
        <f>IFERROR(__xludf.DUMMYFUNCTION("""COMPUTED_VALUE"""),9.79)</f>
        <v>9.79</v>
      </c>
      <c r="V1150" s="48">
        <f>IFERROR(__xludf.DUMMYFUNCTION("""COMPUTED_VALUE"""),9.66)</f>
        <v>9.66</v>
      </c>
      <c r="W1150" s="14">
        <f>IFERROR(__xludf.DUMMYFUNCTION("""COMPUTED_VALUE"""),9.106)</f>
        <v>9.106</v>
      </c>
      <c r="X1150" s="14">
        <f>IFERROR(__xludf.DUMMYFUNCTION("""COMPUTED_VALUE"""),19.7)</f>
        <v>19.7</v>
      </c>
      <c r="Y1150" s="14">
        <f>IFERROR(__xludf.DUMMYFUNCTION("""COMPUTED_VALUE"""),19.2)</f>
        <v>19.2</v>
      </c>
      <c r="Z1150" s="14">
        <f>IFERROR(__xludf.DUMMYFUNCTION("""COMPUTED_VALUE"""),19.7)</f>
        <v>19.7</v>
      </c>
      <c r="AA1150" s="14">
        <f>IFERROR(__xludf.DUMMYFUNCTION("""COMPUTED_VALUE"""),19.9)</f>
        <v>19.9</v>
      </c>
      <c r="AB1150" s="14">
        <f>IFERROR(__xludf.DUMMYFUNCTION("""COMPUTED_VALUE"""),20.1)</f>
        <v>20.1</v>
      </c>
      <c r="AC1150" s="14">
        <f>IFERROR(__xludf.DUMMYFUNCTION("""COMPUTED_VALUE"""),19.72)</f>
        <v>19.72</v>
      </c>
      <c r="AD1150" s="48">
        <f>IFERROR(__xludf.DUMMYFUNCTION("""COMPUTED_VALUE"""),669.0)</f>
        <v>669</v>
      </c>
      <c r="AE1150" s="48">
        <f>IFERROR(__xludf.DUMMYFUNCTION("""COMPUTED_VALUE"""),701.0)</f>
        <v>701</v>
      </c>
      <c r="AF1150" s="48">
        <f>IFERROR(__xludf.DUMMYFUNCTION("""COMPUTED_VALUE"""),766.0)</f>
        <v>766</v>
      </c>
      <c r="AG1150" s="48">
        <f>IFERROR(__xludf.DUMMYFUNCTION("""COMPUTED_VALUE"""),586.0)</f>
        <v>586</v>
      </c>
      <c r="AH1150" s="48">
        <f>IFERROR(__xludf.DUMMYFUNCTION("""COMPUTED_VALUE"""),619.0)</f>
        <v>619</v>
      </c>
      <c r="AI1150" s="14">
        <f>IFERROR(__xludf.DUMMYFUNCTION("""COMPUTED_VALUE"""),668.2)</f>
        <v>668.2</v>
      </c>
      <c r="AJ1150" s="14">
        <f>IFERROR(__xludf.DUMMYFUNCTION("""COMPUTED_VALUE"""),4.66)</f>
        <v>4.66</v>
      </c>
      <c r="AK1150" s="14">
        <f>IFERROR(__xludf.DUMMYFUNCTION("""COMPUTED_VALUE"""),3.92)</f>
        <v>3.92</v>
      </c>
      <c r="AL1150" s="14">
        <f>IFERROR(__xludf.DUMMYFUNCTION("""COMPUTED_VALUE"""),4.69)</f>
        <v>4.69</v>
      </c>
      <c r="AM1150" s="14">
        <f>IFERROR(__xludf.DUMMYFUNCTION("""COMPUTED_VALUE"""),5.11)</f>
        <v>5.11</v>
      </c>
      <c r="AN1150" s="14">
        <f>IFERROR(__xludf.DUMMYFUNCTION("""COMPUTED_VALUE"""),4.97)</f>
        <v>4.97</v>
      </c>
      <c r="AO1150" s="14">
        <f>IFERROR(__xludf.DUMMYFUNCTION("""COMPUTED_VALUE"""),4.67)</f>
        <v>4.67</v>
      </c>
      <c r="AP1150" s="14">
        <f>IFERROR(__xludf.DUMMYFUNCTION("""COMPUTED_VALUE"""),156.0)</f>
        <v>156</v>
      </c>
      <c r="AQ1150" s="14">
        <f>IFERROR(__xludf.DUMMYFUNCTION("""COMPUTED_VALUE"""),260.0)</f>
        <v>260</v>
      </c>
      <c r="AR1150" s="14">
        <f>IFERROR(__xludf.DUMMYFUNCTION("""COMPUTED_VALUE"""),1955.0)</f>
        <v>1955</v>
      </c>
      <c r="AS1150" s="14">
        <f>IFERROR(__xludf.DUMMYFUNCTION("""COMPUTED_VALUE"""),6.8)</f>
        <v>6.8</v>
      </c>
      <c r="AT1150" s="14">
        <f>IFERROR(__xludf.DUMMYFUNCTION("""COMPUTED_VALUE"""),2.94)</f>
        <v>2.94</v>
      </c>
      <c r="AU1150" s="14">
        <f>IFERROR(__xludf.DUMMYFUNCTION("""COMPUTED_VALUE"""),1.017E8)</f>
        <v>101700000</v>
      </c>
      <c r="AV1150" s="14">
        <f>IFERROR(__xludf.DUMMYFUNCTION("""COMPUTED_VALUE"""),2.14)</f>
        <v>2.14</v>
      </c>
      <c r="AW1150" s="14">
        <f>IFERROR(__xludf.DUMMYFUNCTION("""COMPUTED_VALUE"""),25.8)</f>
        <v>25.8</v>
      </c>
      <c r="AX1150" s="14">
        <f>IFERROR(__xludf.DUMMYFUNCTION("""COMPUTED_VALUE"""),7.71E7)</f>
        <v>77100000</v>
      </c>
      <c r="AY1150" s="14">
        <f>IFERROR(__xludf.DUMMYFUNCTION("""COMPUTED_VALUE"""),0.2)</f>
        <v>0.2</v>
      </c>
      <c r="AZ1150" s="14">
        <f>IFERROR(__xludf.DUMMYFUNCTION("""COMPUTED_VALUE"""),0.007)</f>
        <v>0.007</v>
      </c>
      <c r="BA1150" s="14">
        <f t="shared" si="1"/>
        <v>26.007</v>
      </c>
    </row>
    <row r="1151" ht="14.25" customHeight="1">
      <c r="A1151" s="10" t="str">
        <f>IFERROR(__xludf.DUMMYFUNCTION("""COMPUTED_VALUE"""),"090924DU01")</f>
        <v>090924DU01</v>
      </c>
      <c r="B1151" s="12" t="str">
        <f>IFERROR(__xludf.DUMMYFUNCTION("""COMPUTED_VALUE"""),"CON-Bella Suiza")</f>
        <v>CON-Bella Suiza</v>
      </c>
      <c r="C1151" s="12"/>
      <c r="D1151" s="12"/>
      <c r="E1151" s="44">
        <f>IFERROR(__xludf.DUMMYFUNCTION("""COMPUTED_VALUE"""),45544.0)</f>
        <v>45544</v>
      </c>
      <c r="F1151" s="12" t="str">
        <f>IFERROR(__xludf.DUMMYFUNCTION("""COMPUTED_VALUE"""),"TIPO I")</f>
        <v>TIPO I</v>
      </c>
      <c r="G1151" s="12" t="str">
        <f>IFERROR(__xludf.DUMMYFUNCTION("""COMPUTED_VALUE"""),"Monitoreo realizado en Canal en concreto lodoso y rocoso, agua del cauce se observa color y se percibe olor.
Altitud: 2560 msnm")</f>
        <v>Monitoreo realizado en Canal en concreto lodoso y rocoso, agua del cauce se observa color y se percibe olor.
Altitud: 2560 msnm</v>
      </c>
      <c r="H1151" s="45">
        <f>IFERROR(__xludf.DUMMYFUNCTION("""COMPUTED_VALUE"""),0.4166666666678793)</f>
        <v>0.4166666667</v>
      </c>
      <c r="I1151" s="45">
        <f>IFERROR(__xludf.DUMMYFUNCTION("""COMPUTED_VALUE"""),0.5)</f>
        <v>0.5</v>
      </c>
      <c r="J1151" s="12">
        <f>IFERROR(__xludf.DUMMYFUNCTION("""COMPUTED_VALUE"""),1.0)</f>
        <v>1</v>
      </c>
      <c r="K1151" s="12">
        <f>IFERROR(__xludf.DUMMYFUNCTION("""COMPUTED_VALUE"""),0.08)</f>
        <v>0.08</v>
      </c>
      <c r="L1151" s="14">
        <f>IFERROR(__xludf.DUMMYFUNCTION("""COMPUTED_VALUE"""),14.361)</f>
        <v>14.361</v>
      </c>
      <c r="M1151" s="14">
        <f>IFERROR(__xludf.DUMMYFUNCTION("""COMPUTED_VALUE"""),14.597)</f>
        <v>14.597</v>
      </c>
      <c r="N1151" s="14">
        <f>IFERROR(__xludf.DUMMYFUNCTION("""COMPUTED_VALUE"""),14.78)</f>
        <v>14.78</v>
      </c>
      <c r="O1151" s="14">
        <f>IFERROR(__xludf.DUMMYFUNCTION("""COMPUTED_VALUE"""),14.517)</f>
        <v>14.517</v>
      </c>
      <c r="P1151" s="14">
        <f>IFERROR(__xludf.DUMMYFUNCTION("""COMPUTED_VALUE"""),14.559)</f>
        <v>14.559</v>
      </c>
      <c r="Q1151" s="14">
        <f>IFERROR(__xludf.DUMMYFUNCTION("""COMPUTED_VALUE"""),14.563)</f>
        <v>14.563</v>
      </c>
      <c r="R1151" s="48">
        <f>IFERROR(__xludf.DUMMYFUNCTION("""COMPUTED_VALUE"""),7.93)</f>
        <v>7.93</v>
      </c>
      <c r="S1151" s="48">
        <f>IFERROR(__xludf.DUMMYFUNCTION("""COMPUTED_VALUE"""),7.84)</f>
        <v>7.84</v>
      </c>
      <c r="T1151" s="48">
        <f>IFERROR(__xludf.DUMMYFUNCTION("""COMPUTED_VALUE"""),7.61)</f>
        <v>7.61</v>
      </c>
      <c r="U1151" s="48">
        <f>IFERROR(__xludf.DUMMYFUNCTION("""COMPUTED_VALUE"""),7.8)</f>
        <v>7.8</v>
      </c>
      <c r="V1151" s="48">
        <f>IFERROR(__xludf.DUMMYFUNCTION("""COMPUTED_VALUE"""),7.95)</f>
        <v>7.95</v>
      </c>
      <c r="W1151" s="14">
        <f>IFERROR(__xludf.DUMMYFUNCTION("""COMPUTED_VALUE"""),7.8260000000000005)</f>
        <v>7.826</v>
      </c>
      <c r="X1151" s="14">
        <f>IFERROR(__xludf.DUMMYFUNCTION("""COMPUTED_VALUE"""),16.8)</f>
        <v>16.8</v>
      </c>
      <c r="Y1151" s="14">
        <f>IFERROR(__xludf.DUMMYFUNCTION("""COMPUTED_VALUE"""),17.5)</f>
        <v>17.5</v>
      </c>
      <c r="Z1151" s="14">
        <f>IFERROR(__xludf.DUMMYFUNCTION("""COMPUTED_VALUE"""),17.6)</f>
        <v>17.6</v>
      </c>
      <c r="AA1151" s="14">
        <f>IFERROR(__xludf.DUMMYFUNCTION("""COMPUTED_VALUE"""),18.0)</f>
        <v>18</v>
      </c>
      <c r="AB1151" s="14">
        <f>IFERROR(__xludf.DUMMYFUNCTION("""COMPUTED_VALUE"""),18.5)</f>
        <v>18.5</v>
      </c>
      <c r="AC1151" s="14">
        <f>IFERROR(__xludf.DUMMYFUNCTION("""COMPUTED_VALUE"""),17.68)</f>
        <v>17.68</v>
      </c>
      <c r="AD1151" s="48">
        <f>IFERROR(__xludf.DUMMYFUNCTION("""COMPUTED_VALUE"""),409.0)</f>
        <v>409</v>
      </c>
      <c r="AE1151" s="48">
        <f>IFERROR(__xludf.DUMMYFUNCTION("""COMPUTED_VALUE"""),412.0)</f>
        <v>412</v>
      </c>
      <c r="AF1151" s="48">
        <f>IFERROR(__xludf.DUMMYFUNCTION("""COMPUTED_VALUE"""),375.0)</f>
        <v>375</v>
      </c>
      <c r="AG1151" s="48">
        <f>IFERROR(__xludf.DUMMYFUNCTION("""COMPUTED_VALUE"""),368.0)</f>
        <v>368</v>
      </c>
      <c r="AH1151" s="48">
        <f>IFERROR(__xludf.DUMMYFUNCTION("""COMPUTED_VALUE"""),461.0)</f>
        <v>461</v>
      </c>
      <c r="AI1151" s="14">
        <f>IFERROR(__xludf.DUMMYFUNCTION("""COMPUTED_VALUE"""),405.0)</f>
        <v>405</v>
      </c>
      <c r="AJ1151" s="14">
        <f>IFERROR(__xludf.DUMMYFUNCTION("""COMPUTED_VALUE"""),0.84)</f>
        <v>0.84</v>
      </c>
      <c r="AK1151" s="14">
        <f>IFERROR(__xludf.DUMMYFUNCTION("""COMPUTED_VALUE"""),1.45)</f>
        <v>1.45</v>
      </c>
      <c r="AL1151" s="14">
        <f>IFERROR(__xludf.DUMMYFUNCTION("""COMPUTED_VALUE"""),1.08)</f>
        <v>1.08</v>
      </c>
      <c r="AM1151" s="14">
        <f>IFERROR(__xludf.DUMMYFUNCTION("""COMPUTED_VALUE"""),0.97)</f>
        <v>0.97</v>
      </c>
      <c r="AN1151" s="14">
        <f>IFERROR(__xludf.DUMMYFUNCTION("""COMPUTED_VALUE"""),1.21)</f>
        <v>1.21</v>
      </c>
      <c r="AO1151" s="14">
        <f>IFERROR(__xludf.DUMMYFUNCTION("""COMPUTED_VALUE"""),1.1099999999999999)</f>
        <v>1.11</v>
      </c>
      <c r="AP1151" s="14">
        <f>IFERROR(__xludf.DUMMYFUNCTION("""COMPUTED_VALUE"""),52.0)</f>
        <v>52</v>
      </c>
      <c r="AQ1151" s="14">
        <f>IFERROR(__xludf.DUMMYFUNCTION("""COMPUTED_VALUE"""),116.0)</f>
        <v>116</v>
      </c>
      <c r="AR1151" s="14">
        <f>IFERROR(__xludf.DUMMYFUNCTION("""COMPUTED_VALUE"""),31.0)</f>
        <v>31</v>
      </c>
      <c r="AS1151" s="14">
        <f>IFERROR(__xludf.DUMMYFUNCTION("""COMPUTED_VALUE"""),10.5)</f>
        <v>10.5</v>
      </c>
      <c r="AT1151" s="14">
        <f>IFERROR(__xludf.DUMMYFUNCTION("""COMPUTED_VALUE"""),2.02)</f>
        <v>2.02</v>
      </c>
      <c r="AU1151" s="14">
        <f>IFERROR(__xludf.DUMMYFUNCTION("""COMPUTED_VALUE"""),1.396E8)</f>
        <v>139600000</v>
      </c>
      <c r="AV1151" s="14">
        <f>IFERROR(__xludf.DUMMYFUNCTION("""COMPUTED_VALUE"""),2.5)</f>
        <v>2.5</v>
      </c>
      <c r="AW1151" s="14">
        <f>IFERROR(__xludf.DUMMYFUNCTION("""COMPUTED_VALUE"""),27.4)</f>
        <v>27.4</v>
      </c>
      <c r="AX1151" s="14">
        <f>IFERROR(__xludf.DUMMYFUNCTION("""COMPUTED_VALUE"""),1.187E8)</f>
        <v>118700000</v>
      </c>
      <c r="AY1151" s="14">
        <f>IFERROR(__xludf.DUMMYFUNCTION("""COMPUTED_VALUE"""),0.2)</f>
        <v>0.2</v>
      </c>
      <c r="AZ1151" s="14">
        <f>IFERROR(__xludf.DUMMYFUNCTION("""COMPUTED_VALUE"""),0.007)</f>
        <v>0.007</v>
      </c>
      <c r="BA1151" s="14">
        <f t="shared" si="1"/>
        <v>27.607</v>
      </c>
    </row>
    <row r="1152" ht="14.25" customHeight="1">
      <c r="A1152" s="10" t="str">
        <f>IFERROR(__xludf.DUMMYFUNCTION("""COMPUTED_VALUE"""),"090924DU03")</f>
        <v>090924DU03</v>
      </c>
      <c r="B1152" s="12" t="str">
        <f>IFERROR(__xludf.DUMMYFUNCTION("""COMPUTED_VALUE"""),"CON-Callejas")</f>
        <v>CON-Callejas</v>
      </c>
      <c r="C1152" s="12"/>
      <c r="D1152" s="12"/>
      <c r="E1152" s="44">
        <f>IFERROR(__xludf.DUMMYFUNCTION("""COMPUTED_VALUE"""),45544.0)</f>
        <v>45544</v>
      </c>
      <c r="F1152" s="12" t="str">
        <f>IFERROR(__xludf.DUMMYFUNCTION("""COMPUTED_VALUE"""),"TIPO I")</f>
        <v>TIPO I</v>
      </c>
      <c r="G1152" s="12" t="str">
        <f>IFERROR(__xludf.DUMMYFUNCTION("""COMPUTED_VALUE"""),"Canal en concreto rocoso y lodoso , agua del cauce se observa color y se percibe olor.
Altitud: 2557 msnm")</f>
        <v>Canal en concreto rocoso y lodoso , agua del cauce se observa color y se percibe olor.
Altitud: 2557 msnm</v>
      </c>
      <c r="H1152" s="45">
        <f>IFERROR(__xludf.DUMMYFUNCTION("""COMPUTED_VALUE"""),0.6666666666678793)</f>
        <v>0.6666666667</v>
      </c>
      <c r="I1152" s="45">
        <f>IFERROR(__xludf.DUMMYFUNCTION("""COMPUTED_VALUE"""),0.75)</f>
        <v>0.75</v>
      </c>
      <c r="J1152" s="12">
        <f>IFERROR(__xludf.DUMMYFUNCTION("""COMPUTED_VALUE"""),4.8)</f>
        <v>4.8</v>
      </c>
      <c r="K1152" s="12">
        <f>IFERROR(__xludf.DUMMYFUNCTION("""COMPUTED_VALUE"""),0.08)</f>
        <v>0.08</v>
      </c>
      <c r="L1152" s="14">
        <f>IFERROR(__xludf.DUMMYFUNCTION("""COMPUTED_VALUE"""),38.492)</f>
        <v>38.492</v>
      </c>
      <c r="M1152" s="14">
        <f>IFERROR(__xludf.DUMMYFUNCTION("""COMPUTED_VALUE"""),37.913)</f>
        <v>37.913</v>
      </c>
      <c r="N1152" s="14">
        <f>IFERROR(__xludf.DUMMYFUNCTION("""COMPUTED_VALUE"""),38.881)</f>
        <v>38.881</v>
      </c>
      <c r="O1152" s="14">
        <f>IFERROR(__xludf.DUMMYFUNCTION("""COMPUTED_VALUE"""),39.323)</f>
        <v>39.323</v>
      </c>
      <c r="P1152" s="14">
        <f>IFERROR(__xludf.DUMMYFUNCTION("""COMPUTED_VALUE"""),38.453)</f>
        <v>38.453</v>
      </c>
      <c r="Q1152" s="14">
        <f>IFERROR(__xludf.DUMMYFUNCTION("""COMPUTED_VALUE"""),38.612)</f>
        <v>38.612</v>
      </c>
      <c r="R1152" s="48">
        <f>IFERROR(__xludf.DUMMYFUNCTION("""COMPUTED_VALUE"""),8.71)</f>
        <v>8.71</v>
      </c>
      <c r="S1152" s="48">
        <f>IFERROR(__xludf.DUMMYFUNCTION("""COMPUTED_VALUE"""),8.64)</f>
        <v>8.64</v>
      </c>
      <c r="T1152" s="48">
        <f>IFERROR(__xludf.DUMMYFUNCTION("""COMPUTED_VALUE"""),8.52)</f>
        <v>8.52</v>
      </c>
      <c r="U1152" s="48">
        <f>IFERROR(__xludf.DUMMYFUNCTION("""COMPUTED_VALUE"""),8.6)</f>
        <v>8.6</v>
      </c>
      <c r="V1152" s="48">
        <f>IFERROR(__xludf.DUMMYFUNCTION("""COMPUTED_VALUE"""),8.35)</f>
        <v>8.35</v>
      </c>
      <c r="W1152" s="14">
        <f>IFERROR(__xludf.DUMMYFUNCTION("""COMPUTED_VALUE"""),8.564)</f>
        <v>8.564</v>
      </c>
      <c r="X1152" s="14">
        <f>IFERROR(__xludf.DUMMYFUNCTION("""COMPUTED_VALUE"""),22.6)</f>
        <v>22.6</v>
      </c>
      <c r="Y1152" s="14">
        <f>IFERROR(__xludf.DUMMYFUNCTION("""COMPUTED_VALUE"""),22.7)</f>
        <v>22.7</v>
      </c>
      <c r="Z1152" s="14">
        <f>IFERROR(__xludf.DUMMYFUNCTION("""COMPUTED_VALUE"""),21.5)</f>
        <v>21.5</v>
      </c>
      <c r="AA1152" s="14">
        <f>IFERROR(__xludf.DUMMYFUNCTION("""COMPUTED_VALUE"""),20.8)</f>
        <v>20.8</v>
      </c>
      <c r="AB1152" s="14">
        <f>IFERROR(__xludf.DUMMYFUNCTION("""COMPUTED_VALUE"""),20.6)</f>
        <v>20.6</v>
      </c>
      <c r="AC1152" s="14">
        <f>IFERROR(__xludf.DUMMYFUNCTION("""COMPUTED_VALUE"""),21.639999999999997)</f>
        <v>21.64</v>
      </c>
      <c r="AD1152" s="48">
        <f>IFERROR(__xludf.DUMMYFUNCTION("""COMPUTED_VALUE"""),656.0)</f>
        <v>656</v>
      </c>
      <c r="AE1152" s="48">
        <f>IFERROR(__xludf.DUMMYFUNCTION("""COMPUTED_VALUE"""),610.0)</f>
        <v>610</v>
      </c>
      <c r="AF1152" s="48">
        <f>IFERROR(__xludf.DUMMYFUNCTION("""COMPUTED_VALUE"""),613.0)</f>
        <v>613</v>
      </c>
      <c r="AG1152" s="48">
        <f>IFERROR(__xludf.DUMMYFUNCTION("""COMPUTED_VALUE"""),642.0)</f>
        <v>642</v>
      </c>
      <c r="AH1152" s="48">
        <f>IFERROR(__xludf.DUMMYFUNCTION("""COMPUTED_VALUE"""),650.0)</f>
        <v>650</v>
      </c>
      <c r="AI1152" s="14">
        <f>IFERROR(__xludf.DUMMYFUNCTION("""COMPUTED_VALUE"""),634.2)</f>
        <v>634.2</v>
      </c>
      <c r="AJ1152" s="14">
        <f>IFERROR(__xludf.DUMMYFUNCTION("""COMPUTED_VALUE"""),0.82)</f>
        <v>0.82</v>
      </c>
      <c r="AK1152" s="14">
        <f>IFERROR(__xludf.DUMMYFUNCTION("""COMPUTED_VALUE"""),1.07)</f>
        <v>1.07</v>
      </c>
      <c r="AL1152" s="14">
        <f>IFERROR(__xludf.DUMMYFUNCTION("""COMPUTED_VALUE"""),1.33)</f>
        <v>1.33</v>
      </c>
      <c r="AM1152" s="14">
        <f>IFERROR(__xludf.DUMMYFUNCTION("""COMPUTED_VALUE"""),1.79)</f>
        <v>1.79</v>
      </c>
      <c r="AN1152" s="14">
        <f>IFERROR(__xludf.DUMMYFUNCTION("""COMPUTED_VALUE"""),0.68)</f>
        <v>0.68</v>
      </c>
      <c r="AO1152" s="14">
        <f>IFERROR(__xludf.DUMMYFUNCTION("""COMPUTED_VALUE"""),1.138)</f>
        <v>1.138</v>
      </c>
      <c r="AP1152" s="14">
        <f>IFERROR(__xludf.DUMMYFUNCTION("""COMPUTED_VALUE"""),130.0)</f>
        <v>130</v>
      </c>
      <c r="AQ1152" s="14">
        <f>IFERROR(__xludf.DUMMYFUNCTION("""COMPUTED_VALUE"""),260.0)</f>
        <v>260</v>
      </c>
      <c r="AR1152" s="14">
        <f>IFERROR(__xludf.DUMMYFUNCTION("""COMPUTED_VALUE"""),67.0)</f>
        <v>67</v>
      </c>
      <c r="AS1152" s="14">
        <f>IFERROR(__xludf.DUMMYFUNCTION("""COMPUTED_VALUE"""),23.0)</f>
        <v>23</v>
      </c>
      <c r="AT1152" s="14">
        <f>IFERROR(__xludf.DUMMYFUNCTION("""COMPUTED_VALUE"""),3.06)</f>
        <v>3.06</v>
      </c>
      <c r="AU1152" s="14">
        <f>IFERROR(__xludf.DUMMYFUNCTION("""COMPUTED_VALUE"""),1.191E8)</f>
        <v>119100000</v>
      </c>
      <c r="AV1152" s="14">
        <f>IFERROR(__xludf.DUMMYFUNCTION("""COMPUTED_VALUE"""),3.95)</f>
        <v>3.95</v>
      </c>
      <c r="AW1152" s="14">
        <f>IFERROR(__xludf.DUMMYFUNCTION("""COMPUTED_VALUE"""),25.5)</f>
        <v>25.5</v>
      </c>
      <c r="AX1152" s="14">
        <f>IFERROR(__xludf.DUMMYFUNCTION("""COMPUTED_VALUE"""),9320000.0)</f>
        <v>9320000</v>
      </c>
      <c r="AY1152" s="14">
        <f>IFERROR(__xludf.DUMMYFUNCTION("""COMPUTED_VALUE"""),0.3)</f>
        <v>0.3</v>
      </c>
      <c r="AZ1152" s="14">
        <f>IFERROR(__xludf.DUMMYFUNCTION("""COMPUTED_VALUE"""),0.007)</f>
        <v>0.007</v>
      </c>
      <c r="BA1152" s="14">
        <f t="shared" si="1"/>
        <v>25.807</v>
      </c>
    </row>
    <row r="1153" ht="14.25" customHeight="1">
      <c r="A1153" s="10" t="str">
        <f>IFERROR(__xludf.DUMMYFUNCTION("""COMPUTED_VALUE"""),"090924FE01")</f>
        <v>090924FE01</v>
      </c>
      <c r="B1153" s="12" t="str">
        <f>IFERROR(__xludf.DUMMYFUNCTION("""COMPUTED_VALUE"""),"QTR-Quiba")</f>
        <v>QTR-Quiba</v>
      </c>
      <c r="C1153" s="12"/>
      <c r="D1153" s="12"/>
      <c r="E1153" s="44">
        <f>IFERROR(__xludf.DUMMYFUNCTION("""COMPUTED_VALUE"""),45544.0)</f>
        <v>45544</v>
      </c>
      <c r="F1153" s="12" t="str">
        <f>IFERROR(__xludf.DUMMYFUNCTION("""COMPUTED_VALUE"""),"TIPO I")</f>
        <v>TIPO I</v>
      </c>
      <c r="G1153" s="12" t="str">
        <f>IFERROR(__xludf.DUMMYFUNCTION("""COMPUTED_VALUE"""),"Durante el desarrollo del monitoreo se observa color y se percibe olor. Se evidencian residuos solidos en el lecho y márgenes del cuerpo de agua. 
Altitud. 2635 msnm")</f>
        <v>Durante el desarrollo del monitoreo se observa color y se percibe olor. Se evidencian residuos solidos en el lecho y márgenes del cuerpo de agua. 
Altitud. 2635 msnm</v>
      </c>
      <c r="H1153" s="45">
        <f>IFERROR(__xludf.DUMMYFUNCTION("""COMPUTED_VALUE"""),0.3333333333321207)</f>
        <v>0.3333333333</v>
      </c>
      <c r="I1153" s="45">
        <f>IFERROR(__xludf.DUMMYFUNCTION("""COMPUTED_VALUE"""),0.4166666666678793)</f>
        <v>0.4166666667</v>
      </c>
      <c r="J1153" s="12">
        <f>IFERROR(__xludf.DUMMYFUNCTION("""COMPUTED_VALUE"""),0.9)</f>
        <v>0.9</v>
      </c>
      <c r="K1153" s="12">
        <f>IFERROR(__xludf.DUMMYFUNCTION("""COMPUTED_VALUE"""),0.18)</f>
        <v>0.18</v>
      </c>
      <c r="L1153" s="14">
        <f>IFERROR(__xludf.DUMMYFUNCTION("""COMPUTED_VALUE"""),21.317)</f>
        <v>21.317</v>
      </c>
      <c r="M1153" s="14">
        <f>IFERROR(__xludf.DUMMYFUNCTION("""COMPUTED_VALUE"""),22.987)</f>
        <v>22.987</v>
      </c>
      <c r="N1153" s="14">
        <f>IFERROR(__xludf.DUMMYFUNCTION("""COMPUTED_VALUE"""),22.083)</f>
        <v>22.083</v>
      </c>
      <c r="O1153" s="14">
        <f>IFERROR(__xludf.DUMMYFUNCTION("""COMPUTED_VALUE"""),21.443)</f>
        <v>21.443</v>
      </c>
      <c r="P1153" s="14">
        <f>IFERROR(__xludf.DUMMYFUNCTION("""COMPUTED_VALUE"""),22.19)</f>
        <v>22.19</v>
      </c>
      <c r="Q1153" s="14">
        <f>IFERROR(__xludf.DUMMYFUNCTION("""COMPUTED_VALUE"""),22.004)</f>
        <v>22.004</v>
      </c>
      <c r="R1153" s="48">
        <f>IFERROR(__xludf.DUMMYFUNCTION("""COMPUTED_VALUE"""),7.8)</f>
        <v>7.8</v>
      </c>
      <c r="S1153" s="48">
        <f>IFERROR(__xludf.DUMMYFUNCTION("""COMPUTED_VALUE"""),7.73)</f>
        <v>7.73</v>
      </c>
      <c r="T1153" s="48">
        <f>IFERROR(__xludf.DUMMYFUNCTION("""COMPUTED_VALUE"""),7.75)</f>
        <v>7.75</v>
      </c>
      <c r="U1153" s="48">
        <f>IFERROR(__xludf.DUMMYFUNCTION("""COMPUTED_VALUE"""),7.81)</f>
        <v>7.81</v>
      </c>
      <c r="V1153" s="48">
        <f>IFERROR(__xludf.DUMMYFUNCTION("""COMPUTED_VALUE"""),7.77)</f>
        <v>7.77</v>
      </c>
      <c r="W1153" s="14">
        <f>IFERROR(__xludf.DUMMYFUNCTION("""COMPUTED_VALUE"""),7.772)</f>
        <v>7.772</v>
      </c>
      <c r="X1153" s="14">
        <f>IFERROR(__xludf.DUMMYFUNCTION("""COMPUTED_VALUE"""),14.5)</f>
        <v>14.5</v>
      </c>
      <c r="Y1153" s="14">
        <f>IFERROR(__xludf.DUMMYFUNCTION("""COMPUTED_VALUE"""),14.4)</f>
        <v>14.4</v>
      </c>
      <c r="Z1153" s="14">
        <f>IFERROR(__xludf.DUMMYFUNCTION("""COMPUTED_VALUE"""),14.7)</f>
        <v>14.7</v>
      </c>
      <c r="AA1153" s="14">
        <f>IFERROR(__xludf.DUMMYFUNCTION("""COMPUTED_VALUE"""),15.0)</f>
        <v>15</v>
      </c>
      <c r="AB1153" s="14">
        <f>IFERROR(__xludf.DUMMYFUNCTION("""COMPUTED_VALUE"""),15.2)</f>
        <v>15.2</v>
      </c>
      <c r="AC1153" s="14">
        <f>IFERROR(__xludf.DUMMYFUNCTION("""COMPUTED_VALUE"""),14.76)</f>
        <v>14.76</v>
      </c>
      <c r="AD1153" s="48">
        <f>IFERROR(__xludf.DUMMYFUNCTION("""COMPUTED_VALUE"""),581.0)</f>
        <v>581</v>
      </c>
      <c r="AE1153" s="48">
        <f>IFERROR(__xludf.DUMMYFUNCTION("""COMPUTED_VALUE"""),602.0)</f>
        <v>602</v>
      </c>
      <c r="AF1153" s="48">
        <f>IFERROR(__xludf.DUMMYFUNCTION("""COMPUTED_VALUE"""),657.0)</f>
        <v>657</v>
      </c>
      <c r="AG1153" s="48">
        <f>IFERROR(__xludf.DUMMYFUNCTION("""COMPUTED_VALUE"""),676.0)</f>
        <v>676</v>
      </c>
      <c r="AH1153" s="48">
        <f>IFERROR(__xludf.DUMMYFUNCTION("""COMPUTED_VALUE"""),684.0)</f>
        <v>684</v>
      </c>
      <c r="AI1153" s="14">
        <f>IFERROR(__xludf.DUMMYFUNCTION("""COMPUTED_VALUE"""),640.0)</f>
        <v>640</v>
      </c>
      <c r="AJ1153" s="14">
        <f>IFERROR(__xludf.DUMMYFUNCTION("""COMPUTED_VALUE"""),5.48)</f>
        <v>5.48</v>
      </c>
      <c r="AK1153" s="14">
        <f>IFERROR(__xludf.DUMMYFUNCTION("""COMPUTED_VALUE"""),4.9)</f>
        <v>4.9</v>
      </c>
      <c r="AL1153" s="14">
        <f>IFERROR(__xludf.DUMMYFUNCTION("""COMPUTED_VALUE"""),4.43)</f>
        <v>4.43</v>
      </c>
      <c r="AM1153" s="14">
        <f>IFERROR(__xludf.DUMMYFUNCTION("""COMPUTED_VALUE"""),4.35)</f>
        <v>4.35</v>
      </c>
      <c r="AN1153" s="14">
        <f>IFERROR(__xludf.DUMMYFUNCTION("""COMPUTED_VALUE"""),4.24)</f>
        <v>4.24</v>
      </c>
      <c r="AO1153" s="14">
        <f>IFERROR(__xludf.DUMMYFUNCTION("""COMPUTED_VALUE"""),4.68)</f>
        <v>4.68</v>
      </c>
      <c r="AP1153" s="14">
        <f>IFERROR(__xludf.DUMMYFUNCTION("""COMPUTED_VALUE"""),71.0)</f>
        <v>71</v>
      </c>
      <c r="AQ1153" s="14">
        <f>IFERROR(__xludf.DUMMYFUNCTION("""COMPUTED_VALUE"""),120.0)</f>
        <v>120</v>
      </c>
      <c r="AR1153" s="14">
        <f>IFERROR(__xludf.DUMMYFUNCTION("""COMPUTED_VALUE"""),177.0)</f>
        <v>177</v>
      </c>
      <c r="AS1153" s="14">
        <f>IFERROR(__xludf.DUMMYFUNCTION("""COMPUTED_VALUE"""),16.6)</f>
        <v>16.6</v>
      </c>
      <c r="AT1153" s="14">
        <f>IFERROR(__xludf.DUMMYFUNCTION("""COMPUTED_VALUE"""),1.72)</f>
        <v>1.72</v>
      </c>
      <c r="AU1153" s="14">
        <f>IFERROR(__xludf.DUMMYFUNCTION("""COMPUTED_VALUE"""),8.89E7)</f>
        <v>88900000</v>
      </c>
      <c r="AV1153" s="14">
        <f>IFERROR(__xludf.DUMMYFUNCTION("""COMPUTED_VALUE"""),3.13)</f>
        <v>3.13</v>
      </c>
      <c r="AW1153" s="14">
        <f>IFERROR(__xludf.DUMMYFUNCTION("""COMPUTED_VALUE"""),36.7)</f>
        <v>36.7</v>
      </c>
      <c r="AX1153" s="14">
        <f>IFERROR(__xludf.DUMMYFUNCTION("""COMPUTED_VALUE"""),612000.0)</f>
        <v>612000</v>
      </c>
      <c r="AY1153" s="14">
        <f>IFERROR(__xludf.DUMMYFUNCTION("""COMPUTED_VALUE"""),0.4)</f>
        <v>0.4</v>
      </c>
      <c r="AZ1153" s="14">
        <f>IFERROR(__xludf.DUMMYFUNCTION("""COMPUTED_VALUE"""),0.007)</f>
        <v>0.007</v>
      </c>
      <c r="BA1153" s="14">
        <f t="shared" si="1"/>
        <v>37.107</v>
      </c>
    </row>
    <row r="1154" ht="14.25" customHeight="1">
      <c r="A1154" s="10" t="str">
        <f>IFERROR(__xludf.DUMMYFUNCTION("""COMPUTED_VALUE"""),"090924FE03")</f>
        <v>090924FE03</v>
      </c>
      <c r="B1154" s="12" t="str">
        <f>IFERROR(__xludf.DUMMYFUNCTION("""COMPUTED_VALUE"""),"QTR-Mochuelo Bajo")</f>
        <v>QTR-Mochuelo Bajo</v>
      </c>
      <c r="C1154" s="12"/>
      <c r="D1154" s="12"/>
      <c r="E1154" s="44">
        <f>IFERROR(__xludf.DUMMYFUNCTION("""COMPUTED_VALUE"""),45544.0)</f>
        <v>45544</v>
      </c>
      <c r="F1154" s="12" t="str">
        <f>IFERROR(__xludf.DUMMYFUNCTION("""COMPUTED_VALUE"""),"TIPO I")</f>
        <v>TIPO I</v>
      </c>
      <c r="G1154" s="12" t="str">
        <f>IFERROR(__xludf.DUMMYFUNCTION("""COMPUTED_VALUE"""),"Canal natural con lecho rocoso lodoso,durante el monitoreo se observa color y se percibe olor, se evidencia residuos sólidos en las márgenes del cuerpo de agua.
Altitud. 2657 msnm ")</f>
        <v>Canal natural con lecho rocoso lodoso,durante el monitoreo se observa color y se percibe olor, se evidencia residuos sólidos en las márgenes del cuerpo de agua.
Altitud. 2657 msnm </v>
      </c>
      <c r="H1154" s="45">
        <f>IFERROR(__xludf.DUMMYFUNCTION("""COMPUTED_VALUE"""),0.6666666666678793)</f>
        <v>0.6666666667</v>
      </c>
      <c r="I1154" s="45">
        <f>IFERROR(__xludf.DUMMYFUNCTION("""COMPUTED_VALUE"""),0.75)</f>
        <v>0.75</v>
      </c>
      <c r="J1154" s="12">
        <f>IFERROR(__xludf.DUMMYFUNCTION("""COMPUTED_VALUE"""),1.17)</f>
        <v>1.17</v>
      </c>
      <c r="K1154" s="12">
        <f>IFERROR(__xludf.DUMMYFUNCTION("""COMPUTED_VALUE"""),0.27)</f>
        <v>0.27</v>
      </c>
      <c r="L1154" s="14">
        <f>IFERROR(__xludf.DUMMYFUNCTION("""COMPUTED_VALUE"""),13.984)</f>
        <v>13.984</v>
      </c>
      <c r="M1154" s="14">
        <f>IFERROR(__xludf.DUMMYFUNCTION("""COMPUTED_VALUE"""),15.2)</f>
        <v>15.2</v>
      </c>
      <c r="N1154" s="14">
        <f>IFERROR(__xludf.DUMMYFUNCTION("""COMPUTED_VALUE"""),14.163)</f>
        <v>14.163</v>
      </c>
      <c r="O1154" s="14">
        <f>IFERROR(__xludf.DUMMYFUNCTION("""COMPUTED_VALUE"""),13.81)</f>
        <v>13.81</v>
      </c>
      <c r="P1154" s="14">
        <f>IFERROR(__xludf.DUMMYFUNCTION("""COMPUTED_VALUE"""),15.003)</f>
        <v>15.003</v>
      </c>
      <c r="Q1154" s="14">
        <f>IFERROR(__xludf.DUMMYFUNCTION("""COMPUTED_VALUE"""),14.432)</f>
        <v>14.432</v>
      </c>
      <c r="R1154" s="48">
        <f>IFERROR(__xludf.DUMMYFUNCTION("""COMPUTED_VALUE"""),7.55)</f>
        <v>7.55</v>
      </c>
      <c r="S1154" s="48">
        <f>IFERROR(__xludf.DUMMYFUNCTION("""COMPUTED_VALUE"""),7.49)</f>
        <v>7.49</v>
      </c>
      <c r="T1154" s="48">
        <f>IFERROR(__xludf.DUMMYFUNCTION("""COMPUTED_VALUE"""),7.43)</f>
        <v>7.43</v>
      </c>
      <c r="U1154" s="48">
        <f>IFERROR(__xludf.DUMMYFUNCTION("""COMPUTED_VALUE"""),7.36)</f>
        <v>7.36</v>
      </c>
      <c r="V1154" s="48">
        <f>IFERROR(__xludf.DUMMYFUNCTION("""COMPUTED_VALUE"""),7.41)</f>
        <v>7.41</v>
      </c>
      <c r="W1154" s="14">
        <f>IFERROR(__xludf.DUMMYFUNCTION("""COMPUTED_VALUE"""),7.447999999999999)</f>
        <v>7.448</v>
      </c>
      <c r="X1154" s="14">
        <f>IFERROR(__xludf.DUMMYFUNCTION("""COMPUTED_VALUE"""),17.6)</f>
        <v>17.6</v>
      </c>
      <c r="Y1154" s="14">
        <f>IFERROR(__xludf.DUMMYFUNCTION("""COMPUTED_VALUE"""),17.2)</f>
        <v>17.2</v>
      </c>
      <c r="Z1154" s="14">
        <f>IFERROR(__xludf.DUMMYFUNCTION("""COMPUTED_VALUE"""),16.7)</f>
        <v>16.7</v>
      </c>
      <c r="AA1154" s="14">
        <f>IFERROR(__xludf.DUMMYFUNCTION("""COMPUTED_VALUE"""),16.5)</f>
        <v>16.5</v>
      </c>
      <c r="AB1154" s="14">
        <f>IFERROR(__xludf.DUMMYFUNCTION("""COMPUTED_VALUE"""),16.4)</f>
        <v>16.4</v>
      </c>
      <c r="AC1154" s="14">
        <f>IFERROR(__xludf.DUMMYFUNCTION("""COMPUTED_VALUE"""),16.880000000000003)</f>
        <v>16.88</v>
      </c>
      <c r="AD1154" s="48">
        <f>IFERROR(__xludf.DUMMYFUNCTION("""COMPUTED_VALUE"""),547.0)</f>
        <v>547</v>
      </c>
      <c r="AE1154" s="48">
        <f>IFERROR(__xludf.DUMMYFUNCTION("""COMPUTED_VALUE"""),535.0)</f>
        <v>535</v>
      </c>
      <c r="AF1154" s="48">
        <f>IFERROR(__xludf.DUMMYFUNCTION("""COMPUTED_VALUE"""),539.0)</f>
        <v>539</v>
      </c>
      <c r="AG1154" s="48">
        <f>IFERROR(__xludf.DUMMYFUNCTION("""COMPUTED_VALUE"""),514.0)</f>
        <v>514</v>
      </c>
      <c r="AH1154" s="48">
        <f>IFERROR(__xludf.DUMMYFUNCTION("""COMPUTED_VALUE"""),509.0)</f>
        <v>509</v>
      </c>
      <c r="AI1154" s="14">
        <f>IFERROR(__xludf.DUMMYFUNCTION("""COMPUTED_VALUE"""),528.8)</f>
        <v>528.8</v>
      </c>
      <c r="AJ1154" s="14">
        <f>IFERROR(__xludf.DUMMYFUNCTION("""COMPUTED_VALUE"""),3.67)</f>
        <v>3.67</v>
      </c>
      <c r="AK1154" s="14">
        <f>IFERROR(__xludf.DUMMYFUNCTION("""COMPUTED_VALUE"""),3.54)</f>
        <v>3.54</v>
      </c>
      <c r="AL1154" s="14">
        <f>IFERROR(__xludf.DUMMYFUNCTION("""COMPUTED_VALUE"""),3.7)</f>
        <v>3.7</v>
      </c>
      <c r="AM1154" s="14">
        <f>IFERROR(__xludf.DUMMYFUNCTION("""COMPUTED_VALUE"""),3.85)</f>
        <v>3.85</v>
      </c>
      <c r="AN1154" s="14">
        <f>IFERROR(__xludf.DUMMYFUNCTION("""COMPUTED_VALUE"""),3.91)</f>
        <v>3.91</v>
      </c>
      <c r="AO1154" s="14">
        <f>IFERROR(__xludf.DUMMYFUNCTION("""COMPUTED_VALUE"""),3.7340000000000004)</f>
        <v>3.734</v>
      </c>
      <c r="AP1154" s="14">
        <f>IFERROR(__xludf.DUMMYFUNCTION("""COMPUTED_VALUE"""),108.0)</f>
        <v>108</v>
      </c>
      <c r="AQ1154" s="14">
        <f>IFERROR(__xludf.DUMMYFUNCTION("""COMPUTED_VALUE"""),160.0)</f>
        <v>160</v>
      </c>
      <c r="AR1154" s="14">
        <f>IFERROR(__xludf.DUMMYFUNCTION("""COMPUTED_VALUE"""),135.0)</f>
        <v>135</v>
      </c>
      <c r="AS1154" s="14">
        <f>IFERROR(__xludf.DUMMYFUNCTION("""COMPUTED_VALUE"""),7.6)</f>
        <v>7.6</v>
      </c>
      <c r="AT1154" s="14">
        <f>IFERROR(__xludf.DUMMYFUNCTION("""COMPUTED_VALUE"""),3.58)</f>
        <v>3.58</v>
      </c>
      <c r="AU1154" s="14">
        <f>IFERROR(__xludf.DUMMYFUNCTION("""COMPUTED_VALUE"""),9.17E7)</f>
        <v>91700000</v>
      </c>
      <c r="AV1154" s="14">
        <f>IFERROR(__xludf.DUMMYFUNCTION("""COMPUTED_VALUE"""),1.78)</f>
        <v>1.78</v>
      </c>
      <c r="AW1154" s="14">
        <f>IFERROR(__xludf.DUMMYFUNCTION("""COMPUTED_VALUE"""),21.8)</f>
        <v>21.8</v>
      </c>
      <c r="AX1154" s="14">
        <f>IFERROR(__xludf.DUMMYFUNCTION("""COMPUTED_VALUE"""),594000.0)</f>
        <v>594000</v>
      </c>
      <c r="AY1154" s="14">
        <f>IFERROR(__xludf.DUMMYFUNCTION("""COMPUTED_VALUE"""),0.3)</f>
        <v>0.3</v>
      </c>
      <c r="AZ1154" s="14">
        <f>IFERROR(__xludf.DUMMYFUNCTION("""COMPUTED_VALUE"""),0.007)</f>
        <v>0.007</v>
      </c>
      <c r="BA1154" s="14">
        <f t="shared" si="1"/>
        <v>22.107</v>
      </c>
    </row>
    <row r="1155" ht="14.25" customHeight="1">
      <c r="A1155" s="10" t="str">
        <f>IFERROR(__xludf.DUMMYFUNCTION("""COMPUTED_VALUE"""),"270824DU03")</f>
        <v>270824DU03</v>
      </c>
      <c r="B1155" s="12" t="str">
        <f>IFERROR(__xludf.DUMMYFUNCTION("""COMPUTED_VALUE"""),"CON-Bella Suiza")</f>
        <v>CON-Bella Suiza</v>
      </c>
      <c r="C1155" s="12"/>
      <c r="D1155" s="12"/>
      <c r="E1155" s="44">
        <f>IFERROR(__xludf.DUMMYFUNCTION("""COMPUTED_VALUE"""),45531.0)</f>
        <v>45531</v>
      </c>
      <c r="F1155" s="12" t="str">
        <f>IFERROR(__xludf.DUMMYFUNCTION("""COMPUTED_VALUE"""),"TIPO I")</f>
        <v>TIPO I</v>
      </c>
      <c r="G1155" s="12" t="str">
        <f>IFERROR(__xludf.DUMMYFUNCTION("""COMPUTED_VALUE"""),"Monitoreo realizado en canal con estructura en concreto lecho rocoso, arenoso, durante la toma de muestra se observa color y se percibe olor. 
Altitud: 2539 msnm
")</f>
        <v>Monitoreo realizado en canal con estructura en concreto lecho rocoso, arenoso, durante la toma de muestra se observa color y se percibe olor. 
Altitud: 2539 msnm
</v>
      </c>
      <c r="H1155" s="45">
        <f>IFERROR(__xludf.DUMMYFUNCTION("""COMPUTED_VALUE"""),0.5625)</f>
        <v>0.5625</v>
      </c>
      <c r="I1155" s="45">
        <f>IFERROR(__xludf.DUMMYFUNCTION("""COMPUTED_VALUE"""),0.6458333333321207)</f>
        <v>0.6458333333</v>
      </c>
      <c r="J1155" s="12">
        <f>IFERROR(__xludf.DUMMYFUNCTION("""COMPUTED_VALUE"""),1.1)</f>
        <v>1.1</v>
      </c>
      <c r="K1155" s="12">
        <f>IFERROR(__xludf.DUMMYFUNCTION("""COMPUTED_VALUE"""),0.09)</f>
        <v>0.09</v>
      </c>
      <c r="L1155" s="14">
        <f>IFERROR(__xludf.DUMMYFUNCTION("""COMPUTED_VALUE"""),7.962)</f>
        <v>7.962</v>
      </c>
      <c r="M1155" s="14">
        <f>IFERROR(__xludf.DUMMYFUNCTION("""COMPUTED_VALUE"""),8.201)</f>
        <v>8.201</v>
      </c>
      <c r="N1155" s="14">
        <f>IFERROR(__xludf.DUMMYFUNCTION("""COMPUTED_VALUE"""),8.435)</f>
        <v>8.435</v>
      </c>
      <c r="O1155" s="14">
        <f>IFERROR(__xludf.DUMMYFUNCTION("""COMPUTED_VALUE"""),8.615)</f>
        <v>8.615</v>
      </c>
      <c r="P1155" s="14">
        <f>IFERROR(__xludf.DUMMYFUNCTION("""COMPUTED_VALUE"""),8.553)</f>
        <v>8.553</v>
      </c>
      <c r="Q1155" s="14">
        <f>IFERROR(__xludf.DUMMYFUNCTION("""COMPUTED_VALUE"""),8.353)</f>
        <v>8.353</v>
      </c>
      <c r="R1155" s="48">
        <f>IFERROR(__xludf.DUMMYFUNCTION("""COMPUTED_VALUE"""),7.88)</f>
        <v>7.88</v>
      </c>
      <c r="S1155" s="48">
        <f>IFERROR(__xludf.DUMMYFUNCTION("""COMPUTED_VALUE"""),7.56)</f>
        <v>7.56</v>
      </c>
      <c r="T1155" s="48">
        <f>IFERROR(__xludf.DUMMYFUNCTION("""COMPUTED_VALUE"""),7.48)</f>
        <v>7.48</v>
      </c>
      <c r="U1155" s="48">
        <f>IFERROR(__xludf.DUMMYFUNCTION("""COMPUTED_VALUE"""),7.38)</f>
        <v>7.38</v>
      </c>
      <c r="V1155" s="48">
        <f>IFERROR(__xludf.DUMMYFUNCTION("""COMPUTED_VALUE"""),7.46)</f>
        <v>7.46</v>
      </c>
      <c r="W1155" s="14">
        <f>IFERROR(__xludf.DUMMYFUNCTION("""COMPUTED_VALUE"""),7.552)</f>
        <v>7.552</v>
      </c>
      <c r="X1155" s="14">
        <f>IFERROR(__xludf.DUMMYFUNCTION("""COMPUTED_VALUE"""),18.7)</f>
        <v>18.7</v>
      </c>
      <c r="Y1155" s="14">
        <f>IFERROR(__xludf.DUMMYFUNCTION("""COMPUTED_VALUE"""),18.4)</f>
        <v>18.4</v>
      </c>
      <c r="Z1155" s="14">
        <f>IFERROR(__xludf.DUMMYFUNCTION("""COMPUTED_VALUE"""),18.2)</f>
        <v>18.2</v>
      </c>
      <c r="AA1155" s="14">
        <f>IFERROR(__xludf.DUMMYFUNCTION("""COMPUTED_VALUE"""),18.2)</f>
        <v>18.2</v>
      </c>
      <c r="AB1155" s="14">
        <f>IFERROR(__xludf.DUMMYFUNCTION("""COMPUTED_VALUE"""),18.1)</f>
        <v>18.1</v>
      </c>
      <c r="AC1155" s="14">
        <f>IFERROR(__xludf.DUMMYFUNCTION("""COMPUTED_VALUE"""),18.32)</f>
        <v>18.32</v>
      </c>
      <c r="AD1155" s="48">
        <f>IFERROR(__xludf.DUMMYFUNCTION("""COMPUTED_VALUE"""),419.0)</f>
        <v>419</v>
      </c>
      <c r="AE1155" s="48">
        <f>IFERROR(__xludf.DUMMYFUNCTION("""COMPUTED_VALUE"""),383.0)</f>
        <v>383</v>
      </c>
      <c r="AF1155" s="48">
        <f>IFERROR(__xludf.DUMMYFUNCTION("""COMPUTED_VALUE"""),423.0)</f>
        <v>423</v>
      </c>
      <c r="AG1155" s="48">
        <f>IFERROR(__xludf.DUMMYFUNCTION("""COMPUTED_VALUE"""),372.0)</f>
        <v>372</v>
      </c>
      <c r="AH1155" s="48">
        <f>IFERROR(__xludf.DUMMYFUNCTION("""COMPUTED_VALUE"""),224.0)</f>
        <v>224</v>
      </c>
      <c r="AI1155" s="14">
        <f>IFERROR(__xludf.DUMMYFUNCTION("""COMPUTED_VALUE"""),364.2)</f>
        <v>364.2</v>
      </c>
      <c r="AJ1155" s="14">
        <f>IFERROR(__xludf.DUMMYFUNCTION("""COMPUTED_VALUE"""),3.67)</f>
        <v>3.67</v>
      </c>
      <c r="AK1155" s="14">
        <f>IFERROR(__xludf.DUMMYFUNCTION("""COMPUTED_VALUE"""),4.03)</f>
        <v>4.03</v>
      </c>
      <c r="AL1155" s="14">
        <f>IFERROR(__xludf.DUMMYFUNCTION("""COMPUTED_VALUE"""),3.5)</f>
        <v>3.5</v>
      </c>
      <c r="AM1155" s="14">
        <f>IFERROR(__xludf.DUMMYFUNCTION("""COMPUTED_VALUE"""),3.78)</f>
        <v>3.78</v>
      </c>
      <c r="AN1155" s="14">
        <f>IFERROR(__xludf.DUMMYFUNCTION("""COMPUTED_VALUE"""),2.94)</f>
        <v>2.94</v>
      </c>
      <c r="AO1155" s="14">
        <f>IFERROR(__xludf.DUMMYFUNCTION("""COMPUTED_VALUE"""),3.5839999999999996)</f>
        <v>3.584</v>
      </c>
      <c r="AP1155" s="14">
        <f>IFERROR(__xludf.DUMMYFUNCTION("""COMPUTED_VALUE"""),20.0)</f>
        <v>20</v>
      </c>
      <c r="AQ1155" s="14">
        <f>IFERROR(__xludf.DUMMYFUNCTION("""COMPUTED_VALUE"""),50.0)</f>
        <v>50</v>
      </c>
      <c r="AR1155" s="14">
        <f>IFERROR(__xludf.DUMMYFUNCTION("""COMPUTED_VALUE"""),19.0)</f>
        <v>19</v>
      </c>
      <c r="AS1155" s="14">
        <f>IFERROR(__xludf.DUMMYFUNCTION("""COMPUTED_VALUE"""),13.2)</f>
        <v>13.2</v>
      </c>
      <c r="AT1155" s="14">
        <f>IFERROR(__xludf.DUMMYFUNCTION("""COMPUTED_VALUE"""),1.4)</f>
        <v>1.4</v>
      </c>
      <c r="AU1155" s="14">
        <f>IFERROR(__xludf.DUMMYFUNCTION("""COMPUTED_VALUE"""),1.529E8)</f>
        <v>152900000</v>
      </c>
      <c r="AV1155" s="14">
        <f>IFERROR(__xludf.DUMMYFUNCTION("""COMPUTED_VALUE"""),1.61)</f>
        <v>1.61</v>
      </c>
      <c r="AW1155" s="14">
        <f>IFERROR(__xludf.DUMMYFUNCTION("""COMPUTED_VALUE"""),23.2)</f>
        <v>23.2</v>
      </c>
      <c r="AX1155" s="14">
        <f>IFERROR(__xludf.DUMMYFUNCTION("""COMPUTED_VALUE"""),1.239E8)</f>
        <v>123900000</v>
      </c>
      <c r="AY1155" s="14">
        <f>IFERROR(__xludf.DUMMYFUNCTION("""COMPUTED_VALUE"""),0.3)</f>
        <v>0.3</v>
      </c>
      <c r="AZ1155" s="14">
        <f>IFERROR(__xludf.DUMMYFUNCTION("""COMPUTED_VALUE"""),0.007)</f>
        <v>0.007</v>
      </c>
      <c r="BA1155" s="14">
        <f t="shared" si="1"/>
        <v>23.507</v>
      </c>
    </row>
    <row r="1156" ht="14.25" customHeight="1">
      <c r="A1156" s="10" t="str">
        <f>IFERROR(__xludf.DUMMYFUNCTION("""COMPUTED_VALUE"""),"090924FM02")</f>
        <v>090924FM02</v>
      </c>
      <c r="B1156" s="12" t="str">
        <f>IFERROR(__xludf.DUMMYFUNCTION("""COMPUTED_VALUE"""),"COR-Britalia")</f>
        <v>COR-Britalia</v>
      </c>
      <c r="C1156" s="12"/>
      <c r="D1156" s="12"/>
      <c r="E1156" s="44">
        <f>IFERROR(__xludf.DUMMYFUNCTION("""COMPUTED_VALUE"""),45544.0)</f>
        <v>45544</v>
      </c>
      <c r="F1156" s="12" t="str">
        <f>IFERROR(__xludf.DUMMYFUNCTION("""COMPUTED_VALUE"""),"TIPO I")</f>
        <v>TIPO I</v>
      </c>
      <c r="G1156" s="12" t="str">
        <f>IFERROR(__xludf.DUMMYFUNCTION("""COMPUTED_VALUE"""),"Durante el desarrollo del monitoreo se observa color y se percibe olor. Se observan algas, material flotante y se evidencia personal realizando labores en los alrededores el canal. ")</f>
        <v>Durante el desarrollo del monitoreo se observa color y se percibe olor. Se observan algas, material flotante y se evidencia personal realizando labores en los alrededores el canal. </v>
      </c>
      <c r="H1156" s="45">
        <f>IFERROR(__xludf.DUMMYFUNCTION("""COMPUTED_VALUE"""),0.5416666666678793)</f>
        <v>0.5416666667</v>
      </c>
      <c r="I1156" s="45">
        <f>IFERROR(__xludf.DUMMYFUNCTION("""COMPUTED_VALUE"""),0.625)</f>
        <v>0.625</v>
      </c>
      <c r="J1156" s="12">
        <f>IFERROR(__xludf.DUMMYFUNCTION("""COMPUTED_VALUE"""),3.2)</f>
        <v>3.2</v>
      </c>
      <c r="K1156" s="12">
        <f>IFERROR(__xludf.DUMMYFUNCTION("""COMPUTED_VALUE"""),0.09)</f>
        <v>0.09</v>
      </c>
      <c r="L1156" s="14">
        <f>IFERROR(__xludf.DUMMYFUNCTION("""COMPUTED_VALUE"""),20.513)</f>
        <v>20.513</v>
      </c>
      <c r="M1156" s="14">
        <f>IFERROR(__xludf.DUMMYFUNCTION("""COMPUTED_VALUE"""),21.253)</f>
        <v>21.253</v>
      </c>
      <c r="N1156" s="14">
        <f>IFERROR(__xludf.DUMMYFUNCTION("""COMPUTED_VALUE"""),21.263)</f>
        <v>21.263</v>
      </c>
      <c r="O1156" s="14">
        <f>IFERROR(__xludf.DUMMYFUNCTION("""COMPUTED_VALUE"""),21.542)</f>
        <v>21.542</v>
      </c>
      <c r="P1156" s="14">
        <f>IFERROR(__xludf.DUMMYFUNCTION("""COMPUTED_VALUE"""),22.053)</f>
        <v>22.053</v>
      </c>
      <c r="Q1156" s="14">
        <f>IFERROR(__xludf.DUMMYFUNCTION("""COMPUTED_VALUE"""),21.325)</f>
        <v>21.325</v>
      </c>
      <c r="R1156" s="48">
        <f>IFERROR(__xludf.DUMMYFUNCTION("""COMPUTED_VALUE"""),7.96)</f>
        <v>7.96</v>
      </c>
      <c r="S1156" s="48">
        <f>IFERROR(__xludf.DUMMYFUNCTION("""COMPUTED_VALUE"""),8.07)</f>
        <v>8.07</v>
      </c>
      <c r="T1156" s="48">
        <f>IFERROR(__xludf.DUMMYFUNCTION("""COMPUTED_VALUE"""),7.97)</f>
        <v>7.97</v>
      </c>
      <c r="U1156" s="48">
        <f>IFERROR(__xludf.DUMMYFUNCTION("""COMPUTED_VALUE"""),8.04)</f>
        <v>8.04</v>
      </c>
      <c r="V1156" s="48">
        <f>IFERROR(__xludf.DUMMYFUNCTION("""COMPUTED_VALUE"""),7.88)</f>
        <v>7.88</v>
      </c>
      <c r="W1156" s="14">
        <f>IFERROR(__xludf.DUMMYFUNCTION("""COMPUTED_VALUE"""),7.984)</f>
        <v>7.984</v>
      </c>
      <c r="X1156" s="14">
        <f>IFERROR(__xludf.DUMMYFUNCTION("""COMPUTED_VALUE"""),20.0)</f>
        <v>20</v>
      </c>
      <c r="Y1156" s="14">
        <f>IFERROR(__xludf.DUMMYFUNCTION("""COMPUTED_VALUE"""),20.6)</f>
        <v>20.6</v>
      </c>
      <c r="Z1156" s="14">
        <f>IFERROR(__xludf.DUMMYFUNCTION("""COMPUTED_VALUE"""),21.2)</f>
        <v>21.2</v>
      </c>
      <c r="AA1156" s="14">
        <f>IFERROR(__xludf.DUMMYFUNCTION("""COMPUTED_VALUE"""),21.1)</f>
        <v>21.1</v>
      </c>
      <c r="AB1156" s="14">
        <f>IFERROR(__xludf.DUMMYFUNCTION("""COMPUTED_VALUE"""),20.6)</f>
        <v>20.6</v>
      </c>
      <c r="AC1156" s="14">
        <f>IFERROR(__xludf.DUMMYFUNCTION("""COMPUTED_VALUE"""),20.7)</f>
        <v>20.7</v>
      </c>
      <c r="AD1156" s="48">
        <f>IFERROR(__xludf.DUMMYFUNCTION("""COMPUTED_VALUE"""),491.0)</f>
        <v>491</v>
      </c>
      <c r="AE1156" s="48">
        <f>IFERROR(__xludf.DUMMYFUNCTION("""COMPUTED_VALUE"""),514.0)</f>
        <v>514</v>
      </c>
      <c r="AF1156" s="48">
        <f>IFERROR(__xludf.DUMMYFUNCTION("""COMPUTED_VALUE"""),448.0)</f>
        <v>448</v>
      </c>
      <c r="AG1156" s="48">
        <f>IFERROR(__xludf.DUMMYFUNCTION("""COMPUTED_VALUE"""),522.0)</f>
        <v>522</v>
      </c>
      <c r="AH1156" s="48">
        <f>IFERROR(__xludf.DUMMYFUNCTION("""COMPUTED_VALUE"""),429.0)</f>
        <v>429</v>
      </c>
      <c r="AI1156" s="14">
        <f>IFERROR(__xludf.DUMMYFUNCTION("""COMPUTED_VALUE"""),480.8)</f>
        <v>480.8</v>
      </c>
      <c r="AJ1156" s="14">
        <f>IFERROR(__xludf.DUMMYFUNCTION("""COMPUTED_VALUE"""),1.98)</f>
        <v>1.98</v>
      </c>
      <c r="AK1156" s="14">
        <f>IFERROR(__xludf.DUMMYFUNCTION("""COMPUTED_VALUE"""),1.57)</f>
        <v>1.57</v>
      </c>
      <c r="AL1156" s="14">
        <f>IFERROR(__xludf.DUMMYFUNCTION("""COMPUTED_VALUE"""),1.7)</f>
        <v>1.7</v>
      </c>
      <c r="AM1156" s="14">
        <f>IFERROR(__xludf.DUMMYFUNCTION("""COMPUTED_VALUE"""),1.6)</f>
        <v>1.6</v>
      </c>
      <c r="AN1156" s="14">
        <f>IFERROR(__xludf.DUMMYFUNCTION("""COMPUTED_VALUE"""),1.65)</f>
        <v>1.65</v>
      </c>
      <c r="AO1156" s="14">
        <f>IFERROR(__xludf.DUMMYFUNCTION("""COMPUTED_VALUE"""),1.7)</f>
        <v>1.7</v>
      </c>
      <c r="AP1156" s="14">
        <f>IFERROR(__xludf.DUMMYFUNCTION("""COMPUTED_VALUE"""),72.0)</f>
        <v>72</v>
      </c>
      <c r="AQ1156" s="14">
        <f>IFERROR(__xludf.DUMMYFUNCTION("""COMPUTED_VALUE"""),108.0)</f>
        <v>108</v>
      </c>
      <c r="AR1156" s="14">
        <f>IFERROR(__xludf.DUMMYFUNCTION("""COMPUTED_VALUE"""),22.0)</f>
        <v>22</v>
      </c>
      <c r="AS1156" s="14">
        <f>IFERROR(__xludf.DUMMYFUNCTION("""COMPUTED_VALUE"""),15.5)</f>
        <v>15.5</v>
      </c>
      <c r="AT1156" s="14">
        <f>IFERROR(__xludf.DUMMYFUNCTION("""COMPUTED_VALUE"""),2.04)</f>
        <v>2.04</v>
      </c>
      <c r="AU1156" s="14">
        <f>IFERROR(__xludf.DUMMYFUNCTION("""COMPUTED_VALUE"""),1.043E8)</f>
        <v>104300000</v>
      </c>
      <c r="AV1156" s="14">
        <f>IFERROR(__xludf.DUMMYFUNCTION("""COMPUTED_VALUE"""),1.96)</f>
        <v>1.96</v>
      </c>
      <c r="AW1156" s="14">
        <f>IFERROR(__xludf.DUMMYFUNCTION("""COMPUTED_VALUE"""),15.1)</f>
        <v>15.1</v>
      </c>
      <c r="AX1156" s="14">
        <f>IFERROR(__xludf.DUMMYFUNCTION("""COMPUTED_VALUE"""),8.3E7)</f>
        <v>83000000</v>
      </c>
      <c r="AY1156" s="14">
        <f>IFERROR(__xludf.DUMMYFUNCTION("""COMPUTED_VALUE"""),0.3)</f>
        <v>0.3</v>
      </c>
      <c r="AZ1156" s="14">
        <f>IFERROR(__xludf.DUMMYFUNCTION("""COMPUTED_VALUE"""),0.007)</f>
        <v>0.007</v>
      </c>
      <c r="BA1156" s="14">
        <f t="shared" si="1"/>
        <v>15.407</v>
      </c>
    </row>
    <row r="1157" ht="14.25" customHeight="1">
      <c r="A1157" s="10" t="str">
        <f>IFERROR(__xludf.DUMMYFUNCTION("""COMPUTED_VALUE"""),"090924DU02")</f>
        <v>090924DU02</v>
      </c>
      <c r="B1157" s="12" t="str">
        <f>IFERROR(__xludf.DUMMYFUNCTION("""COMPUTED_VALUE"""),"CON-Camino del Contador")</f>
        <v>CON-Camino del Contador</v>
      </c>
      <c r="C1157" s="12"/>
      <c r="D1157" s="12"/>
      <c r="E1157" s="44">
        <f>IFERROR(__xludf.DUMMYFUNCTION("""COMPUTED_VALUE"""),45544.0)</f>
        <v>45544</v>
      </c>
      <c r="F1157" s="12" t="str">
        <f>IFERROR(__xludf.DUMMYFUNCTION("""COMPUTED_VALUE"""),"TIPO I")</f>
        <v>TIPO I</v>
      </c>
      <c r="G1157" s="12" t="str">
        <f>IFERROR(__xludf.DUMMYFUNCTION("""COMPUTED_VALUE"""),"Canal en concreto rocoso y lodoso, agua del cauce se observa color y se percibe olor, se observan residuos solidos en el cauce.
Altitud. 2549 msnm")</f>
        <v>Canal en concreto rocoso y lodoso, agua del cauce se observa color y se percibe olor, se observan residuos solidos en el cauce.
Altitud. 2549 msnm</v>
      </c>
      <c r="H1157" s="45">
        <f>IFERROR(__xludf.DUMMYFUNCTION("""COMPUTED_VALUE"""),0.5416666666678793)</f>
        <v>0.5416666667</v>
      </c>
      <c r="I1157" s="45">
        <f>IFERROR(__xludf.DUMMYFUNCTION("""COMPUTED_VALUE"""),0.625)</f>
        <v>0.625</v>
      </c>
      <c r="J1157" s="12">
        <f>IFERROR(__xludf.DUMMYFUNCTION("""COMPUTED_VALUE"""),3.4)</f>
        <v>3.4</v>
      </c>
      <c r="K1157" s="12">
        <f>IFERROR(__xludf.DUMMYFUNCTION("""COMPUTED_VALUE"""),0.09)</f>
        <v>0.09</v>
      </c>
      <c r="L1157" s="14">
        <f>IFERROR(__xludf.DUMMYFUNCTION("""COMPUTED_VALUE"""),29.661)</f>
        <v>29.661</v>
      </c>
      <c r="M1157" s="14">
        <f>IFERROR(__xludf.DUMMYFUNCTION("""COMPUTED_VALUE"""),28.62)</f>
        <v>28.62</v>
      </c>
      <c r="N1157" s="14">
        <f>IFERROR(__xludf.DUMMYFUNCTION("""COMPUTED_VALUE"""),27.417)</f>
        <v>27.417</v>
      </c>
      <c r="O1157" s="14">
        <f>IFERROR(__xludf.DUMMYFUNCTION("""COMPUTED_VALUE"""),27.851)</f>
        <v>27.851</v>
      </c>
      <c r="P1157" s="14">
        <f>IFERROR(__xludf.DUMMYFUNCTION("""COMPUTED_VALUE"""),28.088)</f>
        <v>28.088</v>
      </c>
      <c r="Q1157" s="14">
        <f>IFERROR(__xludf.DUMMYFUNCTION("""COMPUTED_VALUE"""),28.328)</f>
        <v>28.328</v>
      </c>
      <c r="R1157" s="48">
        <f>IFERROR(__xludf.DUMMYFUNCTION("""COMPUTED_VALUE"""),8.89)</f>
        <v>8.89</v>
      </c>
      <c r="S1157" s="48">
        <f>IFERROR(__xludf.DUMMYFUNCTION("""COMPUTED_VALUE"""),8.42)</f>
        <v>8.42</v>
      </c>
      <c r="T1157" s="48">
        <f>IFERROR(__xludf.DUMMYFUNCTION("""COMPUTED_VALUE"""),8.59)</f>
        <v>8.59</v>
      </c>
      <c r="U1157" s="48">
        <f>IFERROR(__xludf.DUMMYFUNCTION("""COMPUTED_VALUE"""),8.8)</f>
        <v>8.8</v>
      </c>
      <c r="V1157" s="48">
        <f>IFERROR(__xludf.DUMMYFUNCTION("""COMPUTED_VALUE"""),8.76)</f>
        <v>8.76</v>
      </c>
      <c r="W1157" s="14">
        <f>IFERROR(__xludf.DUMMYFUNCTION("""COMPUTED_VALUE"""),8.692)</f>
        <v>8.692</v>
      </c>
      <c r="X1157" s="14">
        <f>IFERROR(__xludf.DUMMYFUNCTION("""COMPUTED_VALUE"""),23.8)</f>
        <v>23.8</v>
      </c>
      <c r="Y1157" s="14">
        <f>IFERROR(__xludf.DUMMYFUNCTION("""COMPUTED_VALUE"""),23.0)</f>
        <v>23</v>
      </c>
      <c r="Z1157" s="14">
        <f>IFERROR(__xludf.DUMMYFUNCTION("""COMPUTED_VALUE"""),22.7)</f>
        <v>22.7</v>
      </c>
      <c r="AA1157" s="14">
        <f>IFERROR(__xludf.DUMMYFUNCTION("""COMPUTED_VALUE"""),21.6)</f>
        <v>21.6</v>
      </c>
      <c r="AB1157" s="14">
        <f>IFERROR(__xludf.DUMMYFUNCTION("""COMPUTED_VALUE"""),21.2)</f>
        <v>21.2</v>
      </c>
      <c r="AC1157" s="14">
        <f>IFERROR(__xludf.DUMMYFUNCTION("""COMPUTED_VALUE"""),22.46)</f>
        <v>22.46</v>
      </c>
      <c r="AD1157" s="48">
        <f>IFERROR(__xludf.DUMMYFUNCTION("""COMPUTED_VALUE"""),545.0)</f>
        <v>545</v>
      </c>
      <c r="AE1157" s="48">
        <f>IFERROR(__xludf.DUMMYFUNCTION("""COMPUTED_VALUE"""),514.0)</f>
        <v>514</v>
      </c>
      <c r="AF1157" s="48">
        <f>IFERROR(__xludf.DUMMYFUNCTION("""COMPUTED_VALUE"""),494.0)</f>
        <v>494</v>
      </c>
      <c r="AG1157" s="48">
        <f>IFERROR(__xludf.DUMMYFUNCTION("""COMPUTED_VALUE"""),534.0)</f>
        <v>534</v>
      </c>
      <c r="AH1157" s="48">
        <f>IFERROR(__xludf.DUMMYFUNCTION("""COMPUTED_VALUE"""),501.0)</f>
        <v>501</v>
      </c>
      <c r="AI1157" s="14">
        <f>IFERROR(__xludf.DUMMYFUNCTION("""COMPUTED_VALUE"""),517.6)</f>
        <v>517.6</v>
      </c>
      <c r="AJ1157" s="14">
        <f>IFERROR(__xludf.DUMMYFUNCTION("""COMPUTED_VALUE"""),5.63)</f>
        <v>5.63</v>
      </c>
      <c r="AK1157" s="14">
        <f>IFERROR(__xludf.DUMMYFUNCTION("""COMPUTED_VALUE"""),4.88)</f>
        <v>4.88</v>
      </c>
      <c r="AL1157" s="14">
        <f>IFERROR(__xludf.DUMMYFUNCTION("""COMPUTED_VALUE"""),4.64)</f>
        <v>4.64</v>
      </c>
      <c r="AM1157" s="14">
        <f>IFERROR(__xludf.DUMMYFUNCTION("""COMPUTED_VALUE"""),5.27)</f>
        <v>5.27</v>
      </c>
      <c r="AN1157" s="14">
        <f>IFERROR(__xludf.DUMMYFUNCTION("""COMPUTED_VALUE"""),5.0)</f>
        <v>5</v>
      </c>
      <c r="AO1157" s="14">
        <f>IFERROR(__xludf.DUMMYFUNCTION("""COMPUTED_VALUE"""),5.084)</f>
        <v>5.084</v>
      </c>
      <c r="AP1157" s="14">
        <f>IFERROR(__xludf.DUMMYFUNCTION("""COMPUTED_VALUE"""),72.0)</f>
        <v>72</v>
      </c>
      <c r="AQ1157" s="14">
        <f>IFERROR(__xludf.DUMMYFUNCTION("""COMPUTED_VALUE"""),124.0)</f>
        <v>124</v>
      </c>
      <c r="AR1157" s="14">
        <f>IFERROR(__xludf.DUMMYFUNCTION("""COMPUTED_VALUE"""),46.0)</f>
        <v>46</v>
      </c>
      <c r="AS1157" s="14">
        <f>IFERROR(__xludf.DUMMYFUNCTION("""COMPUTED_VALUE"""),12.6)</f>
        <v>12.6</v>
      </c>
      <c r="AT1157" s="14">
        <f>IFERROR(__xludf.DUMMYFUNCTION("""COMPUTED_VALUE"""),1.53)</f>
        <v>1.53</v>
      </c>
      <c r="AU1157" s="14">
        <f>IFERROR(__xludf.DUMMYFUNCTION("""COMPUTED_VALUE"""),1.43E8)</f>
        <v>143000000</v>
      </c>
      <c r="AV1157" s="14">
        <f>IFERROR(__xludf.DUMMYFUNCTION("""COMPUTED_VALUE"""),3.1)</f>
        <v>3.1</v>
      </c>
      <c r="AW1157" s="14">
        <f>IFERROR(__xludf.DUMMYFUNCTION("""COMPUTED_VALUE"""),25.5)</f>
        <v>25.5</v>
      </c>
      <c r="AX1157" s="14">
        <f>IFERROR(__xludf.DUMMYFUNCTION("""COMPUTED_VALUE"""),1.211E8)</f>
        <v>121100000</v>
      </c>
      <c r="AY1157" s="14">
        <f>IFERROR(__xludf.DUMMYFUNCTION("""COMPUTED_VALUE"""),0.3)</f>
        <v>0.3</v>
      </c>
      <c r="AZ1157" s="14">
        <f>IFERROR(__xludf.DUMMYFUNCTION("""COMPUTED_VALUE"""),0.007)</f>
        <v>0.007</v>
      </c>
      <c r="BA1157" s="14">
        <f t="shared" si="1"/>
        <v>25.807</v>
      </c>
    </row>
    <row r="1158" ht="14.25" customHeight="1">
      <c r="A1158" s="10" t="str">
        <f>IFERROR(__xludf.DUMMYFUNCTION("""COMPUTED_VALUE"""),"230924HA02")</f>
        <v>230924HA02</v>
      </c>
      <c r="B1158" s="12" t="str">
        <f>IFERROR(__xludf.DUMMYFUNCTION("""COMPUTED_VALUE"""),"CON-Camino del Contador")</f>
        <v>CON-Camino del Contador</v>
      </c>
      <c r="C1158" s="12"/>
      <c r="D1158" s="12"/>
      <c r="E1158" s="44">
        <f>IFERROR(__xludf.DUMMYFUNCTION("""COMPUTED_VALUE"""),45558.0)</f>
        <v>45558</v>
      </c>
      <c r="F1158" s="12" t="str">
        <f>IFERROR(__xludf.DUMMYFUNCTION("""COMPUTED_VALUE"""),"TIPO I")</f>
        <v>TIPO I</v>
      </c>
      <c r="G1158" s="12" t="str">
        <f>IFERROR(__xludf.DUMMYFUNCTION("""COMPUTED_VALUE"""),"Canal en concreto, presencia de residuos y algas en el lecho. 
Se percibe olor, se observa color. 2562 msnm.")</f>
        <v>Canal en concreto, presencia de residuos y algas en el lecho. 
Se percibe olor, se observa color. 2562 msnm.</v>
      </c>
      <c r="H1158" s="45">
        <f>IFERROR(__xludf.DUMMYFUNCTION("""COMPUTED_VALUE"""),0.4583333333321207)</f>
        <v>0.4583333333</v>
      </c>
      <c r="I1158" s="45">
        <f>IFERROR(__xludf.DUMMYFUNCTION("""COMPUTED_VALUE"""),0.5416666666678793)</f>
        <v>0.5416666667</v>
      </c>
      <c r="J1158" s="12">
        <f>IFERROR(__xludf.DUMMYFUNCTION("""COMPUTED_VALUE"""),4.2)</f>
        <v>4.2</v>
      </c>
      <c r="K1158" s="12">
        <f>IFERROR(__xludf.DUMMYFUNCTION("""COMPUTED_VALUE"""),0.1)</f>
        <v>0.1</v>
      </c>
      <c r="L1158" s="14">
        <f>IFERROR(__xludf.DUMMYFUNCTION("""COMPUTED_VALUE"""),41.367)</f>
        <v>41.367</v>
      </c>
      <c r="M1158" s="14">
        <f>IFERROR(__xludf.DUMMYFUNCTION("""COMPUTED_VALUE"""),42.833)</f>
        <v>42.833</v>
      </c>
      <c r="N1158" s="14">
        <f>IFERROR(__xludf.DUMMYFUNCTION("""COMPUTED_VALUE"""),42.303)</f>
        <v>42.303</v>
      </c>
      <c r="O1158" s="14">
        <f>IFERROR(__xludf.DUMMYFUNCTION("""COMPUTED_VALUE"""),43.141)</f>
        <v>43.141</v>
      </c>
      <c r="P1158" s="14">
        <f>IFERROR(__xludf.DUMMYFUNCTION("""COMPUTED_VALUE"""),43.525)</f>
        <v>43.525</v>
      </c>
      <c r="Q1158" s="14">
        <f>IFERROR(__xludf.DUMMYFUNCTION("""COMPUTED_VALUE"""),42.634)</f>
        <v>42.634</v>
      </c>
      <c r="R1158" s="48">
        <f>IFERROR(__xludf.DUMMYFUNCTION("""COMPUTED_VALUE"""),7.94)</f>
        <v>7.94</v>
      </c>
      <c r="S1158" s="48">
        <f>IFERROR(__xludf.DUMMYFUNCTION("""COMPUTED_VALUE"""),7.83)</f>
        <v>7.83</v>
      </c>
      <c r="T1158" s="48">
        <f>IFERROR(__xludf.DUMMYFUNCTION("""COMPUTED_VALUE"""),8.03)</f>
        <v>8.03</v>
      </c>
      <c r="U1158" s="48">
        <f>IFERROR(__xludf.DUMMYFUNCTION("""COMPUTED_VALUE"""),7.93)</f>
        <v>7.93</v>
      </c>
      <c r="V1158" s="48">
        <f>IFERROR(__xludf.DUMMYFUNCTION("""COMPUTED_VALUE"""),7.88)</f>
        <v>7.88</v>
      </c>
      <c r="W1158" s="14">
        <f>IFERROR(__xludf.DUMMYFUNCTION("""COMPUTED_VALUE"""),7.922)</f>
        <v>7.922</v>
      </c>
      <c r="X1158" s="14">
        <f>IFERROR(__xludf.DUMMYFUNCTION("""COMPUTED_VALUE"""),23.2)</f>
        <v>23.2</v>
      </c>
      <c r="Y1158" s="14">
        <f>IFERROR(__xludf.DUMMYFUNCTION("""COMPUTED_VALUE"""),23.5)</f>
        <v>23.5</v>
      </c>
      <c r="Z1158" s="14">
        <f>IFERROR(__xludf.DUMMYFUNCTION("""COMPUTED_VALUE"""),23.4)</f>
        <v>23.4</v>
      </c>
      <c r="AA1158" s="14">
        <f>IFERROR(__xludf.DUMMYFUNCTION("""COMPUTED_VALUE"""),24.1)</f>
        <v>24.1</v>
      </c>
      <c r="AB1158" s="14">
        <f>IFERROR(__xludf.DUMMYFUNCTION("""COMPUTED_VALUE"""),23.9)</f>
        <v>23.9</v>
      </c>
      <c r="AC1158" s="14">
        <f>IFERROR(__xludf.DUMMYFUNCTION("""COMPUTED_VALUE"""),23.619999999999997)</f>
        <v>23.62</v>
      </c>
      <c r="AD1158" s="48">
        <f>IFERROR(__xludf.DUMMYFUNCTION("""COMPUTED_VALUE"""),368.0)</f>
        <v>368</v>
      </c>
      <c r="AE1158" s="48">
        <f>IFERROR(__xludf.DUMMYFUNCTION("""COMPUTED_VALUE"""),431.0)</f>
        <v>431</v>
      </c>
      <c r="AF1158" s="48">
        <f>IFERROR(__xludf.DUMMYFUNCTION("""COMPUTED_VALUE"""),511.0)</f>
        <v>511</v>
      </c>
      <c r="AG1158" s="48">
        <f>IFERROR(__xludf.DUMMYFUNCTION("""COMPUTED_VALUE"""),593.0)</f>
        <v>593</v>
      </c>
      <c r="AH1158" s="48">
        <f>IFERROR(__xludf.DUMMYFUNCTION("""COMPUTED_VALUE"""),559.0)</f>
        <v>559</v>
      </c>
      <c r="AI1158" s="14">
        <f>IFERROR(__xludf.DUMMYFUNCTION("""COMPUTED_VALUE"""),492.4)</f>
        <v>492.4</v>
      </c>
      <c r="AJ1158" s="14">
        <f>IFERROR(__xludf.DUMMYFUNCTION("""COMPUTED_VALUE"""),4.47)</f>
        <v>4.47</v>
      </c>
      <c r="AK1158" s="14">
        <f>IFERROR(__xludf.DUMMYFUNCTION("""COMPUTED_VALUE"""),4.6)</f>
        <v>4.6</v>
      </c>
      <c r="AL1158" s="14">
        <f>IFERROR(__xludf.DUMMYFUNCTION("""COMPUTED_VALUE"""),4.39)</f>
        <v>4.39</v>
      </c>
      <c r="AM1158" s="14">
        <f>IFERROR(__xludf.DUMMYFUNCTION("""COMPUTED_VALUE"""),3.54)</f>
        <v>3.54</v>
      </c>
      <c r="AN1158" s="14">
        <f>IFERROR(__xludf.DUMMYFUNCTION("""COMPUTED_VALUE"""),3.63)</f>
        <v>3.63</v>
      </c>
      <c r="AO1158" s="14">
        <f>IFERROR(__xludf.DUMMYFUNCTION("""COMPUTED_VALUE"""),4.1259999999999994)</f>
        <v>4.126</v>
      </c>
      <c r="AP1158" s="14">
        <f>IFERROR(__xludf.DUMMYFUNCTION("""COMPUTED_VALUE"""),101.0)</f>
        <v>101</v>
      </c>
      <c r="AQ1158" s="14">
        <f>IFERROR(__xludf.DUMMYFUNCTION("""COMPUTED_VALUE"""),145.0)</f>
        <v>145</v>
      </c>
      <c r="AR1158" s="14">
        <f>IFERROR(__xludf.DUMMYFUNCTION("""COMPUTED_VALUE"""),74.0)</f>
        <v>74</v>
      </c>
      <c r="AS1158" s="14">
        <f>IFERROR(__xludf.DUMMYFUNCTION("""COMPUTED_VALUE"""),7.5)</f>
        <v>7.5</v>
      </c>
      <c r="AT1158" s="14">
        <f>IFERROR(__xludf.DUMMYFUNCTION("""COMPUTED_VALUE"""),1.45)</f>
        <v>1.45</v>
      </c>
      <c r="AU1158" s="14">
        <f>IFERROR(__xludf.DUMMYFUNCTION("""COMPUTED_VALUE"""),9.34E7)</f>
        <v>93400000</v>
      </c>
      <c r="AV1158" s="14">
        <f>IFERROR(__xludf.DUMMYFUNCTION("""COMPUTED_VALUE"""),3.22)</f>
        <v>3.22</v>
      </c>
      <c r="AW1158" s="14">
        <f>IFERROR(__xludf.DUMMYFUNCTION("""COMPUTED_VALUE"""),32.2)</f>
        <v>32.2</v>
      </c>
      <c r="AX1158" s="14">
        <f>IFERROR(__xludf.DUMMYFUNCTION("""COMPUTED_VALUE"""),8.76E7)</f>
        <v>87600000</v>
      </c>
      <c r="AY1158" s="14">
        <f>IFERROR(__xludf.DUMMYFUNCTION("""COMPUTED_VALUE"""),0.3)</f>
        <v>0.3</v>
      </c>
      <c r="AZ1158" s="14">
        <f>IFERROR(__xludf.DUMMYFUNCTION("""COMPUTED_VALUE"""),0.007)</f>
        <v>0.007</v>
      </c>
      <c r="BA1158" s="14">
        <f t="shared" si="1"/>
        <v>32.507</v>
      </c>
    </row>
    <row r="1159" ht="14.25" customHeight="1">
      <c r="A1159" s="10" t="str">
        <f>IFERROR(__xludf.DUMMYFUNCTION("""COMPUTED_VALUE"""),"230924FE03")</f>
        <v>230924FE03</v>
      </c>
      <c r="B1159" s="12" t="str">
        <f>IFERROR(__xludf.DUMMYFUNCTION("""COMPUTED_VALUE"""),"QCH-La Orquídea")</f>
        <v>QCH-La Orquídea</v>
      </c>
      <c r="C1159" s="12"/>
      <c r="D1159" s="12"/>
      <c r="E1159" s="44">
        <f>IFERROR(__xludf.DUMMYFUNCTION("""COMPUTED_VALUE"""),45558.0)</f>
        <v>45558</v>
      </c>
      <c r="F1159" s="12" t="str">
        <f>IFERROR(__xludf.DUMMYFUNCTION("""COMPUTED_VALUE"""),"TIPO I")</f>
        <v>TIPO I</v>
      </c>
      <c r="G1159" s="12" t="str">
        <f>IFERROR(__xludf.DUMMYFUNCTION("""COMPUTED_VALUE"""),"Estructura en concreto tipo tubería, vegetación predominante herbácea.
Durante el monitoreo se observa espuma, color y se percibe olor.")</f>
        <v>Estructura en concreto tipo tubería, vegetación predominante herbácea.
Durante el monitoreo se observa espuma, color y se percibe olor.</v>
      </c>
      <c r="H1159" s="45">
        <f>IFERROR(__xludf.DUMMYFUNCTION("""COMPUTED_VALUE"""),0.6666666666678793)</f>
        <v>0.6666666667</v>
      </c>
      <c r="I1159" s="45">
        <f>IFERROR(__xludf.DUMMYFUNCTION("""COMPUTED_VALUE"""),0.75)</f>
        <v>0.75</v>
      </c>
      <c r="J1159" s="12"/>
      <c r="K1159" s="12"/>
      <c r="L1159" s="14">
        <f>IFERROR(__xludf.DUMMYFUNCTION("""COMPUTED_VALUE"""),0.529)</f>
        <v>0.529</v>
      </c>
      <c r="M1159" s="14">
        <f>IFERROR(__xludf.DUMMYFUNCTION("""COMPUTED_VALUE"""),0.468)</f>
        <v>0.468</v>
      </c>
      <c r="N1159" s="14">
        <f>IFERROR(__xludf.DUMMYFUNCTION("""COMPUTED_VALUE"""),0.476)</f>
        <v>0.476</v>
      </c>
      <c r="O1159" s="14">
        <f>IFERROR(__xludf.DUMMYFUNCTION("""COMPUTED_VALUE"""),0.785)</f>
        <v>0.785</v>
      </c>
      <c r="P1159" s="14">
        <f>IFERROR(__xludf.DUMMYFUNCTION("""COMPUTED_VALUE"""),0.722)</f>
        <v>0.722</v>
      </c>
      <c r="Q1159" s="14">
        <f>IFERROR(__xludf.DUMMYFUNCTION("""COMPUTED_VALUE"""),0.596)</f>
        <v>0.596</v>
      </c>
      <c r="R1159" s="48">
        <f>IFERROR(__xludf.DUMMYFUNCTION("""COMPUTED_VALUE"""),8.47)</f>
        <v>8.47</v>
      </c>
      <c r="S1159" s="48">
        <f>IFERROR(__xludf.DUMMYFUNCTION("""COMPUTED_VALUE"""),8.6)</f>
        <v>8.6</v>
      </c>
      <c r="T1159" s="48">
        <f>IFERROR(__xludf.DUMMYFUNCTION("""COMPUTED_VALUE"""),8.64)</f>
        <v>8.64</v>
      </c>
      <c r="U1159" s="48">
        <f>IFERROR(__xludf.DUMMYFUNCTION("""COMPUTED_VALUE"""),8.6)</f>
        <v>8.6</v>
      </c>
      <c r="V1159" s="48">
        <f>IFERROR(__xludf.DUMMYFUNCTION("""COMPUTED_VALUE"""),8.72)</f>
        <v>8.72</v>
      </c>
      <c r="W1159" s="14">
        <f>IFERROR(__xludf.DUMMYFUNCTION("""COMPUTED_VALUE"""),8.606)</f>
        <v>8.606</v>
      </c>
      <c r="X1159" s="14">
        <f>IFERROR(__xludf.DUMMYFUNCTION("""COMPUTED_VALUE"""),17.7)</f>
        <v>17.7</v>
      </c>
      <c r="Y1159" s="14">
        <f>IFERROR(__xludf.DUMMYFUNCTION("""COMPUTED_VALUE"""),17.9)</f>
        <v>17.9</v>
      </c>
      <c r="Z1159" s="14">
        <f>IFERROR(__xludf.DUMMYFUNCTION("""COMPUTED_VALUE"""),18.1)</f>
        <v>18.1</v>
      </c>
      <c r="AA1159" s="14">
        <f>IFERROR(__xludf.DUMMYFUNCTION("""COMPUTED_VALUE"""),17.8)</f>
        <v>17.8</v>
      </c>
      <c r="AB1159" s="14">
        <f>IFERROR(__xludf.DUMMYFUNCTION("""COMPUTED_VALUE"""),17.7)</f>
        <v>17.7</v>
      </c>
      <c r="AC1159" s="14">
        <f>IFERROR(__xludf.DUMMYFUNCTION("""COMPUTED_VALUE"""),17.84)</f>
        <v>17.84</v>
      </c>
      <c r="AD1159" s="48">
        <f>IFERROR(__xludf.DUMMYFUNCTION("""COMPUTED_VALUE"""),641.0)</f>
        <v>641</v>
      </c>
      <c r="AE1159" s="48">
        <f>IFERROR(__xludf.DUMMYFUNCTION("""COMPUTED_VALUE"""),660.0)</f>
        <v>660</v>
      </c>
      <c r="AF1159" s="48">
        <f>IFERROR(__xludf.DUMMYFUNCTION("""COMPUTED_VALUE"""),658.0)</f>
        <v>658</v>
      </c>
      <c r="AG1159" s="48">
        <f>IFERROR(__xludf.DUMMYFUNCTION("""COMPUTED_VALUE"""),656.0)</f>
        <v>656</v>
      </c>
      <c r="AH1159" s="48">
        <f>IFERROR(__xludf.DUMMYFUNCTION("""COMPUTED_VALUE"""),663.0)</f>
        <v>663</v>
      </c>
      <c r="AI1159" s="14">
        <f>IFERROR(__xludf.DUMMYFUNCTION("""COMPUTED_VALUE"""),655.6)</f>
        <v>655.6</v>
      </c>
      <c r="AJ1159" s="14">
        <f>IFERROR(__xludf.DUMMYFUNCTION("""COMPUTED_VALUE"""),4.16)</f>
        <v>4.16</v>
      </c>
      <c r="AK1159" s="14">
        <f>IFERROR(__xludf.DUMMYFUNCTION("""COMPUTED_VALUE"""),4.12)</f>
        <v>4.12</v>
      </c>
      <c r="AL1159" s="14">
        <f>IFERROR(__xludf.DUMMYFUNCTION("""COMPUTED_VALUE"""),4.18)</f>
        <v>4.18</v>
      </c>
      <c r="AM1159" s="14">
        <f>IFERROR(__xludf.DUMMYFUNCTION("""COMPUTED_VALUE"""),4.21)</f>
        <v>4.21</v>
      </c>
      <c r="AN1159" s="14">
        <f>IFERROR(__xludf.DUMMYFUNCTION("""COMPUTED_VALUE"""),4.32)</f>
        <v>4.32</v>
      </c>
      <c r="AO1159" s="14">
        <f>IFERROR(__xludf.DUMMYFUNCTION("""COMPUTED_VALUE"""),4.198)</f>
        <v>4.198</v>
      </c>
      <c r="AP1159" s="14">
        <f>IFERROR(__xludf.DUMMYFUNCTION("""COMPUTED_VALUE"""),62.0)</f>
        <v>62</v>
      </c>
      <c r="AQ1159" s="14">
        <f>IFERROR(__xludf.DUMMYFUNCTION("""COMPUTED_VALUE"""),129.0)</f>
        <v>129</v>
      </c>
      <c r="AR1159" s="14">
        <f>IFERROR(__xludf.DUMMYFUNCTION("""COMPUTED_VALUE"""),99.0)</f>
        <v>99</v>
      </c>
      <c r="AS1159" s="14">
        <f>IFERROR(__xludf.DUMMYFUNCTION("""COMPUTED_VALUE"""),15.9)</f>
        <v>15.9</v>
      </c>
      <c r="AT1159" s="14">
        <f>IFERROR(__xludf.DUMMYFUNCTION("""COMPUTED_VALUE"""),7.53)</f>
        <v>7.53</v>
      </c>
      <c r="AU1159" s="14">
        <f>IFERROR(__xludf.DUMMYFUNCTION("""COMPUTED_VALUE"""),1.025E8)</f>
        <v>102500000</v>
      </c>
      <c r="AV1159" s="14">
        <f>IFERROR(__xludf.DUMMYFUNCTION("""COMPUTED_VALUE"""),0.21)</f>
        <v>0.21</v>
      </c>
      <c r="AW1159" s="14">
        <f>IFERROR(__xludf.DUMMYFUNCTION("""COMPUTED_VALUE"""),5.0)</f>
        <v>5</v>
      </c>
      <c r="AX1159" s="14">
        <f>IFERROR(__xludf.DUMMYFUNCTION("""COMPUTED_VALUE"""),7270000.0)</f>
        <v>7270000</v>
      </c>
      <c r="AY1159" s="14">
        <f>IFERROR(__xludf.DUMMYFUNCTION("""COMPUTED_VALUE"""),1.3)</f>
        <v>1.3</v>
      </c>
      <c r="AZ1159" s="14">
        <f>IFERROR(__xludf.DUMMYFUNCTION("""COMPUTED_VALUE"""),0.356)</f>
        <v>0.356</v>
      </c>
      <c r="BA1159" s="14">
        <f t="shared" si="1"/>
        <v>6.656</v>
      </c>
    </row>
    <row r="1160" ht="14.25" customHeight="1">
      <c r="A1160" s="10" t="str">
        <f>IFERROR(__xludf.DUMMYFUNCTION("""COMPUTED_VALUE"""),"230924HA03")</f>
        <v>230924HA03</v>
      </c>
      <c r="B1160" s="12" t="str">
        <f>IFERROR(__xludf.DUMMYFUNCTION("""COMPUTED_VALUE"""),"CMO-Cantón Norte")</f>
        <v>CMO-Cantón Norte</v>
      </c>
      <c r="C1160" s="12"/>
      <c r="D1160" s="12"/>
      <c r="E1160" s="44">
        <f>IFERROR(__xludf.DUMMYFUNCTION("""COMPUTED_VALUE"""),45558.0)</f>
        <v>45558</v>
      </c>
      <c r="F1160" s="12" t="str">
        <f>IFERROR(__xludf.DUMMYFUNCTION("""COMPUTED_VALUE"""),"TIPO I")</f>
        <v>TIPO I</v>
      </c>
      <c r="G1160" s="12" t="str">
        <f>IFERROR(__xludf.DUMMYFUNCTION("""COMPUTED_VALUE"""),"Durante el desarrollo del monitoreo no se percibe olor, se observa color y presencia de algas en el lecho. Canal en concreto
Altitud: 2599 msnm")</f>
        <v>Durante el desarrollo del monitoreo no se percibe olor, se observa color y presencia de algas en el lecho. Canal en concreto
Altitud: 2599 msnm</v>
      </c>
      <c r="H1160" s="45">
        <f>IFERROR(__xludf.DUMMYFUNCTION("""COMPUTED_VALUE"""),0.625)</f>
        <v>0.625</v>
      </c>
      <c r="I1160" s="45">
        <f>IFERROR(__xludf.DUMMYFUNCTION("""COMPUTED_VALUE"""),0.7083333333321207)</f>
        <v>0.7083333333</v>
      </c>
      <c r="J1160" s="12">
        <f>IFERROR(__xludf.DUMMYFUNCTION("""COMPUTED_VALUE"""),1.5)</f>
        <v>1.5</v>
      </c>
      <c r="K1160" s="12">
        <f>IFERROR(__xludf.DUMMYFUNCTION("""COMPUTED_VALUE"""),0.11)</f>
        <v>0.11</v>
      </c>
      <c r="L1160" s="14">
        <f>IFERROR(__xludf.DUMMYFUNCTION("""COMPUTED_VALUE"""),58.474)</f>
        <v>58.474</v>
      </c>
      <c r="M1160" s="14">
        <f>IFERROR(__xludf.DUMMYFUNCTION("""COMPUTED_VALUE"""),58.333)</f>
        <v>58.333</v>
      </c>
      <c r="N1160" s="14">
        <f>IFERROR(__xludf.DUMMYFUNCTION("""COMPUTED_VALUE"""),58.727)</f>
        <v>58.727</v>
      </c>
      <c r="O1160" s="14">
        <f>IFERROR(__xludf.DUMMYFUNCTION("""COMPUTED_VALUE"""),58.628)</f>
        <v>58.628</v>
      </c>
      <c r="P1160" s="14">
        <f>IFERROR(__xludf.DUMMYFUNCTION("""COMPUTED_VALUE"""),58.861)</f>
        <v>58.861</v>
      </c>
      <c r="Q1160" s="14">
        <f>IFERROR(__xludf.DUMMYFUNCTION("""COMPUTED_VALUE"""),58.605)</f>
        <v>58.605</v>
      </c>
      <c r="R1160" s="48">
        <f>IFERROR(__xludf.DUMMYFUNCTION("""COMPUTED_VALUE"""),7.35)</f>
        <v>7.35</v>
      </c>
      <c r="S1160" s="48">
        <f>IFERROR(__xludf.DUMMYFUNCTION("""COMPUTED_VALUE"""),7.21)</f>
        <v>7.21</v>
      </c>
      <c r="T1160" s="48">
        <f>IFERROR(__xludf.DUMMYFUNCTION("""COMPUTED_VALUE"""),7.27)</f>
        <v>7.27</v>
      </c>
      <c r="U1160" s="48">
        <f>IFERROR(__xludf.DUMMYFUNCTION("""COMPUTED_VALUE"""),7.39)</f>
        <v>7.39</v>
      </c>
      <c r="V1160" s="48">
        <f>IFERROR(__xludf.DUMMYFUNCTION("""COMPUTED_VALUE"""),7.47)</f>
        <v>7.47</v>
      </c>
      <c r="W1160" s="14">
        <f>IFERROR(__xludf.DUMMYFUNCTION("""COMPUTED_VALUE"""),7.337999999999999)</f>
        <v>7.338</v>
      </c>
      <c r="X1160" s="14">
        <f>IFERROR(__xludf.DUMMYFUNCTION("""COMPUTED_VALUE"""),15.8)</f>
        <v>15.8</v>
      </c>
      <c r="Y1160" s="14">
        <f>IFERROR(__xludf.DUMMYFUNCTION("""COMPUTED_VALUE"""),15.7)</f>
        <v>15.7</v>
      </c>
      <c r="Z1160" s="14">
        <f>IFERROR(__xludf.DUMMYFUNCTION("""COMPUTED_VALUE"""),15.9)</f>
        <v>15.9</v>
      </c>
      <c r="AA1160" s="14">
        <f>IFERROR(__xludf.DUMMYFUNCTION("""COMPUTED_VALUE"""),15.6)</f>
        <v>15.6</v>
      </c>
      <c r="AB1160" s="14">
        <f>IFERROR(__xludf.DUMMYFUNCTION("""COMPUTED_VALUE"""),15.7)</f>
        <v>15.7</v>
      </c>
      <c r="AC1160" s="14">
        <f>IFERROR(__xludf.DUMMYFUNCTION("""COMPUTED_VALUE"""),15.74)</f>
        <v>15.74</v>
      </c>
      <c r="AD1160" s="48">
        <f>IFERROR(__xludf.DUMMYFUNCTION("""COMPUTED_VALUE"""),327.0)</f>
        <v>327</v>
      </c>
      <c r="AE1160" s="48">
        <f>IFERROR(__xludf.DUMMYFUNCTION("""COMPUTED_VALUE"""),338.0)</f>
        <v>338</v>
      </c>
      <c r="AF1160" s="48">
        <f>IFERROR(__xludf.DUMMYFUNCTION("""COMPUTED_VALUE"""),319.0)</f>
        <v>319</v>
      </c>
      <c r="AG1160" s="48">
        <f>IFERROR(__xludf.DUMMYFUNCTION("""COMPUTED_VALUE"""),363.0)</f>
        <v>363</v>
      </c>
      <c r="AH1160" s="48">
        <f>IFERROR(__xludf.DUMMYFUNCTION("""COMPUTED_VALUE"""),351.0)</f>
        <v>351</v>
      </c>
      <c r="AI1160" s="14">
        <f>IFERROR(__xludf.DUMMYFUNCTION("""COMPUTED_VALUE"""),339.6)</f>
        <v>339.6</v>
      </c>
      <c r="AJ1160" s="14">
        <f>IFERROR(__xludf.DUMMYFUNCTION("""COMPUTED_VALUE"""),4.81)</f>
        <v>4.81</v>
      </c>
      <c r="AK1160" s="14">
        <f>IFERROR(__xludf.DUMMYFUNCTION("""COMPUTED_VALUE"""),4.72)</f>
        <v>4.72</v>
      </c>
      <c r="AL1160" s="14">
        <f>IFERROR(__xludf.DUMMYFUNCTION("""COMPUTED_VALUE"""),4.35)</f>
        <v>4.35</v>
      </c>
      <c r="AM1160" s="14">
        <f>IFERROR(__xludf.DUMMYFUNCTION("""COMPUTED_VALUE"""),4.85)</f>
        <v>4.85</v>
      </c>
      <c r="AN1160" s="14">
        <f>IFERROR(__xludf.DUMMYFUNCTION("""COMPUTED_VALUE"""),4.34)</f>
        <v>4.34</v>
      </c>
      <c r="AO1160" s="14">
        <f>IFERROR(__xludf.DUMMYFUNCTION("""COMPUTED_VALUE"""),4.613999999999999)</f>
        <v>4.614</v>
      </c>
      <c r="AP1160" s="14">
        <f>IFERROR(__xludf.DUMMYFUNCTION("""COMPUTED_VALUE"""),45.0)</f>
        <v>45</v>
      </c>
      <c r="AQ1160" s="14">
        <f>IFERROR(__xludf.DUMMYFUNCTION("""COMPUTED_VALUE"""),75.0)</f>
        <v>75</v>
      </c>
      <c r="AR1160" s="14">
        <f>IFERROR(__xludf.DUMMYFUNCTION("""COMPUTED_VALUE"""),18.0)</f>
        <v>18</v>
      </c>
      <c r="AS1160" s="14">
        <f>IFERROR(__xludf.DUMMYFUNCTION("""COMPUTED_VALUE"""),7.3)</f>
        <v>7.3</v>
      </c>
      <c r="AT1160" s="14">
        <f>IFERROR(__xludf.DUMMYFUNCTION("""COMPUTED_VALUE"""),1.82)</f>
        <v>1.82</v>
      </c>
      <c r="AU1160" s="14">
        <f>IFERROR(__xludf.DUMMYFUNCTION("""COMPUTED_VALUE"""),9590000.0)</f>
        <v>9590000</v>
      </c>
      <c r="AV1160" s="14">
        <f>IFERROR(__xludf.DUMMYFUNCTION("""COMPUTED_VALUE"""),3.76)</f>
        <v>3.76</v>
      </c>
      <c r="AW1160" s="14">
        <f>IFERROR(__xludf.DUMMYFUNCTION("""COMPUTED_VALUE"""),21.8)</f>
        <v>21.8</v>
      </c>
      <c r="AX1160" s="14">
        <f>IFERROR(__xludf.DUMMYFUNCTION("""COMPUTED_VALUE"""),7060000.0)</f>
        <v>7060000</v>
      </c>
      <c r="AY1160" s="14">
        <f>IFERROR(__xludf.DUMMYFUNCTION("""COMPUTED_VALUE"""),0.3)</f>
        <v>0.3</v>
      </c>
      <c r="AZ1160" s="14">
        <f>IFERROR(__xludf.DUMMYFUNCTION("""COMPUTED_VALUE"""),0.007)</f>
        <v>0.007</v>
      </c>
      <c r="BA1160" s="14">
        <f t="shared" si="1"/>
        <v>22.107</v>
      </c>
    </row>
    <row r="1161" ht="14.25" customHeight="1">
      <c r="A1161" s="10" t="str">
        <f>IFERROR(__xludf.DUMMYFUNCTION("""COMPUTED_VALUE"""),"230924FE02")</f>
        <v>230924FE02</v>
      </c>
      <c r="B1161" s="12" t="str">
        <f>IFERROR(__xludf.DUMMYFUNCTION("""COMPUTED_VALUE"""),"QCH-Cantarrana")</f>
        <v>QCH-Cantarrana</v>
      </c>
      <c r="C1161" s="12"/>
      <c r="D1161" s="12"/>
      <c r="E1161" s="44">
        <f>IFERROR(__xludf.DUMMYFUNCTION("""COMPUTED_VALUE"""),45558.0)</f>
        <v>45558</v>
      </c>
      <c r="F1161" s="12" t="str">
        <f>IFERROR(__xludf.DUMMYFUNCTION("""COMPUTED_VALUE"""),"TIPO I")</f>
        <v>TIPO I</v>
      </c>
      <c r="G1161" s="12" t="str">
        <f>IFERROR(__xludf.DUMMYFUNCTION("""COMPUTED_VALUE"""),"Durante el desarrollo del monitoreo se observa color, espumas e iridiscencia. Se percibe olor.
")</f>
        <v>Durante el desarrollo del monitoreo se observa color, espumas e iridiscencia. Se percibe olor.
</v>
      </c>
      <c r="H1161" s="45">
        <f>IFERROR(__xludf.DUMMYFUNCTION("""COMPUTED_VALUE"""),0.5416666666678793)</f>
        <v>0.5416666667</v>
      </c>
      <c r="I1161" s="45">
        <f>IFERROR(__xludf.DUMMYFUNCTION("""COMPUTED_VALUE"""),0.625)</f>
        <v>0.625</v>
      </c>
      <c r="J1161" s="12">
        <f>IFERROR(__xludf.DUMMYFUNCTION("""COMPUTED_VALUE"""),0.6)</f>
        <v>0.6</v>
      </c>
      <c r="K1161" s="12">
        <f>IFERROR(__xludf.DUMMYFUNCTION("""COMPUTED_VALUE"""),0.24)</f>
        <v>0.24</v>
      </c>
      <c r="L1161" s="14">
        <f>IFERROR(__xludf.DUMMYFUNCTION("""COMPUTED_VALUE"""),22.545)</f>
        <v>22.545</v>
      </c>
      <c r="M1161" s="14">
        <f>IFERROR(__xludf.DUMMYFUNCTION("""COMPUTED_VALUE"""),22.641)</f>
        <v>22.641</v>
      </c>
      <c r="N1161" s="14">
        <f>IFERROR(__xludf.DUMMYFUNCTION("""COMPUTED_VALUE"""),22.856)</f>
        <v>22.856</v>
      </c>
      <c r="O1161" s="14">
        <f>IFERROR(__xludf.DUMMYFUNCTION("""COMPUTED_VALUE"""),23.121)</f>
        <v>23.121</v>
      </c>
      <c r="P1161" s="14">
        <f>IFERROR(__xludf.DUMMYFUNCTION("""COMPUTED_VALUE"""),23.223)</f>
        <v>23.223</v>
      </c>
      <c r="Q1161" s="14">
        <f>IFERROR(__xludf.DUMMYFUNCTION("""COMPUTED_VALUE"""),22.877)</f>
        <v>22.877</v>
      </c>
      <c r="R1161" s="48">
        <f>IFERROR(__xludf.DUMMYFUNCTION("""COMPUTED_VALUE"""),8.78)</f>
        <v>8.78</v>
      </c>
      <c r="S1161" s="48">
        <f>IFERROR(__xludf.DUMMYFUNCTION("""COMPUTED_VALUE"""),8.75)</f>
        <v>8.75</v>
      </c>
      <c r="T1161" s="48">
        <f>IFERROR(__xludf.DUMMYFUNCTION("""COMPUTED_VALUE"""),8.79)</f>
        <v>8.79</v>
      </c>
      <c r="U1161" s="48">
        <f>IFERROR(__xludf.DUMMYFUNCTION("""COMPUTED_VALUE"""),8.76)</f>
        <v>8.76</v>
      </c>
      <c r="V1161" s="48">
        <f>IFERROR(__xludf.DUMMYFUNCTION("""COMPUTED_VALUE"""),8.79)</f>
        <v>8.79</v>
      </c>
      <c r="W1161" s="14">
        <f>IFERROR(__xludf.DUMMYFUNCTION("""COMPUTED_VALUE"""),8.774)</f>
        <v>8.774</v>
      </c>
      <c r="X1161" s="14">
        <f>IFERROR(__xludf.DUMMYFUNCTION("""COMPUTED_VALUE"""),18.2)</f>
        <v>18.2</v>
      </c>
      <c r="Y1161" s="14">
        <f>IFERROR(__xludf.DUMMYFUNCTION("""COMPUTED_VALUE"""),18.4)</f>
        <v>18.4</v>
      </c>
      <c r="Z1161" s="14">
        <f>IFERROR(__xludf.DUMMYFUNCTION("""COMPUTED_VALUE"""),18.6)</f>
        <v>18.6</v>
      </c>
      <c r="AA1161" s="14">
        <f>IFERROR(__xludf.DUMMYFUNCTION("""COMPUTED_VALUE"""),18.6)</f>
        <v>18.6</v>
      </c>
      <c r="AB1161" s="14">
        <f>IFERROR(__xludf.DUMMYFUNCTION("""COMPUTED_VALUE"""),18.8)</f>
        <v>18.8</v>
      </c>
      <c r="AC1161" s="14">
        <f>IFERROR(__xludf.DUMMYFUNCTION("""COMPUTED_VALUE"""),18.52)</f>
        <v>18.52</v>
      </c>
      <c r="AD1161" s="48">
        <f>IFERROR(__xludf.DUMMYFUNCTION("""COMPUTED_VALUE"""),709.0)</f>
        <v>709</v>
      </c>
      <c r="AE1161" s="48">
        <f>IFERROR(__xludf.DUMMYFUNCTION("""COMPUTED_VALUE"""),713.0)</f>
        <v>713</v>
      </c>
      <c r="AF1161" s="48">
        <f>IFERROR(__xludf.DUMMYFUNCTION("""COMPUTED_VALUE"""),710.0)</f>
        <v>710</v>
      </c>
      <c r="AG1161" s="48">
        <f>IFERROR(__xludf.DUMMYFUNCTION("""COMPUTED_VALUE"""),700.0)</f>
        <v>700</v>
      </c>
      <c r="AH1161" s="48">
        <f>IFERROR(__xludf.DUMMYFUNCTION("""COMPUTED_VALUE"""),702.0)</f>
        <v>702</v>
      </c>
      <c r="AI1161" s="14">
        <f>IFERROR(__xludf.DUMMYFUNCTION("""COMPUTED_VALUE"""),706.8)</f>
        <v>706.8</v>
      </c>
      <c r="AJ1161" s="14">
        <f>IFERROR(__xludf.DUMMYFUNCTION("""COMPUTED_VALUE"""),4.58)</f>
        <v>4.58</v>
      </c>
      <c r="AK1161" s="14">
        <f>IFERROR(__xludf.DUMMYFUNCTION("""COMPUTED_VALUE"""),4.35)</f>
        <v>4.35</v>
      </c>
      <c r="AL1161" s="14">
        <f>IFERROR(__xludf.DUMMYFUNCTION("""COMPUTED_VALUE"""),4.46)</f>
        <v>4.46</v>
      </c>
      <c r="AM1161" s="14">
        <f>IFERROR(__xludf.DUMMYFUNCTION("""COMPUTED_VALUE"""),4.44)</f>
        <v>4.44</v>
      </c>
      <c r="AN1161" s="14">
        <f>IFERROR(__xludf.DUMMYFUNCTION("""COMPUTED_VALUE"""),4.55)</f>
        <v>4.55</v>
      </c>
      <c r="AO1161" s="14">
        <f>IFERROR(__xludf.DUMMYFUNCTION("""COMPUTED_VALUE"""),4.476000000000001)</f>
        <v>4.476</v>
      </c>
      <c r="AP1161" s="14">
        <f>IFERROR(__xludf.DUMMYFUNCTION("""COMPUTED_VALUE"""),332.0)</f>
        <v>332</v>
      </c>
      <c r="AQ1161" s="14">
        <f>IFERROR(__xludf.DUMMYFUNCTION("""COMPUTED_VALUE"""),432.0)</f>
        <v>432</v>
      </c>
      <c r="AR1161" s="14">
        <f>IFERROR(__xludf.DUMMYFUNCTION("""COMPUTED_VALUE"""),169.0)</f>
        <v>169</v>
      </c>
      <c r="AS1161" s="14">
        <f>IFERROR(__xludf.DUMMYFUNCTION("""COMPUTED_VALUE"""),77.0)</f>
        <v>77</v>
      </c>
      <c r="AT1161" s="14">
        <f>IFERROR(__xludf.DUMMYFUNCTION("""COMPUTED_VALUE"""),7.86)</f>
        <v>7.86</v>
      </c>
      <c r="AU1161" s="14">
        <f>IFERROR(__xludf.DUMMYFUNCTION("""COMPUTED_VALUE"""),7.98E7)</f>
        <v>79800000</v>
      </c>
      <c r="AV1161" s="14">
        <f>IFERROR(__xludf.DUMMYFUNCTION("""COMPUTED_VALUE"""),2.68)</f>
        <v>2.68</v>
      </c>
      <c r="AW1161" s="14">
        <f>IFERROR(__xludf.DUMMYFUNCTION("""COMPUTED_VALUE"""),33.0)</f>
        <v>33</v>
      </c>
      <c r="AX1161" s="14">
        <f>IFERROR(__xludf.DUMMYFUNCTION("""COMPUTED_VALUE"""),6170000.0)</f>
        <v>6170000</v>
      </c>
      <c r="AY1161" s="14">
        <f>IFERROR(__xludf.DUMMYFUNCTION("""COMPUTED_VALUE"""),0.7)</f>
        <v>0.7</v>
      </c>
      <c r="AZ1161" s="14">
        <f>IFERROR(__xludf.DUMMYFUNCTION("""COMPUTED_VALUE"""),0.007)</f>
        <v>0.007</v>
      </c>
      <c r="BA1161" s="14">
        <f t="shared" si="1"/>
        <v>33.707</v>
      </c>
    </row>
    <row r="1162" ht="14.25" customHeight="1">
      <c r="A1162" s="10" t="str">
        <f>IFERROR(__xludf.DUMMYFUNCTION("""COMPUTED_VALUE"""),"240924FE02")</f>
        <v>240924FE02</v>
      </c>
      <c r="B1162" s="12" t="str">
        <f>IFERROR(__xludf.DUMMYFUNCTION("""COMPUTED_VALUE"""),"COR-Victoria Norte")</f>
        <v>COR-Victoria Norte</v>
      </c>
      <c r="C1162" s="12"/>
      <c r="D1162" s="12"/>
      <c r="E1162" s="44">
        <f>IFERROR(__xludf.DUMMYFUNCTION("""COMPUTED_VALUE"""),45559.0)</f>
        <v>45559</v>
      </c>
      <c r="F1162" s="12" t="str">
        <f>IFERROR(__xludf.DUMMYFUNCTION("""COMPUTED_VALUE"""),"TIPO I")</f>
        <v>TIPO I</v>
      </c>
      <c r="G1162" s="12" t="str">
        <f>IFERROR(__xludf.DUMMYFUNCTION("""COMPUTED_VALUE"""),"Durante el monitoreo se observa color y se percibe olor. 
Altitud: 2551 msnm")</f>
        <v>Durante el monitoreo se observa color y se percibe olor. 
Altitud: 2551 msnm</v>
      </c>
      <c r="H1162" s="45">
        <f>IFERROR(__xludf.DUMMYFUNCTION("""COMPUTED_VALUE"""),0.4166666666678793)</f>
        <v>0.4166666667</v>
      </c>
      <c r="I1162" s="45">
        <f>IFERROR(__xludf.DUMMYFUNCTION("""COMPUTED_VALUE"""),0.5)</f>
        <v>0.5</v>
      </c>
      <c r="J1162" s="12">
        <f>IFERROR(__xludf.DUMMYFUNCTION("""COMPUTED_VALUE"""),2.9)</f>
        <v>2.9</v>
      </c>
      <c r="K1162" s="12">
        <f>IFERROR(__xludf.DUMMYFUNCTION("""COMPUTED_VALUE"""),0.1)</f>
        <v>0.1</v>
      </c>
      <c r="L1162" s="14">
        <f>IFERROR(__xludf.DUMMYFUNCTION("""COMPUTED_VALUE"""),38.801)</f>
        <v>38.801</v>
      </c>
      <c r="M1162" s="14">
        <f>IFERROR(__xludf.DUMMYFUNCTION("""COMPUTED_VALUE"""),35.28)</f>
        <v>35.28</v>
      </c>
      <c r="N1162" s="14">
        <f>IFERROR(__xludf.DUMMYFUNCTION("""COMPUTED_VALUE"""),36.45)</f>
        <v>36.45</v>
      </c>
      <c r="O1162" s="14">
        <f>IFERROR(__xludf.DUMMYFUNCTION("""COMPUTED_VALUE"""),38.276)</f>
        <v>38.276</v>
      </c>
      <c r="P1162" s="14">
        <f>IFERROR(__xludf.DUMMYFUNCTION("""COMPUTED_VALUE"""),37.087)</f>
        <v>37.087</v>
      </c>
      <c r="Q1162" s="14">
        <f>IFERROR(__xludf.DUMMYFUNCTION("""COMPUTED_VALUE"""),37.179)</f>
        <v>37.179</v>
      </c>
      <c r="R1162" s="48">
        <f>IFERROR(__xludf.DUMMYFUNCTION("""COMPUTED_VALUE"""),6.48)</f>
        <v>6.48</v>
      </c>
      <c r="S1162" s="48">
        <f>IFERROR(__xludf.DUMMYFUNCTION("""COMPUTED_VALUE"""),6.33)</f>
        <v>6.33</v>
      </c>
      <c r="T1162" s="48">
        <f>IFERROR(__xludf.DUMMYFUNCTION("""COMPUTED_VALUE"""),6.27)</f>
        <v>6.27</v>
      </c>
      <c r="U1162" s="48">
        <f>IFERROR(__xludf.DUMMYFUNCTION("""COMPUTED_VALUE"""),6.2)</f>
        <v>6.2</v>
      </c>
      <c r="V1162" s="48">
        <f>IFERROR(__xludf.DUMMYFUNCTION("""COMPUTED_VALUE"""),6.78)</f>
        <v>6.78</v>
      </c>
      <c r="W1162" s="14">
        <f>IFERROR(__xludf.DUMMYFUNCTION("""COMPUTED_VALUE"""),6.411999999999999)</f>
        <v>6.412</v>
      </c>
      <c r="X1162" s="14">
        <f>IFERROR(__xludf.DUMMYFUNCTION("""COMPUTED_VALUE"""),21.8)</f>
        <v>21.8</v>
      </c>
      <c r="Y1162" s="14">
        <f>IFERROR(__xludf.DUMMYFUNCTION("""COMPUTED_VALUE"""),21.0)</f>
        <v>21</v>
      </c>
      <c r="Z1162" s="14">
        <f>IFERROR(__xludf.DUMMYFUNCTION("""COMPUTED_VALUE"""),22.0)</f>
        <v>22</v>
      </c>
      <c r="AA1162" s="14">
        <f>IFERROR(__xludf.DUMMYFUNCTION("""COMPUTED_VALUE"""),22.4)</f>
        <v>22.4</v>
      </c>
      <c r="AB1162" s="14">
        <f>IFERROR(__xludf.DUMMYFUNCTION("""COMPUTED_VALUE"""),21.8)</f>
        <v>21.8</v>
      </c>
      <c r="AC1162" s="14">
        <f>IFERROR(__xludf.DUMMYFUNCTION("""COMPUTED_VALUE"""),21.799999999999997)</f>
        <v>21.8</v>
      </c>
      <c r="AD1162" s="48">
        <f>IFERROR(__xludf.DUMMYFUNCTION("""COMPUTED_VALUE"""),491.0)</f>
        <v>491</v>
      </c>
      <c r="AE1162" s="48">
        <f>IFERROR(__xludf.DUMMYFUNCTION("""COMPUTED_VALUE"""),495.0)</f>
        <v>495</v>
      </c>
      <c r="AF1162" s="48">
        <f>IFERROR(__xludf.DUMMYFUNCTION("""COMPUTED_VALUE"""),501.0)</f>
        <v>501</v>
      </c>
      <c r="AG1162" s="48">
        <f>IFERROR(__xludf.DUMMYFUNCTION("""COMPUTED_VALUE"""),464.0)</f>
        <v>464</v>
      </c>
      <c r="AH1162" s="48">
        <f>IFERROR(__xludf.DUMMYFUNCTION("""COMPUTED_VALUE"""),504.0)</f>
        <v>504</v>
      </c>
      <c r="AI1162" s="14">
        <f>IFERROR(__xludf.DUMMYFUNCTION("""COMPUTED_VALUE"""),491.0)</f>
        <v>491</v>
      </c>
      <c r="AJ1162" s="14">
        <f>IFERROR(__xludf.DUMMYFUNCTION("""COMPUTED_VALUE"""),6.2)</f>
        <v>6.2</v>
      </c>
      <c r="AK1162" s="14">
        <f>IFERROR(__xludf.DUMMYFUNCTION("""COMPUTED_VALUE"""),5.9)</f>
        <v>5.9</v>
      </c>
      <c r="AL1162" s="14">
        <f>IFERROR(__xludf.DUMMYFUNCTION("""COMPUTED_VALUE"""),5.7)</f>
        <v>5.7</v>
      </c>
      <c r="AM1162" s="14">
        <f>IFERROR(__xludf.DUMMYFUNCTION("""COMPUTED_VALUE"""),5.5)</f>
        <v>5.5</v>
      </c>
      <c r="AN1162" s="14">
        <f>IFERROR(__xludf.DUMMYFUNCTION("""COMPUTED_VALUE"""),5.0)</f>
        <v>5</v>
      </c>
      <c r="AO1162" s="14">
        <f>IFERROR(__xludf.DUMMYFUNCTION("""COMPUTED_VALUE"""),5.66)</f>
        <v>5.66</v>
      </c>
      <c r="AP1162" s="14">
        <f>IFERROR(__xludf.DUMMYFUNCTION("""COMPUTED_VALUE"""),52.0)</f>
        <v>52</v>
      </c>
      <c r="AQ1162" s="14">
        <f>IFERROR(__xludf.DUMMYFUNCTION("""COMPUTED_VALUE"""),75.0)</f>
        <v>75</v>
      </c>
      <c r="AR1162" s="14">
        <f>IFERROR(__xludf.DUMMYFUNCTION("""COMPUTED_VALUE"""),14.0)</f>
        <v>14</v>
      </c>
      <c r="AS1162" s="14">
        <f>IFERROR(__xludf.DUMMYFUNCTION("""COMPUTED_VALUE"""),19.0)</f>
        <v>19</v>
      </c>
      <c r="AT1162" s="14">
        <f>IFERROR(__xludf.DUMMYFUNCTION("""COMPUTED_VALUE"""),2.72)</f>
        <v>2.72</v>
      </c>
      <c r="AU1162" s="14">
        <f>IFERROR(__xludf.DUMMYFUNCTION("""COMPUTED_VALUE"""),932000.0)</f>
        <v>932000</v>
      </c>
      <c r="AV1162" s="14">
        <f>IFERROR(__xludf.DUMMYFUNCTION("""COMPUTED_VALUE"""),1.66)</f>
        <v>1.66</v>
      </c>
      <c r="AW1162" s="14">
        <f>IFERROR(__xludf.DUMMYFUNCTION("""COMPUTED_VALUE"""),20.7)</f>
        <v>20.7</v>
      </c>
      <c r="AX1162" s="14">
        <f>IFERROR(__xludf.DUMMYFUNCTION("""COMPUTED_VALUE"""),805000.0)</f>
        <v>805000</v>
      </c>
      <c r="AY1162" s="14">
        <f>IFERROR(__xludf.DUMMYFUNCTION("""COMPUTED_VALUE"""),0.4)</f>
        <v>0.4</v>
      </c>
      <c r="AZ1162" s="14">
        <f>IFERROR(__xludf.DUMMYFUNCTION("""COMPUTED_VALUE"""),0.007)</f>
        <v>0.007</v>
      </c>
      <c r="BA1162" s="14">
        <f t="shared" si="1"/>
        <v>21.107</v>
      </c>
    </row>
    <row r="1163" ht="14.25" customHeight="1">
      <c r="A1163" s="10" t="str">
        <f>IFERROR(__xludf.DUMMYFUNCTION("""COMPUTED_VALUE"""),"240924HA02")</f>
        <v>240924HA02</v>
      </c>
      <c r="B1163" s="12" t="str">
        <f>IFERROR(__xludf.DUMMYFUNCTION("""COMPUTED_VALUE"""),"QYO-Bolonia")</f>
        <v>QYO-Bolonia</v>
      </c>
      <c r="C1163" s="12"/>
      <c r="D1163" s="12"/>
      <c r="E1163" s="44">
        <f>IFERROR(__xludf.DUMMYFUNCTION("""COMPUTED_VALUE"""),45559.0)</f>
        <v>45559</v>
      </c>
      <c r="F1163" s="12" t="str">
        <f>IFERROR(__xludf.DUMMYFUNCTION("""COMPUTED_VALUE"""),"TIPO I")</f>
        <v>TIPO I</v>
      </c>
      <c r="G1163" s="12" t="str">
        <f>IFERROR(__xludf.DUMMYFUNCTION("""COMPUTED_VALUE"""),"Durante el monitoreo se percibe olor, se observa color y material flotante. 
")</f>
        <v>Durante el monitoreo se percibe olor, se observa color y material flotante. 
</v>
      </c>
      <c r="H1163" s="45">
        <f>IFERROR(__xludf.DUMMYFUNCTION("""COMPUTED_VALUE"""),0.5416666666678793)</f>
        <v>0.5416666667</v>
      </c>
      <c r="I1163" s="45">
        <f>IFERROR(__xludf.DUMMYFUNCTION("""COMPUTED_VALUE"""),0.625)</f>
        <v>0.625</v>
      </c>
      <c r="J1163" s="12">
        <f>IFERROR(__xludf.DUMMYFUNCTION("""COMPUTED_VALUE"""),3.5)</f>
        <v>3.5</v>
      </c>
      <c r="K1163" s="12">
        <f>IFERROR(__xludf.DUMMYFUNCTION("""COMPUTED_VALUE"""),0.32)</f>
        <v>0.32</v>
      </c>
      <c r="L1163" s="14">
        <f>IFERROR(__xludf.DUMMYFUNCTION("""COMPUTED_VALUE"""),199.401)</f>
        <v>199.401</v>
      </c>
      <c r="M1163" s="14">
        <f>IFERROR(__xludf.DUMMYFUNCTION("""COMPUTED_VALUE"""),201.265)</f>
        <v>201.265</v>
      </c>
      <c r="N1163" s="14">
        <f>IFERROR(__xludf.DUMMYFUNCTION("""COMPUTED_VALUE"""),203.682)</f>
        <v>203.682</v>
      </c>
      <c r="O1163" s="14">
        <f>IFERROR(__xludf.DUMMYFUNCTION("""COMPUTED_VALUE"""),205.755)</f>
        <v>205.755</v>
      </c>
      <c r="P1163" s="14">
        <f>IFERROR(__xludf.DUMMYFUNCTION("""COMPUTED_VALUE"""),203.108)</f>
        <v>203.108</v>
      </c>
      <c r="Q1163" s="14">
        <f>IFERROR(__xludf.DUMMYFUNCTION("""COMPUTED_VALUE"""),202.642)</f>
        <v>202.642</v>
      </c>
      <c r="R1163" s="48">
        <f>IFERROR(__xludf.DUMMYFUNCTION("""COMPUTED_VALUE"""),6.9)</f>
        <v>6.9</v>
      </c>
      <c r="S1163" s="48">
        <f>IFERROR(__xludf.DUMMYFUNCTION("""COMPUTED_VALUE"""),6.84)</f>
        <v>6.84</v>
      </c>
      <c r="T1163" s="48">
        <f>IFERROR(__xludf.DUMMYFUNCTION("""COMPUTED_VALUE"""),6.78)</f>
        <v>6.78</v>
      </c>
      <c r="U1163" s="48">
        <f>IFERROR(__xludf.DUMMYFUNCTION("""COMPUTED_VALUE"""),6.88)</f>
        <v>6.88</v>
      </c>
      <c r="V1163" s="48">
        <f>IFERROR(__xludf.DUMMYFUNCTION("""COMPUTED_VALUE"""),6.73)</f>
        <v>6.73</v>
      </c>
      <c r="W1163" s="14">
        <f>IFERROR(__xludf.DUMMYFUNCTION("""COMPUTED_VALUE"""),6.825999999999999)</f>
        <v>6.826</v>
      </c>
      <c r="X1163" s="14">
        <f>IFERROR(__xludf.DUMMYFUNCTION("""COMPUTED_VALUE"""),15.9)</f>
        <v>15.9</v>
      </c>
      <c r="Y1163" s="14">
        <f>IFERROR(__xludf.DUMMYFUNCTION("""COMPUTED_VALUE"""),15.6)</f>
        <v>15.6</v>
      </c>
      <c r="Z1163" s="14">
        <f>IFERROR(__xludf.DUMMYFUNCTION("""COMPUTED_VALUE"""),15.0)</f>
        <v>15</v>
      </c>
      <c r="AA1163" s="14">
        <f>IFERROR(__xludf.DUMMYFUNCTION("""COMPUTED_VALUE"""),15.0)</f>
        <v>15</v>
      </c>
      <c r="AB1163" s="14">
        <f>IFERROR(__xludf.DUMMYFUNCTION("""COMPUTED_VALUE"""),14.9)</f>
        <v>14.9</v>
      </c>
      <c r="AC1163" s="14">
        <f>IFERROR(__xludf.DUMMYFUNCTION("""COMPUTED_VALUE"""),15.280000000000001)</f>
        <v>15.28</v>
      </c>
      <c r="AD1163" s="48">
        <f>IFERROR(__xludf.DUMMYFUNCTION("""COMPUTED_VALUE"""),174.8)</f>
        <v>174.8</v>
      </c>
      <c r="AE1163" s="48">
        <f>IFERROR(__xludf.DUMMYFUNCTION("""COMPUTED_VALUE"""),166.5)</f>
        <v>166.5</v>
      </c>
      <c r="AF1163" s="48">
        <f>IFERROR(__xludf.DUMMYFUNCTION("""COMPUTED_VALUE"""),177.7)</f>
        <v>177.7</v>
      </c>
      <c r="AG1163" s="48">
        <f>IFERROR(__xludf.DUMMYFUNCTION("""COMPUTED_VALUE"""),173.8)</f>
        <v>173.8</v>
      </c>
      <c r="AH1163" s="48">
        <f>IFERROR(__xludf.DUMMYFUNCTION("""COMPUTED_VALUE"""),168.2)</f>
        <v>168.2</v>
      </c>
      <c r="AI1163" s="14">
        <f>IFERROR(__xludf.DUMMYFUNCTION("""COMPUTED_VALUE"""),172.2)</f>
        <v>172.2</v>
      </c>
      <c r="AJ1163" s="14">
        <f>IFERROR(__xludf.DUMMYFUNCTION("""COMPUTED_VALUE"""),6.14)</f>
        <v>6.14</v>
      </c>
      <c r="AK1163" s="14">
        <f>IFERROR(__xludf.DUMMYFUNCTION("""COMPUTED_VALUE"""),5.64)</f>
        <v>5.64</v>
      </c>
      <c r="AL1163" s="14">
        <f>IFERROR(__xludf.DUMMYFUNCTION("""COMPUTED_VALUE"""),5.4)</f>
        <v>5.4</v>
      </c>
      <c r="AM1163" s="14">
        <f>IFERROR(__xludf.DUMMYFUNCTION("""COMPUTED_VALUE"""),4.92)</f>
        <v>4.92</v>
      </c>
      <c r="AN1163" s="14">
        <f>IFERROR(__xludf.DUMMYFUNCTION("""COMPUTED_VALUE"""),6.73)</f>
        <v>6.73</v>
      </c>
      <c r="AO1163" s="14">
        <f>IFERROR(__xludf.DUMMYFUNCTION("""COMPUTED_VALUE"""),5.766)</f>
        <v>5.766</v>
      </c>
      <c r="AP1163" s="14">
        <f>IFERROR(__xludf.DUMMYFUNCTION("""COMPUTED_VALUE"""),9.0)</f>
        <v>9</v>
      </c>
      <c r="AQ1163" s="14">
        <f>IFERROR(__xludf.DUMMYFUNCTION("""COMPUTED_VALUE"""),33.0)</f>
        <v>33</v>
      </c>
      <c r="AR1163" s="14">
        <f>IFERROR(__xludf.DUMMYFUNCTION("""COMPUTED_VALUE"""),5.0)</f>
        <v>5</v>
      </c>
      <c r="AS1163" s="14">
        <f>IFERROR(__xludf.DUMMYFUNCTION("""COMPUTED_VALUE"""),8.1)</f>
        <v>8.1</v>
      </c>
      <c r="AT1163" s="14">
        <f>IFERROR(__xludf.DUMMYFUNCTION("""COMPUTED_VALUE"""),0.07)</f>
        <v>0.07</v>
      </c>
      <c r="AU1163" s="14">
        <f>IFERROR(__xludf.DUMMYFUNCTION("""COMPUTED_VALUE"""),1.467E8)</f>
        <v>146700000</v>
      </c>
      <c r="AV1163" s="14">
        <f>IFERROR(__xludf.DUMMYFUNCTION("""COMPUTED_VALUE"""),0.3)</f>
        <v>0.3</v>
      </c>
      <c r="AW1163" s="14">
        <f>IFERROR(__xludf.DUMMYFUNCTION("""COMPUTED_VALUE"""),4.2)</f>
        <v>4.2</v>
      </c>
      <c r="AX1163" s="14">
        <f>IFERROR(__xludf.DUMMYFUNCTION("""COMPUTED_VALUE"""),1.314E8)</f>
        <v>131400000</v>
      </c>
      <c r="AY1163" s="14">
        <f>IFERROR(__xludf.DUMMYFUNCTION("""COMPUTED_VALUE"""),2.0)</f>
        <v>2</v>
      </c>
      <c r="AZ1163" s="14">
        <f>IFERROR(__xludf.DUMMYFUNCTION("""COMPUTED_VALUE"""),0.11)</f>
        <v>0.11</v>
      </c>
      <c r="BA1163" s="14">
        <f t="shared" si="1"/>
        <v>6.31</v>
      </c>
    </row>
    <row r="1164" ht="14.25" customHeight="1">
      <c r="A1164" s="10" t="str">
        <f>IFERROR(__xludf.DUMMYFUNCTION("""COMPUTED_VALUE"""),"250924HA01")</f>
        <v>250924HA01</v>
      </c>
      <c r="B1164" s="12" t="str">
        <f>IFERROR(__xludf.DUMMYFUNCTION("""COMPUTED_VALUE"""),"QTR-Mochuelo Bajo")</f>
        <v>QTR-Mochuelo Bajo</v>
      </c>
      <c r="C1164" s="12"/>
      <c r="D1164" s="12"/>
      <c r="E1164" s="44">
        <f>IFERROR(__xludf.DUMMYFUNCTION("""COMPUTED_VALUE"""),45560.0)</f>
        <v>45560</v>
      </c>
      <c r="F1164" s="12" t="str">
        <f>IFERROR(__xludf.DUMMYFUNCTION("""COMPUTED_VALUE"""),"TIPO I")</f>
        <v>TIPO I</v>
      </c>
      <c r="G1164" s="12" t="str">
        <f>IFERROR(__xludf.DUMMYFUNCTION("""COMPUTED_VALUE"""),"Lecho natural rocoso, arenoso durante el monitoreo se percibe olor, se observa color.
")</f>
        <v>Lecho natural rocoso, arenoso durante el monitoreo se percibe olor, se observa color.
</v>
      </c>
      <c r="H1164" s="45">
        <f>IFERROR(__xludf.DUMMYFUNCTION("""COMPUTED_VALUE"""),0.4583333333321207)</f>
        <v>0.4583333333</v>
      </c>
      <c r="I1164" s="45">
        <f>IFERROR(__xludf.DUMMYFUNCTION("""COMPUTED_VALUE"""),0.5416666666678793)</f>
        <v>0.5416666667</v>
      </c>
      <c r="J1164" s="12">
        <f>IFERROR(__xludf.DUMMYFUNCTION("""COMPUTED_VALUE"""),1.2)</f>
        <v>1.2</v>
      </c>
      <c r="K1164" s="12">
        <f>IFERROR(__xludf.DUMMYFUNCTION("""COMPUTED_VALUE"""),0.35)</f>
        <v>0.35</v>
      </c>
      <c r="L1164" s="14">
        <f>IFERROR(__xludf.DUMMYFUNCTION("""COMPUTED_VALUE"""),26.399)</f>
        <v>26.399</v>
      </c>
      <c r="M1164" s="14">
        <f>IFERROR(__xludf.DUMMYFUNCTION("""COMPUTED_VALUE"""),26.813)</f>
        <v>26.813</v>
      </c>
      <c r="N1164" s="14">
        <f>IFERROR(__xludf.DUMMYFUNCTION("""COMPUTED_VALUE"""),27.182)</f>
        <v>27.182</v>
      </c>
      <c r="O1164" s="14">
        <f>IFERROR(__xludf.DUMMYFUNCTION("""COMPUTED_VALUE"""),28.805)</f>
        <v>28.805</v>
      </c>
      <c r="P1164" s="14">
        <f>IFERROR(__xludf.DUMMYFUNCTION("""COMPUTED_VALUE"""),27.259)</f>
        <v>27.259</v>
      </c>
      <c r="Q1164" s="14">
        <f>IFERROR(__xludf.DUMMYFUNCTION("""COMPUTED_VALUE"""),27.291)</f>
        <v>27.291</v>
      </c>
      <c r="R1164" s="48">
        <f>IFERROR(__xludf.DUMMYFUNCTION("""COMPUTED_VALUE"""),7.45)</f>
        <v>7.45</v>
      </c>
      <c r="S1164" s="48">
        <f>IFERROR(__xludf.DUMMYFUNCTION("""COMPUTED_VALUE"""),7.41)</f>
        <v>7.41</v>
      </c>
      <c r="T1164" s="48">
        <f>IFERROR(__xludf.DUMMYFUNCTION("""COMPUTED_VALUE"""),7.47)</f>
        <v>7.47</v>
      </c>
      <c r="U1164" s="48">
        <f>IFERROR(__xludf.DUMMYFUNCTION("""COMPUTED_VALUE"""),7.37)</f>
        <v>7.37</v>
      </c>
      <c r="V1164" s="48">
        <f>IFERROR(__xludf.DUMMYFUNCTION("""COMPUTED_VALUE"""),7.42)</f>
        <v>7.42</v>
      </c>
      <c r="W1164" s="14">
        <f>IFERROR(__xludf.DUMMYFUNCTION("""COMPUTED_VALUE"""),7.4239999999999995)</f>
        <v>7.424</v>
      </c>
      <c r="X1164" s="14">
        <f>IFERROR(__xludf.DUMMYFUNCTION("""COMPUTED_VALUE"""),17.4)</f>
        <v>17.4</v>
      </c>
      <c r="Y1164" s="14">
        <f>IFERROR(__xludf.DUMMYFUNCTION("""COMPUTED_VALUE"""),17.5)</f>
        <v>17.5</v>
      </c>
      <c r="Z1164" s="14">
        <f>IFERROR(__xludf.DUMMYFUNCTION("""COMPUTED_VALUE"""),17.9)</f>
        <v>17.9</v>
      </c>
      <c r="AA1164" s="14">
        <f>IFERROR(__xludf.DUMMYFUNCTION("""COMPUTED_VALUE"""),18.4)</f>
        <v>18.4</v>
      </c>
      <c r="AB1164" s="14">
        <f>IFERROR(__xludf.DUMMYFUNCTION("""COMPUTED_VALUE"""),18.2)</f>
        <v>18.2</v>
      </c>
      <c r="AC1164" s="14">
        <f>IFERROR(__xludf.DUMMYFUNCTION("""COMPUTED_VALUE"""),17.88)</f>
        <v>17.88</v>
      </c>
      <c r="AD1164" s="48">
        <f>IFERROR(__xludf.DUMMYFUNCTION("""COMPUTED_VALUE"""),622.0)</f>
        <v>622</v>
      </c>
      <c r="AE1164" s="48">
        <f>IFERROR(__xludf.DUMMYFUNCTION("""COMPUTED_VALUE"""),566.0)</f>
        <v>566</v>
      </c>
      <c r="AF1164" s="48">
        <f>IFERROR(__xludf.DUMMYFUNCTION("""COMPUTED_VALUE"""),572.0)</f>
        <v>572</v>
      </c>
      <c r="AG1164" s="48">
        <f>IFERROR(__xludf.DUMMYFUNCTION("""COMPUTED_VALUE"""),531.0)</f>
        <v>531</v>
      </c>
      <c r="AH1164" s="48">
        <f>IFERROR(__xludf.DUMMYFUNCTION("""COMPUTED_VALUE"""),563.0)</f>
        <v>563</v>
      </c>
      <c r="AI1164" s="14">
        <f>IFERROR(__xludf.DUMMYFUNCTION("""COMPUTED_VALUE"""),570.8)</f>
        <v>570.8</v>
      </c>
      <c r="AJ1164" s="14">
        <f>IFERROR(__xludf.DUMMYFUNCTION("""COMPUTED_VALUE"""),3.75)</f>
        <v>3.75</v>
      </c>
      <c r="AK1164" s="14">
        <f>IFERROR(__xludf.DUMMYFUNCTION("""COMPUTED_VALUE"""),3.62)</f>
        <v>3.62</v>
      </c>
      <c r="AL1164" s="14">
        <f>IFERROR(__xludf.DUMMYFUNCTION("""COMPUTED_VALUE"""),3.45)</f>
        <v>3.45</v>
      </c>
      <c r="AM1164" s="14">
        <f>IFERROR(__xludf.DUMMYFUNCTION("""COMPUTED_VALUE"""),3.24)</f>
        <v>3.24</v>
      </c>
      <c r="AN1164" s="14">
        <f>IFERROR(__xludf.DUMMYFUNCTION("""COMPUTED_VALUE"""),4.0)</f>
        <v>4</v>
      </c>
      <c r="AO1164" s="14">
        <f>IFERROR(__xludf.DUMMYFUNCTION("""COMPUTED_VALUE"""),3.6120000000000005)</f>
        <v>3.612</v>
      </c>
      <c r="AP1164" s="14">
        <f>IFERROR(__xludf.DUMMYFUNCTION("""COMPUTED_VALUE"""),76.0)</f>
        <v>76</v>
      </c>
      <c r="AQ1164" s="14">
        <f>IFERROR(__xludf.DUMMYFUNCTION("""COMPUTED_VALUE"""),115.0)</f>
        <v>115</v>
      </c>
      <c r="AR1164" s="14">
        <f>IFERROR(__xludf.DUMMYFUNCTION("""COMPUTED_VALUE"""),22.0)</f>
        <v>22</v>
      </c>
      <c r="AS1164" s="14">
        <f>IFERROR(__xludf.DUMMYFUNCTION("""COMPUTED_VALUE"""),13.7)</f>
        <v>13.7</v>
      </c>
      <c r="AT1164" s="14">
        <f>IFERROR(__xludf.DUMMYFUNCTION("""COMPUTED_VALUE"""),3.4)</f>
        <v>3.4</v>
      </c>
      <c r="AU1164" s="14">
        <f>IFERROR(__xludf.DUMMYFUNCTION("""COMPUTED_VALUE"""),857000.0)</f>
        <v>857000</v>
      </c>
      <c r="AV1164" s="14">
        <f>IFERROR(__xludf.DUMMYFUNCTION("""COMPUTED_VALUE"""),2.46)</f>
        <v>2.46</v>
      </c>
      <c r="AW1164" s="14">
        <f>IFERROR(__xludf.DUMMYFUNCTION("""COMPUTED_VALUE"""),22.4)</f>
        <v>22.4</v>
      </c>
      <c r="AX1164" s="14">
        <f>IFERROR(__xludf.DUMMYFUNCTION("""COMPUTED_VALUE"""),727000.0)</f>
        <v>727000</v>
      </c>
      <c r="AY1164" s="14">
        <f>IFERROR(__xludf.DUMMYFUNCTION("""COMPUTED_VALUE"""),0.7)</f>
        <v>0.7</v>
      </c>
      <c r="AZ1164" s="14">
        <f>IFERROR(__xludf.DUMMYFUNCTION("""COMPUTED_VALUE"""),0.007)</f>
        <v>0.007</v>
      </c>
      <c r="BA1164" s="14">
        <f t="shared" si="1"/>
        <v>23.107</v>
      </c>
    </row>
    <row r="1165" ht="14.25" customHeight="1">
      <c r="A1165" s="10" t="str">
        <f>IFERROR(__xludf.DUMMYFUNCTION("""COMPUTED_VALUE"""),"230924DA03")</f>
        <v>230924DA03</v>
      </c>
      <c r="B1165" s="12" t="str">
        <f>IFERROR(__xludf.DUMMYFUNCTION("""COMPUTED_VALUE"""),"COR-Britalia")</f>
        <v>COR-Britalia</v>
      </c>
      <c r="C1165" s="12"/>
      <c r="D1165" s="12"/>
      <c r="E1165" s="44">
        <f>IFERROR(__xludf.DUMMYFUNCTION("""COMPUTED_VALUE"""),45558.0)</f>
        <v>45558</v>
      </c>
      <c r="F1165" s="12" t="str">
        <f>IFERROR(__xludf.DUMMYFUNCTION("""COMPUTED_VALUE"""),"TIPO I")</f>
        <v>TIPO I</v>
      </c>
      <c r="G1165" s="12" t="str">
        <f>IFERROR(__xludf.DUMMYFUNCTION("""COMPUTED_VALUE"""),"Toma de muestra en canal en concreto con presencia de sedimentos (lama). Durante el monitoreo se percibe olor y se observa color y material flotante.La ronda del caudal se encuentra cubierta con polisombra, por trabajos de obras civiles sin interferencia "&amp;"al caudal.
Altitud: 2564 msnm. ")</f>
        <v>Toma de muestra en canal en concreto con presencia de sedimentos (lama). Durante el monitoreo se percibe olor y se observa color y material flotante.La ronda del caudal se encuentra cubierta con polisombra, por trabajos de obras civiles sin interferencia al caudal.
Altitud: 2564 msnm. </v>
      </c>
      <c r="H1165" s="45">
        <f>IFERROR(__xludf.DUMMYFUNCTION("""COMPUTED_VALUE"""),0.6666666666678793)</f>
        <v>0.6666666667</v>
      </c>
      <c r="I1165" s="45">
        <f>IFERROR(__xludf.DUMMYFUNCTION("""COMPUTED_VALUE"""),0.75)</f>
        <v>0.75</v>
      </c>
      <c r="J1165" s="12">
        <f>IFERROR(__xludf.DUMMYFUNCTION("""COMPUTED_VALUE"""),3.4)</f>
        <v>3.4</v>
      </c>
      <c r="K1165" s="12">
        <f>IFERROR(__xludf.DUMMYFUNCTION("""COMPUTED_VALUE"""),0.07)</f>
        <v>0.07</v>
      </c>
      <c r="L1165" s="14">
        <f>IFERROR(__xludf.DUMMYFUNCTION("""COMPUTED_VALUE"""),7.174)</f>
        <v>7.174</v>
      </c>
      <c r="M1165" s="14">
        <f>IFERROR(__xludf.DUMMYFUNCTION("""COMPUTED_VALUE"""),7.06)</f>
        <v>7.06</v>
      </c>
      <c r="N1165" s="14">
        <f>IFERROR(__xludf.DUMMYFUNCTION("""COMPUTED_VALUE"""),7.235)</f>
        <v>7.235</v>
      </c>
      <c r="O1165" s="14">
        <f>IFERROR(__xludf.DUMMYFUNCTION("""COMPUTED_VALUE"""),7.117)</f>
        <v>7.117</v>
      </c>
      <c r="P1165" s="14">
        <f>IFERROR(__xludf.DUMMYFUNCTION("""COMPUTED_VALUE"""),6.939)</f>
        <v>6.939</v>
      </c>
      <c r="Q1165" s="14">
        <f>IFERROR(__xludf.DUMMYFUNCTION("""COMPUTED_VALUE"""),7.105)</f>
        <v>7.105</v>
      </c>
      <c r="R1165" s="48">
        <f>IFERROR(__xludf.DUMMYFUNCTION("""COMPUTED_VALUE"""),7.73)</f>
        <v>7.73</v>
      </c>
      <c r="S1165" s="48">
        <f>IFERROR(__xludf.DUMMYFUNCTION("""COMPUTED_VALUE"""),7.59)</f>
        <v>7.59</v>
      </c>
      <c r="T1165" s="48">
        <f>IFERROR(__xludf.DUMMYFUNCTION("""COMPUTED_VALUE"""),7.55)</f>
        <v>7.55</v>
      </c>
      <c r="U1165" s="48">
        <f>IFERROR(__xludf.DUMMYFUNCTION("""COMPUTED_VALUE"""),7.52)</f>
        <v>7.52</v>
      </c>
      <c r="V1165" s="48">
        <f>IFERROR(__xludf.DUMMYFUNCTION("""COMPUTED_VALUE"""),7.51)</f>
        <v>7.51</v>
      </c>
      <c r="W1165" s="14">
        <f>IFERROR(__xludf.DUMMYFUNCTION("""COMPUTED_VALUE"""),7.58)</f>
        <v>7.58</v>
      </c>
      <c r="X1165" s="14">
        <f>IFERROR(__xludf.DUMMYFUNCTION("""COMPUTED_VALUE"""),19.5)</f>
        <v>19.5</v>
      </c>
      <c r="Y1165" s="14">
        <f>IFERROR(__xludf.DUMMYFUNCTION("""COMPUTED_VALUE"""),19.2)</f>
        <v>19.2</v>
      </c>
      <c r="Z1165" s="14">
        <f>IFERROR(__xludf.DUMMYFUNCTION("""COMPUTED_VALUE"""),18.9)</f>
        <v>18.9</v>
      </c>
      <c r="AA1165" s="14">
        <f>IFERROR(__xludf.DUMMYFUNCTION("""COMPUTED_VALUE"""),18.9)</f>
        <v>18.9</v>
      </c>
      <c r="AB1165" s="14">
        <f>IFERROR(__xludf.DUMMYFUNCTION("""COMPUTED_VALUE"""),18.9)</f>
        <v>18.9</v>
      </c>
      <c r="AC1165" s="14">
        <f>IFERROR(__xludf.DUMMYFUNCTION("""COMPUTED_VALUE"""),19.080000000000002)</f>
        <v>19.08</v>
      </c>
      <c r="AD1165" s="48">
        <f>IFERROR(__xludf.DUMMYFUNCTION("""COMPUTED_VALUE"""),376.0)</f>
        <v>376</v>
      </c>
      <c r="AE1165" s="48">
        <f>IFERROR(__xludf.DUMMYFUNCTION("""COMPUTED_VALUE"""),378.0)</f>
        <v>378</v>
      </c>
      <c r="AF1165" s="48">
        <f>IFERROR(__xludf.DUMMYFUNCTION("""COMPUTED_VALUE"""),377.0)</f>
        <v>377</v>
      </c>
      <c r="AG1165" s="48">
        <f>IFERROR(__xludf.DUMMYFUNCTION("""COMPUTED_VALUE"""),376.0)</f>
        <v>376</v>
      </c>
      <c r="AH1165" s="48">
        <f>IFERROR(__xludf.DUMMYFUNCTION("""COMPUTED_VALUE"""),375.0)</f>
        <v>375</v>
      </c>
      <c r="AI1165" s="14">
        <f>IFERROR(__xludf.DUMMYFUNCTION("""COMPUTED_VALUE"""),376.4)</f>
        <v>376.4</v>
      </c>
      <c r="AJ1165" s="14">
        <f>IFERROR(__xludf.DUMMYFUNCTION("""COMPUTED_VALUE"""),1.67)</f>
        <v>1.67</v>
      </c>
      <c r="AK1165" s="14">
        <f>IFERROR(__xludf.DUMMYFUNCTION("""COMPUTED_VALUE"""),1.26)</f>
        <v>1.26</v>
      </c>
      <c r="AL1165" s="14">
        <f>IFERROR(__xludf.DUMMYFUNCTION("""COMPUTED_VALUE"""),1.4)</f>
        <v>1.4</v>
      </c>
      <c r="AM1165" s="14">
        <f>IFERROR(__xludf.DUMMYFUNCTION("""COMPUTED_VALUE"""),0.98)</f>
        <v>0.98</v>
      </c>
      <c r="AN1165" s="14">
        <f>IFERROR(__xludf.DUMMYFUNCTION("""COMPUTED_VALUE"""),1.3)</f>
        <v>1.3</v>
      </c>
      <c r="AO1165" s="14">
        <f>IFERROR(__xludf.DUMMYFUNCTION("""COMPUTED_VALUE"""),1.322)</f>
        <v>1.322</v>
      </c>
      <c r="AP1165" s="14">
        <f>IFERROR(__xludf.DUMMYFUNCTION("""COMPUTED_VALUE"""),67.0)</f>
        <v>67</v>
      </c>
      <c r="AQ1165" s="14">
        <f>IFERROR(__xludf.DUMMYFUNCTION("""COMPUTED_VALUE"""),83.0)</f>
        <v>83</v>
      </c>
      <c r="AR1165" s="14">
        <f>IFERROR(__xludf.DUMMYFUNCTION("""COMPUTED_VALUE"""),34.0)</f>
        <v>34</v>
      </c>
      <c r="AS1165" s="14">
        <f>IFERROR(__xludf.DUMMYFUNCTION("""COMPUTED_VALUE"""),15.3)</f>
        <v>15.3</v>
      </c>
      <c r="AT1165" s="14">
        <f>IFERROR(__xludf.DUMMYFUNCTION("""COMPUTED_VALUE"""),2.22)</f>
        <v>2.22</v>
      </c>
      <c r="AU1165" s="14">
        <f>IFERROR(__xludf.DUMMYFUNCTION("""COMPUTED_VALUE"""),1.723E8)</f>
        <v>172300000</v>
      </c>
      <c r="AV1165" s="14">
        <f>IFERROR(__xludf.DUMMYFUNCTION("""COMPUTED_VALUE"""),2.49)</f>
        <v>2.49</v>
      </c>
      <c r="AW1165" s="14">
        <f>IFERROR(__xludf.DUMMYFUNCTION("""COMPUTED_VALUE"""),21.0)</f>
        <v>21</v>
      </c>
      <c r="AX1165" s="14">
        <f>IFERROR(__xludf.DUMMYFUNCTION("""COMPUTED_VALUE"""),1.224E8)</f>
        <v>122400000</v>
      </c>
      <c r="AY1165" s="14">
        <f>IFERROR(__xludf.DUMMYFUNCTION("""COMPUTED_VALUE"""),0.3)</f>
        <v>0.3</v>
      </c>
      <c r="AZ1165" s="14">
        <f>IFERROR(__xludf.DUMMYFUNCTION("""COMPUTED_VALUE"""),0.007)</f>
        <v>0.007</v>
      </c>
      <c r="BA1165" s="14">
        <f t="shared" si="1"/>
        <v>21.307</v>
      </c>
    </row>
    <row r="1166" ht="14.25" customHeight="1">
      <c r="A1166" s="10" t="str">
        <f>IFERROR(__xludf.DUMMYFUNCTION("""COMPUTED_VALUE"""),"250924DA01")</f>
        <v>250924DA01</v>
      </c>
      <c r="B1166" s="12" t="str">
        <f>IFERROR(__xludf.DUMMYFUNCTION("""COMPUTED_VALUE"""),"CON-Callejas")</f>
        <v>CON-Callejas</v>
      </c>
      <c r="C1166" s="12"/>
      <c r="D1166" s="12"/>
      <c r="E1166" s="44">
        <f>IFERROR(__xludf.DUMMYFUNCTION("""COMPUTED_VALUE"""),45560.0)</f>
        <v>45560</v>
      </c>
      <c r="F1166" s="12" t="str">
        <f>IFERROR(__xludf.DUMMYFUNCTION("""COMPUTED_VALUE"""),"TIPO I")</f>
        <v>TIPO I</v>
      </c>
      <c r="G1166" s="12" t="str">
        <f>IFERROR(__xludf.DUMMYFUNCTION("""COMPUTED_VALUE"""),"Durante el monitoreo se observa color, material flotante y se percibe olor. 
Altitud: 2568 msnm")</f>
        <v>Durante el monitoreo se observa color, material flotante y se percibe olor. 
Altitud: 2568 msnm</v>
      </c>
      <c r="H1166" s="45">
        <f>IFERROR(__xludf.DUMMYFUNCTION("""COMPUTED_VALUE"""),0.4583333333321207)</f>
        <v>0.4583333333</v>
      </c>
      <c r="I1166" s="45">
        <f>IFERROR(__xludf.DUMMYFUNCTION("""COMPUTED_VALUE"""),0.5416666666678793)</f>
        <v>0.5416666667</v>
      </c>
      <c r="J1166" s="12">
        <f>IFERROR(__xludf.DUMMYFUNCTION("""COMPUTED_VALUE"""),4.0)</f>
        <v>4</v>
      </c>
      <c r="K1166" s="12">
        <f>IFERROR(__xludf.DUMMYFUNCTION("""COMPUTED_VALUE"""),0.11)</f>
        <v>0.11</v>
      </c>
      <c r="L1166" s="14">
        <f>IFERROR(__xludf.DUMMYFUNCTION("""COMPUTED_VALUE"""),91.456)</f>
        <v>91.456</v>
      </c>
      <c r="M1166" s="14">
        <f>IFERROR(__xludf.DUMMYFUNCTION("""COMPUTED_VALUE"""),95.158)</f>
        <v>95.158</v>
      </c>
      <c r="N1166" s="14">
        <f>IFERROR(__xludf.DUMMYFUNCTION("""COMPUTED_VALUE"""),99.824)</f>
        <v>99.824</v>
      </c>
      <c r="O1166" s="14">
        <f>IFERROR(__xludf.DUMMYFUNCTION("""COMPUTED_VALUE"""),98.254)</f>
        <v>98.254</v>
      </c>
      <c r="P1166" s="14">
        <f>IFERROR(__xludf.DUMMYFUNCTION("""COMPUTED_VALUE"""),103.811)</f>
        <v>103.811</v>
      </c>
      <c r="Q1166" s="14">
        <f>IFERROR(__xludf.DUMMYFUNCTION("""COMPUTED_VALUE"""),97.7)</f>
        <v>97.7</v>
      </c>
      <c r="R1166" s="48">
        <f>IFERROR(__xludf.DUMMYFUNCTION("""COMPUTED_VALUE"""),8.69)</f>
        <v>8.69</v>
      </c>
      <c r="S1166" s="48">
        <f>IFERROR(__xludf.DUMMYFUNCTION("""COMPUTED_VALUE"""),8.82)</f>
        <v>8.82</v>
      </c>
      <c r="T1166" s="48">
        <f>IFERROR(__xludf.DUMMYFUNCTION("""COMPUTED_VALUE"""),8.84)</f>
        <v>8.84</v>
      </c>
      <c r="U1166" s="48">
        <f>IFERROR(__xludf.DUMMYFUNCTION("""COMPUTED_VALUE"""),8.89)</f>
        <v>8.89</v>
      </c>
      <c r="V1166" s="48">
        <f>IFERROR(__xludf.DUMMYFUNCTION("""COMPUTED_VALUE"""),8.87)</f>
        <v>8.87</v>
      </c>
      <c r="W1166" s="14">
        <f>IFERROR(__xludf.DUMMYFUNCTION("""COMPUTED_VALUE"""),8.822)</f>
        <v>8.822</v>
      </c>
      <c r="X1166" s="14">
        <f>IFERROR(__xludf.DUMMYFUNCTION("""COMPUTED_VALUE"""),21.3)</f>
        <v>21.3</v>
      </c>
      <c r="Y1166" s="14">
        <f>IFERROR(__xludf.DUMMYFUNCTION("""COMPUTED_VALUE"""),21.6)</f>
        <v>21.6</v>
      </c>
      <c r="Z1166" s="14">
        <f>IFERROR(__xludf.DUMMYFUNCTION("""COMPUTED_VALUE"""),22.8)</f>
        <v>22.8</v>
      </c>
      <c r="AA1166" s="14">
        <f>IFERROR(__xludf.DUMMYFUNCTION("""COMPUTED_VALUE"""),22.6)</f>
        <v>22.6</v>
      </c>
      <c r="AB1166" s="14">
        <f>IFERROR(__xludf.DUMMYFUNCTION("""COMPUTED_VALUE"""),22.8)</f>
        <v>22.8</v>
      </c>
      <c r="AC1166" s="14">
        <f>IFERROR(__xludf.DUMMYFUNCTION("""COMPUTED_VALUE"""),22.220000000000002)</f>
        <v>22.22</v>
      </c>
      <c r="AD1166" s="48">
        <f>IFERROR(__xludf.DUMMYFUNCTION("""COMPUTED_VALUE"""),809.0)</f>
        <v>809</v>
      </c>
      <c r="AE1166" s="48">
        <f>IFERROR(__xludf.DUMMYFUNCTION("""COMPUTED_VALUE"""),857.0)</f>
        <v>857</v>
      </c>
      <c r="AF1166" s="48">
        <f>IFERROR(__xludf.DUMMYFUNCTION("""COMPUTED_VALUE"""),856.0)</f>
        <v>856</v>
      </c>
      <c r="AG1166" s="48">
        <f>IFERROR(__xludf.DUMMYFUNCTION("""COMPUTED_VALUE"""),840.0)</f>
        <v>840</v>
      </c>
      <c r="AH1166" s="48">
        <f>IFERROR(__xludf.DUMMYFUNCTION("""COMPUTED_VALUE"""),823.0)</f>
        <v>823</v>
      </c>
      <c r="AI1166" s="14">
        <f>IFERROR(__xludf.DUMMYFUNCTION("""COMPUTED_VALUE"""),837.0)</f>
        <v>837</v>
      </c>
      <c r="AJ1166" s="14">
        <f>IFERROR(__xludf.DUMMYFUNCTION("""COMPUTED_VALUE"""),0.92)</f>
        <v>0.92</v>
      </c>
      <c r="AK1166" s="14">
        <f>IFERROR(__xludf.DUMMYFUNCTION("""COMPUTED_VALUE"""),0.84)</f>
        <v>0.84</v>
      </c>
      <c r="AL1166" s="14">
        <f>IFERROR(__xludf.DUMMYFUNCTION("""COMPUTED_VALUE"""),0.92)</f>
        <v>0.92</v>
      </c>
      <c r="AM1166" s="14">
        <f>IFERROR(__xludf.DUMMYFUNCTION("""COMPUTED_VALUE"""),1.01)</f>
        <v>1.01</v>
      </c>
      <c r="AN1166" s="14">
        <f>IFERROR(__xludf.DUMMYFUNCTION("""COMPUTED_VALUE"""),0.97)</f>
        <v>0.97</v>
      </c>
      <c r="AO1166" s="14">
        <f>IFERROR(__xludf.DUMMYFUNCTION("""COMPUTED_VALUE"""),0.932)</f>
        <v>0.932</v>
      </c>
      <c r="AP1166" s="14">
        <f>IFERROR(__xludf.DUMMYFUNCTION("""COMPUTED_VALUE"""),192.0)</f>
        <v>192</v>
      </c>
      <c r="AQ1166" s="14">
        <f>IFERROR(__xludf.DUMMYFUNCTION("""COMPUTED_VALUE"""),320.0)</f>
        <v>320</v>
      </c>
      <c r="AR1166" s="14">
        <f>IFERROR(__xludf.DUMMYFUNCTION("""COMPUTED_VALUE"""),196.0)</f>
        <v>196</v>
      </c>
      <c r="AS1166" s="14">
        <f>IFERROR(__xludf.DUMMYFUNCTION("""COMPUTED_VALUE"""),42.0)</f>
        <v>42</v>
      </c>
      <c r="AT1166" s="14">
        <f>IFERROR(__xludf.DUMMYFUNCTION("""COMPUTED_VALUE"""),3.36)</f>
        <v>3.36</v>
      </c>
      <c r="AU1166" s="14">
        <f>IFERROR(__xludf.DUMMYFUNCTION("""COMPUTED_VALUE"""),1.483E8)</f>
        <v>148300000</v>
      </c>
      <c r="AV1166" s="14">
        <f>IFERROR(__xludf.DUMMYFUNCTION("""COMPUTED_VALUE"""),7.3)</f>
        <v>7.3</v>
      </c>
      <c r="AW1166" s="14">
        <f>IFERROR(__xludf.DUMMYFUNCTION("""COMPUTED_VALUE"""),65.0)</f>
        <v>65</v>
      </c>
      <c r="AX1166" s="14">
        <f>IFERROR(__xludf.DUMMYFUNCTION("""COMPUTED_VALUE"""),1.314E8)</f>
        <v>131400000</v>
      </c>
      <c r="AY1166" s="14">
        <f>IFERROR(__xludf.DUMMYFUNCTION("""COMPUTED_VALUE"""),0.7)</f>
        <v>0.7</v>
      </c>
      <c r="AZ1166" s="14">
        <f>IFERROR(__xludf.DUMMYFUNCTION("""COMPUTED_VALUE"""),0.007)</f>
        <v>0.007</v>
      </c>
      <c r="BA1166" s="14">
        <f t="shared" si="1"/>
        <v>65.707</v>
      </c>
    </row>
    <row r="1167" ht="14.25" customHeight="1">
      <c r="A1167" s="10" t="str">
        <f>IFERROR(__xludf.DUMMYFUNCTION("""COMPUTED_VALUE"""),"230924HA01")</f>
        <v>230924HA01</v>
      </c>
      <c r="B1167" s="12" t="str">
        <f>IFERROR(__xludf.DUMMYFUNCTION("""COMPUTED_VALUE"""),"COR-Prado Veraniego")</f>
        <v>COR-Prado Veraniego</v>
      </c>
      <c r="C1167" s="12"/>
      <c r="D1167" s="12"/>
      <c r="E1167" s="44">
        <f>IFERROR(__xludf.DUMMYFUNCTION("""COMPUTED_VALUE"""),45558.0)</f>
        <v>45558</v>
      </c>
      <c r="F1167" s="12" t="str">
        <f>IFERROR(__xludf.DUMMYFUNCTION("""COMPUTED_VALUE"""),"TIPO I")</f>
        <v>TIPO I</v>
      </c>
      <c r="G1167" s="12" t="str">
        <f>IFERROR(__xludf.DUMMYFUNCTION("""COMPUTED_VALUE"""),"Durante el monitoreo se percibe olor, se observa color. 
Altitud: 2564 msnm")</f>
        <v>Durante el monitoreo se percibe olor, se observa color. 
Altitud: 2564 msnm</v>
      </c>
      <c r="H1167" s="45">
        <f>IFERROR(__xludf.DUMMYFUNCTION("""COMPUTED_VALUE"""),0.3333333333321207)</f>
        <v>0.3333333333</v>
      </c>
      <c r="I1167" s="45">
        <f>IFERROR(__xludf.DUMMYFUNCTION("""COMPUTED_VALUE"""),0.4166666666678793)</f>
        <v>0.4166666667</v>
      </c>
      <c r="J1167" s="12">
        <f>IFERROR(__xludf.DUMMYFUNCTION("""COMPUTED_VALUE"""),2.6)</f>
        <v>2.6</v>
      </c>
      <c r="K1167" s="12">
        <f>IFERROR(__xludf.DUMMYFUNCTION("""COMPUTED_VALUE"""),0.11)</f>
        <v>0.11</v>
      </c>
      <c r="L1167" s="14">
        <f>IFERROR(__xludf.DUMMYFUNCTION("""COMPUTED_VALUE"""),72.157)</f>
        <v>72.157</v>
      </c>
      <c r="M1167" s="14">
        <f>IFERROR(__xludf.DUMMYFUNCTION("""COMPUTED_VALUE"""),73.509)</f>
        <v>73.509</v>
      </c>
      <c r="N1167" s="14">
        <f>IFERROR(__xludf.DUMMYFUNCTION("""COMPUTED_VALUE"""),74.399)</f>
        <v>74.399</v>
      </c>
      <c r="O1167" s="14">
        <f>IFERROR(__xludf.DUMMYFUNCTION("""COMPUTED_VALUE"""),75.167)</f>
        <v>75.167</v>
      </c>
      <c r="P1167" s="14">
        <f>IFERROR(__xludf.DUMMYFUNCTION("""COMPUTED_VALUE"""),74.603)</f>
        <v>74.603</v>
      </c>
      <c r="Q1167" s="14">
        <f>IFERROR(__xludf.DUMMYFUNCTION("""COMPUTED_VALUE"""),73.967)</f>
        <v>73.967</v>
      </c>
      <c r="R1167" s="48">
        <f>IFERROR(__xludf.DUMMYFUNCTION("""COMPUTED_VALUE"""),7.27)</f>
        <v>7.27</v>
      </c>
      <c r="S1167" s="48">
        <f>IFERROR(__xludf.DUMMYFUNCTION("""COMPUTED_VALUE"""),7.32)</f>
        <v>7.32</v>
      </c>
      <c r="T1167" s="48">
        <f>IFERROR(__xludf.DUMMYFUNCTION("""COMPUTED_VALUE"""),7.48)</f>
        <v>7.48</v>
      </c>
      <c r="U1167" s="48">
        <f>IFERROR(__xludf.DUMMYFUNCTION("""COMPUTED_VALUE"""),7.72)</f>
        <v>7.72</v>
      </c>
      <c r="V1167" s="48">
        <f>IFERROR(__xludf.DUMMYFUNCTION("""COMPUTED_VALUE"""),7.54)</f>
        <v>7.54</v>
      </c>
      <c r="W1167" s="14">
        <f>IFERROR(__xludf.DUMMYFUNCTION("""COMPUTED_VALUE"""),7.465999999999999)</f>
        <v>7.466</v>
      </c>
      <c r="X1167" s="14">
        <f>IFERROR(__xludf.DUMMYFUNCTION("""COMPUTED_VALUE"""),18.1)</f>
        <v>18.1</v>
      </c>
      <c r="Y1167" s="14">
        <f>IFERROR(__xludf.DUMMYFUNCTION("""COMPUTED_VALUE"""),18.9)</f>
        <v>18.9</v>
      </c>
      <c r="Z1167" s="14">
        <f>IFERROR(__xludf.DUMMYFUNCTION("""COMPUTED_VALUE"""),20.3)</f>
        <v>20.3</v>
      </c>
      <c r="AA1167" s="14">
        <f>IFERROR(__xludf.DUMMYFUNCTION("""COMPUTED_VALUE"""),21.7)</f>
        <v>21.7</v>
      </c>
      <c r="AB1167" s="14">
        <f>IFERROR(__xludf.DUMMYFUNCTION("""COMPUTED_VALUE"""),21.4)</f>
        <v>21.4</v>
      </c>
      <c r="AC1167" s="14">
        <f>IFERROR(__xludf.DUMMYFUNCTION("""COMPUTED_VALUE"""),20.080000000000002)</f>
        <v>20.08</v>
      </c>
      <c r="AD1167" s="48">
        <f>IFERROR(__xludf.DUMMYFUNCTION("""COMPUTED_VALUE"""),365.0)</f>
        <v>365</v>
      </c>
      <c r="AE1167" s="48">
        <f>IFERROR(__xludf.DUMMYFUNCTION("""COMPUTED_VALUE"""),357.0)</f>
        <v>357</v>
      </c>
      <c r="AF1167" s="48">
        <f>IFERROR(__xludf.DUMMYFUNCTION("""COMPUTED_VALUE"""),351.0)</f>
        <v>351</v>
      </c>
      <c r="AG1167" s="48">
        <f>IFERROR(__xludf.DUMMYFUNCTION("""COMPUTED_VALUE"""),342.0)</f>
        <v>342</v>
      </c>
      <c r="AH1167" s="48">
        <f>IFERROR(__xludf.DUMMYFUNCTION("""COMPUTED_VALUE"""),354.0)</f>
        <v>354</v>
      </c>
      <c r="AI1167" s="14">
        <f>IFERROR(__xludf.DUMMYFUNCTION("""COMPUTED_VALUE"""),353.8)</f>
        <v>353.8</v>
      </c>
      <c r="AJ1167" s="14">
        <f>IFERROR(__xludf.DUMMYFUNCTION("""COMPUTED_VALUE"""),3.9)</f>
        <v>3.9</v>
      </c>
      <c r="AK1167" s="14">
        <f>IFERROR(__xludf.DUMMYFUNCTION("""COMPUTED_VALUE"""),4.16)</f>
        <v>4.16</v>
      </c>
      <c r="AL1167" s="14">
        <f>IFERROR(__xludf.DUMMYFUNCTION("""COMPUTED_VALUE"""),3.81)</f>
        <v>3.81</v>
      </c>
      <c r="AM1167" s="14">
        <f>IFERROR(__xludf.DUMMYFUNCTION("""COMPUTED_VALUE"""),4.07)</f>
        <v>4.07</v>
      </c>
      <c r="AN1167" s="14">
        <f>IFERROR(__xludf.DUMMYFUNCTION("""COMPUTED_VALUE"""),3.93)</f>
        <v>3.93</v>
      </c>
      <c r="AO1167" s="14">
        <f>IFERROR(__xludf.DUMMYFUNCTION("""COMPUTED_VALUE"""),3.974)</f>
        <v>3.974</v>
      </c>
      <c r="AP1167" s="14">
        <f>IFERROR(__xludf.DUMMYFUNCTION("""COMPUTED_VALUE"""),30.0)</f>
        <v>30</v>
      </c>
      <c r="AQ1167" s="14">
        <f>IFERROR(__xludf.DUMMYFUNCTION("""COMPUTED_VALUE"""),40.0)</f>
        <v>40</v>
      </c>
      <c r="AR1167" s="14">
        <f>IFERROR(__xludf.DUMMYFUNCTION("""COMPUTED_VALUE"""),23.0)</f>
        <v>23</v>
      </c>
      <c r="AS1167" s="14">
        <f>IFERROR(__xludf.DUMMYFUNCTION("""COMPUTED_VALUE"""),13.6)</f>
        <v>13.6</v>
      </c>
      <c r="AT1167" s="14">
        <f>IFERROR(__xludf.DUMMYFUNCTION("""COMPUTED_VALUE"""),3.17)</f>
        <v>3.17</v>
      </c>
      <c r="AU1167" s="14">
        <f>IFERROR(__xludf.DUMMYFUNCTION("""COMPUTED_VALUE"""),6050.0)</f>
        <v>6050</v>
      </c>
      <c r="AV1167" s="14">
        <f>IFERROR(__xludf.DUMMYFUNCTION("""COMPUTED_VALUE"""),0.89)</f>
        <v>0.89</v>
      </c>
      <c r="AW1167" s="14">
        <f>IFERROR(__xludf.DUMMYFUNCTION("""COMPUTED_VALUE"""),10.1)</f>
        <v>10.1</v>
      </c>
      <c r="AX1167" s="14">
        <f>IFERROR(__xludf.DUMMYFUNCTION("""COMPUTED_VALUE"""),41.0)</f>
        <v>41</v>
      </c>
      <c r="AY1167" s="14">
        <f>IFERROR(__xludf.DUMMYFUNCTION("""COMPUTED_VALUE"""),1.1)</f>
        <v>1.1</v>
      </c>
      <c r="AZ1167" s="14">
        <f>IFERROR(__xludf.DUMMYFUNCTION("""COMPUTED_VALUE"""),0.146)</f>
        <v>0.146</v>
      </c>
      <c r="BA1167" s="14">
        <f t="shared" si="1"/>
        <v>11.346</v>
      </c>
    </row>
    <row r="1168" ht="14.25" customHeight="1">
      <c r="A1168" s="10" t="str">
        <f>IFERROR(__xludf.DUMMYFUNCTION("""COMPUTED_VALUE"""),"240924FE03")</f>
        <v>240924FE03</v>
      </c>
      <c r="B1168" s="12" t="str">
        <f>IFERROR(__xludf.DUMMYFUNCTION("""COMPUTED_VALUE"""),"CMO-Pepe Sierra")</f>
        <v>CMO-Pepe Sierra</v>
      </c>
      <c r="C1168" s="12"/>
      <c r="D1168" s="12"/>
      <c r="E1168" s="44">
        <f>IFERROR(__xludf.DUMMYFUNCTION("""COMPUTED_VALUE"""),45559.0)</f>
        <v>45559</v>
      </c>
      <c r="F1168" s="12" t="str">
        <f>IFERROR(__xludf.DUMMYFUNCTION("""COMPUTED_VALUE"""),"TIPO I")</f>
        <v>TIPO I</v>
      </c>
      <c r="G1168" s="12" t="str">
        <f>IFERROR(__xludf.DUMMYFUNCTION("""COMPUTED_VALUE"""),"Canal en concreto rocoso, lodoso, durante el monitoreo se observa color y se percibe olor.
Altitud: 2556 msnm.")</f>
        <v>Canal en concreto rocoso, lodoso, durante el monitoreo se observa color y se percibe olor.
Altitud: 2556 msnm.</v>
      </c>
      <c r="H1168" s="45">
        <f>IFERROR(__xludf.DUMMYFUNCTION("""COMPUTED_VALUE"""),0.5833333333321207)</f>
        <v>0.5833333333</v>
      </c>
      <c r="I1168" s="45">
        <f>IFERROR(__xludf.DUMMYFUNCTION("""COMPUTED_VALUE"""),0.6666666666678793)</f>
        <v>0.6666666667</v>
      </c>
      <c r="J1168" s="12">
        <f>IFERROR(__xludf.DUMMYFUNCTION("""COMPUTED_VALUE"""),5.2)</f>
        <v>5.2</v>
      </c>
      <c r="K1168" s="12">
        <f>IFERROR(__xludf.DUMMYFUNCTION("""COMPUTED_VALUE"""),0.16)</f>
        <v>0.16</v>
      </c>
      <c r="L1168" s="14">
        <f>IFERROR(__xludf.DUMMYFUNCTION("""COMPUTED_VALUE"""),173.762)</f>
        <v>173.762</v>
      </c>
      <c r="M1168" s="14">
        <f>IFERROR(__xludf.DUMMYFUNCTION("""COMPUTED_VALUE"""),179.355)</f>
        <v>179.355</v>
      </c>
      <c r="N1168" s="14">
        <f>IFERROR(__xludf.DUMMYFUNCTION("""COMPUTED_VALUE"""),188.416)</f>
        <v>188.416</v>
      </c>
      <c r="O1168" s="14">
        <f>IFERROR(__xludf.DUMMYFUNCTION("""COMPUTED_VALUE"""),192.634)</f>
        <v>192.634</v>
      </c>
      <c r="P1168" s="14">
        <f>IFERROR(__xludf.DUMMYFUNCTION("""COMPUTED_VALUE"""),202.429)</f>
        <v>202.429</v>
      </c>
      <c r="Q1168" s="14">
        <f>IFERROR(__xludf.DUMMYFUNCTION("""COMPUTED_VALUE"""),187.319)</f>
        <v>187.319</v>
      </c>
      <c r="R1168" s="48">
        <f>IFERROR(__xludf.DUMMYFUNCTION("""COMPUTED_VALUE"""),6.45)</f>
        <v>6.45</v>
      </c>
      <c r="S1168" s="48">
        <f>IFERROR(__xludf.DUMMYFUNCTION("""COMPUTED_VALUE"""),6.06)</f>
        <v>6.06</v>
      </c>
      <c r="T1168" s="48">
        <f>IFERROR(__xludf.DUMMYFUNCTION("""COMPUTED_VALUE"""),6.75)</f>
        <v>6.75</v>
      </c>
      <c r="U1168" s="48">
        <f>IFERROR(__xludf.DUMMYFUNCTION("""COMPUTED_VALUE"""),6.32)</f>
        <v>6.32</v>
      </c>
      <c r="V1168" s="48">
        <f>IFERROR(__xludf.DUMMYFUNCTION("""COMPUTED_VALUE"""),6.24)</f>
        <v>6.24</v>
      </c>
      <c r="W1168" s="14">
        <f>IFERROR(__xludf.DUMMYFUNCTION("""COMPUTED_VALUE"""),6.364)</f>
        <v>6.364</v>
      </c>
      <c r="X1168" s="14">
        <f>IFERROR(__xludf.DUMMYFUNCTION("""COMPUTED_VALUE"""),20.3)</f>
        <v>20.3</v>
      </c>
      <c r="Y1168" s="14">
        <f>IFERROR(__xludf.DUMMYFUNCTION("""COMPUTED_VALUE"""),20.6)</f>
        <v>20.6</v>
      </c>
      <c r="Z1168" s="14">
        <f>IFERROR(__xludf.DUMMYFUNCTION("""COMPUTED_VALUE"""),20.7)</f>
        <v>20.7</v>
      </c>
      <c r="AA1168" s="14">
        <f>IFERROR(__xludf.DUMMYFUNCTION("""COMPUTED_VALUE"""),20.4)</f>
        <v>20.4</v>
      </c>
      <c r="AB1168" s="14">
        <f>IFERROR(__xludf.DUMMYFUNCTION("""COMPUTED_VALUE"""),21.2)</f>
        <v>21.2</v>
      </c>
      <c r="AC1168" s="14">
        <f>IFERROR(__xludf.DUMMYFUNCTION("""COMPUTED_VALUE"""),20.64)</f>
        <v>20.64</v>
      </c>
      <c r="AD1168" s="48">
        <f>IFERROR(__xludf.DUMMYFUNCTION("""COMPUTED_VALUE"""),514.0)</f>
        <v>514</v>
      </c>
      <c r="AE1168" s="48">
        <f>IFERROR(__xludf.DUMMYFUNCTION("""COMPUTED_VALUE"""),531.0)</f>
        <v>531</v>
      </c>
      <c r="AF1168" s="48">
        <f>IFERROR(__xludf.DUMMYFUNCTION("""COMPUTED_VALUE"""),537.0)</f>
        <v>537</v>
      </c>
      <c r="AG1168" s="48">
        <f>IFERROR(__xludf.DUMMYFUNCTION("""COMPUTED_VALUE"""),704.0)</f>
        <v>704</v>
      </c>
      <c r="AH1168" s="48">
        <f>IFERROR(__xludf.DUMMYFUNCTION("""COMPUTED_VALUE"""),524.0)</f>
        <v>524</v>
      </c>
      <c r="AI1168" s="14">
        <f>IFERROR(__xludf.DUMMYFUNCTION("""COMPUTED_VALUE"""),562.0)</f>
        <v>562</v>
      </c>
      <c r="AJ1168" s="14">
        <f>IFERROR(__xludf.DUMMYFUNCTION("""COMPUTED_VALUE"""),5.3)</f>
        <v>5.3</v>
      </c>
      <c r="AK1168" s="14">
        <f>IFERROR(__xludf.DUMMYFUNCTION("""COMPUTED_VALUE"""),5.5)</f>
        <v>5.5</v>
      </c>
      <c r="AL1168" s="14">
        <f>IFERROR(__xludf.DUMMYFUNCTION("""COMPUTED_VALUE"""),5.1)</f>
        <v>5.1</v>
      </c>
      <c r="AM1168" s="14">
        <f>IFERROR(__xludf.DUMMYFUNCTION("""COMPUTED_VALUE"""),6.1)</f>
        <v>6.1</v>
      </c>
      <c r="AN1168" s="14">
        <f>IFERROR(__xludf.DUMMYFUNCTION("""COMPUTED_VALUE"""),5.6)</f>
        <v>5.6</v>
      </c>
      <c r="AO1168" s="14">
        <f>IFERROR(__xludf.DUMMYFUNCTION("""COMPUTED_VALUE"""),5.5200000000000005)</f>
        <v>5.52</v>
      </c>
      <c r="AP1168" s="14">
        <f>IFERROR(__xludf.DUMMYFUNCTION("""COMPUTED_VALUE"""),170.0)</f>
        <v>170</v>
      </c>
      <c r="AQ1168" s="14">
        <f>IFERROR(__xludf.DUMMYFUNCTION("""COMPUTED_VALUE"""),232.0)</f>
        <v>232</v>
      </c>
      <c r="AR1168" s="14">
        <f>IFERROR(__xludf.DUMMYFUNCTION("""COMPUTED_VALUE"""),45.0)</f>
        <v>45</v>
      </c>
      <c r="AS1168" s="14">
        <f>IFERROR(__xludf.DUMMYFUNCTION("""COMPUTED_VALUE"""),45.0)</f>
        <v>45</v>
      </c>
      <c r="AT1168" s="14">
        <f>IFERROR(__xludf.DUMMYFUNCTION("""COMPUTED_VALUE"""),3.27)</f>
        <v>3.27</v>
      </c>
      <c r="AU1168" s="14">
        <f>IFERROR(__xludf.DUMMYFUNCTION("""COMPUTED_VALUE"""),1.266E8)</f>
        <v>126600000</v>
      </c>
      <c r="AV1168" s="14">
        <f>IFERROR(__xludf.DUMMYFUNCTION("""COMPUTED_VALUE"""),3.32)</f>
        <v>3.32</v>
      </c>
      <c r="AW1168" s="14">
        <f>IFERROR(__xludf.DUMMYFUNCTION("""COMPUTED_VALUE"""),35.3)</f>
        <v>35.3</v>
      </c>
      <c r="AX1168" s="14">
        <f>IFERROR(__xludf.DUMMYFUNCTION("""COMPUTED_VALUE"""),1.019E8)</f>
        <v>101900000</v>
      </c>
      <c r="AY1168" s="14">
        <f>IFERROR(__xludf.DUMMYFUNCTION("""COMPUTED_VALUE"""),0.3)</f>
        <v>0.3</v>
      </c>
      <c r="AZ1168" s="14">
        <f>IFERROR(__xludf.DUMMYFUNCTION("""COMPUTED_VALUE"""),0.007)</f>
        <v>0.007</v>
      </c>
      <c r="BA1168" s="14">
        <f t="shared" si="1"/>
        <v>35.607</v>
      </c>
    </row>
    <row r="1169" ht="14.25" customHeight="1">
      <c r="A1169" s="10" t="str">
        <f>IFERROR(__xludf.DUMMYFUNCTION("""COMPUTED_VALUE"""),"250924HA02")</f>
        <v>250924HA02</v>
      </c>
      <c r="B1169" s="12" t="str">
        <f>IFERROR(__xludf.DUMMYFUNCTION("""COMPUTED_VALUE"""),"QTR-Acapulco")</f>
        <v>QTR-Acapulco</v>
      </c>
      <c r="C1169" s="12"/>
      <c r="D1169" s="12"/>
      <c r="E1169" s="44">
        <f>IFERROR(__xludf.DUMMYFUNCTION("""COMPUTED_VALUE"""),45560.0)</f>
        <v>45560</v>
      </c>
      <c r="F1169" s="12" t="str">
        <f>IFERROR(__xludf.DUMMYFUNCTION("""COMPUTED_VALUE"""),"TIPO I")</f>
        <v>TIPO I</v>
      </c>
      <c r="G1169" s="12" t="str">
        <f>IFERROR(__xludf.DUMMYFUNCTION("""COMPUTED_VALUE"""),"Durante el desarrollo del monitoreo se percibe olor, se observa color, a partir de la cuarta alícuota se observa cambio de color a un tono más oscuro.
Altitud:2605msnm")</f>
        <v>Durante el desarrollo del monitoreo se percibe olor, se observa color, a partir de la cuarta alícuota se observa cambio de color a un tono más oscuro.
Altitud:2605msnm</v>
      </c>
      <c r="H1169" s="45">
        <f>IFERROR(__xludf.DUMMYFUNCTION("""COMPUTED_VALUE"""),0.5625)</f>
        <v>0.5625</v>
      </c>
      <c r="I1169" s="45">
        <f>IFERROR(__xludf.DUMMYFUNCTION("""COMPUTED_VALUE"""),0.6458333333321207)</f>
        <v>0.6458333333</v>
      </c>
      <c r="J1169" s="12">
        <f>IFERROR(__xludf.DUMMYFUNCTION("""COMPUTED_VALUE"""),1.45)</f>
        <v>1.45</v>
      </c>
      <c r="K1169" s="12">
        <f>IFERROR(__xludf.DUMMYFUNCTION("""COMPUTED_VALUE"""),0.24)</f>
        <v>0.24</v>
      </c>
      <c r="L1169" s="14">
        <f>IFERROR(__xludf.DUMMYFUNCTION("""COMPUTED_VALUE"""),44.697)</f>
        <v>44.697</v>
      </c>
      <c r="M1169" s="14">
        <f>IFERROR(__xludf.DUMMYFUNCTION("""COMPUTED_VALUE"""),45.029)</f>
        <v>45.029</v>
      </c>
      <c r="N1169" s="14">
        <f>IFERROR(__xludf.DUMMYFUNCTION("""COMPUTED_VALUE"""),45.984)</f>
        <v>45.984</v>
      </c>
      <c r="O1169" s="14">
        <f>IFERROR(__xludf.DUMMYFUNCTION("""COMPUTED_VALUE"""),47.098)</f>
        <v>47.098</v>
      </c>
      <c r="P1169" s="14">
        <f>IFERROR(__xludf.DUMMYFUNCTION("""COMPUTED_VALUE"""),47.438)</f>
        <v>47.438</v>
      </c>
      <c r="Q1169" s="14">
        <f>IFERROR(__xludf.DUMMYFUNCTION("""COMPUTED_VALUE"""),46.049)</f>
        <v>46.049</v>
      </c>
      <c r="R1169" s="48">
        <f>IFERROR(__xludf.DUMMYFUNCTION("""COMPUTED_VALUE"""),9.26)</f>
        <v>9.26</v>
      </c>
      <c r="S1169" s="48">
        <f>IFERROR(__xludf.DUMMYFUNCTION("""COMPUTED_VALUE"""),9.01)</f>
        <v>9.01</v>
      </c>
      <c r="T1169" s="48">
        <f>IFERROR(__xludf.DUMMYFUNCTION("""COMPUTED_VALUE"""),8.66)</f>
        <v>8.66</v>
      </c>
      <c r="U1169" s="48">
        <f>IFERROR(__xludf.DUMMYFUNCTION("""COMPUTED_VALUE"""),9.44)</f>
        <v>9.44</v>
      </c>
      <c r="V1169" s="48">
        <f>IFERROR(__xludf.DUMMYFUNCTION("""COMPUTED_VALUE"""),9.52)</f>
        <v>9.52</v>
      </c>
      <c r="W1169" s="14">
        <f>IFERROR(__xludf.DUMMYFUNCTION("""COMPUTED_VALUE"""),9.178)</f>
        <v>9.178</v>
      </c>
      <c r="X1169" s="14">
        <f>IFERROR(__xludf.DUMMYFUNCTION("""COMPUTED_VALUE"""),19.7)</f>
        <v>19.7</v>
      </c>
      <c r="Y1169" s="14">
        <f>IFERROR(__xludf.DUMMYFUNCTION("""COMPUTED_VALUE"""),19.7)</f>
        <v>19.7</v>
      </c>
      <c r="Z1169" s="14">
        <f>IFERROR(__xludf.DUMMYFUNCTION("""COMPUTED_VALUE"""),19.0)</f>
        <v>19</v>
      </c>
      <c r="AA1169" s="14">
        <f>IFERROR(__xludf.DUMMYFUNCTION("""COMPUTED_VALUE"""),19.1)</f>
        <v>19.1</v>
      </c>
      <c r="AB1169" s="14">
        <f>IFERROR(__xludf.DUMMYFUNCTION("""COMPUTED_VALUE"""),19.0)</f>
        <v>19</v>
      </c>
      <c r="AC1169" s="14">
        <f>IFERROR(__xludf.DUMMYFUNCTION("""COMPUTED_VALUE"""),19.3)</f>
        <v>19.3</v>
      </c>
      <c r="AD1169" s="48">
        <f>IFERROR(__xludf.DUMMYFUNCTION("""COMPUTED_VALUE"""),619.0)</f>
        <v>619</v>
      </c>
      <c r="AE1169" s="48">
        <f>IFERROR(__xludf.DUMMYFUNCTION("""COMPUTED_VALUE"""),605.0)</f>
        <v>605</v>
      </c>
      <c r="AF1169" s="48">
        <f>IFERROR(__xludf.DUMMYFUNCTION("""COMPUTED_VALUE"""),575.0)</f>
        <v>575</v>
      </c>
      <c r="AG1169" s="48">
        <f>IFERROR(__xludf.DUMMYFUNCTION("""COMPUTED_VALUE"""),620.0)</f>
        <v>620</v>
      </c>
      <c r="AH1169" s="48">
        <f>IFERROR(__xludf.DUMMYFUNCTION("""COMPUTED_VALUE"""),638.0)</f>
        <v>638</v>
      </c>
      <c r="AI1169" s="14">
        <f>IFERROR(__xludf.DUMMYFUNCTION("""COMPUTED_VALUE"""),611.4)</f>
        <v>611.4</v>
      </c>
      <c r="AJ1169" s="14">
        <f>IFERROR(__xludf.DUMMYFUNCTION("""COMPUTED_VALUE"""),4.79)</f>
        <v>4.79</v>
      </c>
      <c r="AK1169" s="14">
        <f>IFERROR(__xludf.DUMMYFUNCTION("""COMPUTED_VALUE"""),4.66)</f>
        <v>4.66</v>
      </c>
      <c r="AL1169" s="14">
        <f>IFERROR(__xludf.DUMMYFUNCTION("""COMPUTED_VALUE"""),4.13)</f>
        <v>4.13</v>
      </c>
      <c r="AM1169" s="14">
        <f>IFERROR(__xludf.DUMMYFUNCTION("""COMPUTED_VALUE"""),4.84)</f>
        <v>4.84</v>
      </c>
      <c r="AN1169" s="14">
        <f>IFERROR(__xludf.DUMMYFUNCTION("""COMPUTED_VALUE"""),4.61)</f>
        <v>4.61</v>
      </c>
      <c r="AO1169" s="14">
        <f>IFERROR(__xludf.DUMMYFUNCTION("""COMPUTED_VALUE"""),4.606)</f>
        <v>4.606</v>
      </c>
      <c r="AP1169" s="14">
        <f>IFERROR(__xludf.DUMMYFUNCTION("""COMPUTED_VALUE"""),152.0)</f>
        <v>152</v>
      </c>
      <c r="AQ1169" s="14">
        <f>IFERROR(__xludf.DUMMYFUNCTION("""COMPUTED_VALUE"""),230.0)</f>
        <v>230</v>
      </c>
      <c r="AR1169" s="14">
        <f>IFERROR(__xludf.DUMMYFUNCTION("""COMPUTED_VALUE"""),590.0)</f>
        <v>590</v>
      </c>
      <c r="AS1169" s="14">
        <f>IFERROR(__xludf.DUMMYFUNCTION("""COMPUTED_VALUE"""),13.4)</f>
        <v>13.4</v>
      </c>
      <c r="AT1169" s="14">
        <f>IFERROR(__xludf.DUMMYFUNCTION("""COMPUTED_VALUE"""),3.85)</f>
        <v>3.85</v>
      </c>
      <c r="AU1169" s="14">
        <f>IFERROR(__xludf.DUMMYFUNCTION("""COMPUTED_VALUE"""),7230000.0)</f>
        <v>7230000</v>
      </c>
      <c r="AV1169" s="14">
        <f>IFERROR(__xludf.DUMMYFUNCTION("""COMPUTED_VALUE"""),1.34)</f>
        <v>1.34</v>
      </c>
      <c r="AW1169" s="14">
        <f>IFERROR(__xludf.DUMMYFUNCTION("""COMPUTED_VALUE"""),21.3)</f>
        <v>21.3</v>
      </c>
      <c r="AX1169" s="14">
        <f>IFERROR(__xludf.DUMMYFUNCTION("""COMPUTED_VALUE"""),42600.0)</f>
        <v>42600</v>
      </c>
      <c r="AY1169" s="14">
        <f>IFERROR(__xludf.DUMMYFUNCTION("""COMPUTED_VALUE"""),0.5)</f>
        <v>0.5</v>
      </c>
      <c r="AZ1169" s="14">
        <f>IFERROR(__xludf.DUMMYFUNCTION("""COMPUTED_VALUE"""),0.007)</f>
        <v>0.007</v>
      </c>
      <c r="BA1169" s="14">
        <f t="shared" si="1"/>
        <v>21.807</v>
      </c>
    </row>
    <row r="1170" ht="14.25" customHeight="1">
      <c r="A1170" s="10" t="str">
        <f>IFERROR(__xludf.DUMMYFUNCTION("""COMPUTED_VALUE"""),"250924DA02")</f>
        <v>250924DA02</v>
      </c>
      <c r="B1170" s="12" t="str">
        <f>IFERROR(__xludf.DUMMYFUNCTION("""COMPUTED_VALUE"""),"CON-Bella Suiza")</f>
        <v>CON-Bella Suiza</v>
      </c>
      <c r="C1170" s="12"/>
      <c r="D1170" s="12"/>
      <c r="E1170" s="44">
        <f>IFERROR(__xludf.DUMMYFUNCTION("""COMPUTED_VALUE"""),45560.0)</f>
        <v>45560</v>
      </c>
      <c r="F1170" s="12" t="str">
        <f>IFERROR(__xludf.DUMMYFUNCTION("""COMPUTED_VALUE"""),"TIPO I")</f>
        <v>TIPO I</v>
      </c>
      <c r="G1170" s="12" t="str">
        <f>IFERROR(__xludf.DUMMYFUNCTION("""COMPUTED_VALUE"""),"Estructura de concreto tipo canal, durante el monitoreo se observó color, material flotante y se percibe olor.
")</f>
        <v>Estructura de concreto tipo canal, durante el monitoreo se observó color, material flotante y se percibe olor.
</v>
      </c>
      <c r="H1170" s="45">
        <f>IFERROR(__xludf.DUMMYFUNCTION("""COMPUTED_VALUE"""),0.5625)</f>
        <v>0.5625</v>
      </c>
      <c r="I1170" s="45">
        <f>IFERROR(__xludf.DUMMYFUNCTION("""COMPUTED_VALUE"""),0.6458333333321207)</f>
        <v>0.6458333333</v>
      </c>
      <c r="J1170" s="12">
        <f>IFERROR(__xludf.DUMMYFUNCTION("""COMPUTED_VALUE"""),1.0)</f>
        <v>1</v>
      </c>
      <c r="K1170" s="12">
        <f>IFERROR(__xludf.DUMMYFUNCTION("""COMPUTED_VALUE"""),0.08)</f>
        <v>0.08</v>
      </c>
      <c r="L1170" s="14">
        <f>IFERROR(__xludf.DUMMYFUNCTION("""COMPUTED_VALUE"""),8.742)</f>
        <v>8.742</v>
      </c>
      <c r="M1170" s="14">
        <f>IFERROR(__xludf.DUMMYFUNCTION("""COMPUTED_VALUE"""),8.543)</f>
        <v>8.543</v>
      </c>
      <c r="N1170" s="14">
        <f>IFERROR(__xludf.DUMMYFUNCTION("""COMPUTED_VALUE"""),8.429)</f>
        <v>8.429</v>
      </c>
      <c r="O1170" s="14">
        <f>IFERROR(__xludf.DUMMYFUNCTION("""COMPUTED_VALUE"""),8.734)</f>
        <v>8.734</v>
      </c>
      <c r="P1170" s="14">
        <f>IFERROR(__xludf.DUMMYFUNCTION("""COMPUTED_VALUE"""),8.65)</f>
        <v>8.65</v>
      </c>
      <c r="Q1170" s="14">
        <f>IFERROR(__xludf.DUMMYFUNCTION("""COMPUTED_VALUE"""),8.619)</f>
        <v>8.619</v>
      </c>
      <c r="R1170" s="48">
        <f>IFERROR(__xludf.DUMMYFUNCTION("""COMPUTED_VALUE"""),8.27)</f>
        <v>8.27</v>
      </c>
      <c r="S1170" s="48">
        <f>IFERROR(__xludf.DUMMYFUNCTION("""COMPUTED_VALUE"""),8.22)</f>
        <v>8.22</v>
      </c>
      <c r="T1170" s="48">
        <f>IFERROR(__xludf.DUMMYFUNCTION("""COMPUTED_VALUE"""),8.29)</f>
        <v>8.29</v>
      </c>
      <c r="U1170" s="48">
        <f>IFERROR(__xludf.DUMMYFUNCTION("""COMPUTED_VALUE"""),8.31)</f>
        <v>8.31</v>
      </c>
      <c r="V1170" s="48">
        <f>IFERROR(__xludf.DUMMYFUNCTION("""COMPUTED_VALUE"""),8.25)</f>
        <v>8.25</v>
      </c>
      <c r="W1170" s="14">
        <f>IFERROR(__xludf.DUMMYFUNCTION("""COMPUTED_VALUE"""),8.268)</f>
        <v>8.268</v>
      </c>
      <c r="X1170" s="14">
        <f>IFERROR(__xludf.DUMMYFUNCTION("""COMPUTED_VALUE"""),19.2)</f>
        <v>19.2</v>
      </c>
      <c r="Y1170" s="14">
        <f>IFERROR(__xludf.DUMMYFUNCTION("""COMPUTED_VALUE"""),19.4)</f>
        <v>19.4</v>
      </c>
      <c r="Z1170" s="14">
        <f>IFERROR(__xludf.DUMMYFUNCTION("""COMPUTED_VALUE"""),19.3)</f>
        <v>19.3</v>
      </c>
      <c r="AA1170" s="14">
        <f>IFERROR(__xludf.DUMMYFUNCTION("""COMPUTED_VALUE"""),19.2)</f>
        <v>19.2</v>
      </c>
      <c r="AB1170" s="14">
        <f>IFERROR(__xludf.DUMMYFUNCTION("""COMPUTED_VALUE"""),19.0)</f>
        <v>19</v>
      </c>
      <c r="AC1170" s="14">
        <f>IFERROR(__xludf.DUMMYFUNCTION("""COMPUTED_VALUE"""),19.22)</f>
        <v>19.22</v>
      </c>
      <c r="AD1170" s="48">
        <f>IFERROR(__xludf.DUMMYFUNCTION("""COMPUTED_VALUE"""),559.0)</f>
        <v>559</v>
      </c>
      <c r="AE1170" s="48">
        <f>IFERROR(__xludf.DUMMYFUNCTION("""COMPUTED_VALUE"""),561.0)</f>
        <v>561</v>
      </c>
      <c r="AF1170" s="48">
        <f>IFERROR(__xludf.DUMMYFUNCTION("""COMPUTED_VALUE"""),586.0)</f>
        <v>586</v>
      </c>
      <c r="AG1170" s="48">
        <f>IFERROR(__xludf.DUMMYFUNCTION("""COMPUTED_VALUE"""),567.0)</f>
        <v>567</v>
      </c>
      <c r="AH1170" s="48">
        <f>IFERROR(__xludf.DUMMYFUNCTION("""COMPUTED_VALUE"""),549.0)</f>
        <v>549</v>
      </c>
      <c r="AI1170" s="14">
        <f>IFERROR(__xludf.DUMMYFUNCTION("""COMPUTED_VALUE"""),564.4)</f>
        <v>564.4</v>
      </c>
      <c r="AJ1170" s="14">
        <f>IFERROR(__xludf.DUMMYFUNCTION("""COMPUTED_VALUE"""),1.18)</f>
        <v>1.18</v>
      </c>
      <c r="AK1170" s="14">
        <f>IFERROR(__xludf.DUMMYFUNCTION("""COMPUTED_VALUE"""),1.11)</f>
        <v>1.11</v>
      </c>
      <c r="AL1170" s="14">
        <f>IFERROR(__xludf.DUMMYFUNCTION("""COMPUTED_VALUE"""),0.88)</f>
        <v>0.88</v>
      </c>
      <c r="AM1170" s="14">
        <f>IFERROR(__xludf.DUMMYFUNCTION("""COMPUTED_VALUE"""),0.95)</f>
        <v>0.95</v>
      </c>
      <c r="AN1170" s="14">
        <f>IFERROR(__xludf.DUMMYFUNCTION("""COMPUTED_VALUE"""),0.91)</f>
        <v>0.91</v>
      </c>
      <c r="AO1170" s="14">
        <f>IFERROR(__xludf.DUMMYFUNCTION("""COMPUTED_VALUE"""),1.006)</f>
        <v>1.006</v>
      </c>
      <c r="AP1170" s="14">
        <f>IFERROR(__xludf.DUMMYFUNCTION("""COMPUTED_VALUE"""),62.0)</f>
        <v>62</v>
      </c>
      <c r="AQ1170" s="14">
        <f>IFERROR(__xludf.DUMMYFUNCTION("""COMPUTED_VALUE"""),94.0)</f>
        <v>94</v>
      </c>
      <c r="AR1170" s="14">
        <f>IFERROR(__xludf.DUMMYFUNCTION("""COMPUTED_VALUE"""),372.0)</f>
        <v>372</v>
      </c>
      <c r="AS1170" s="14">
        <f>IFERROR(__xludf.DUMMYFUNCTION("""COMPUTED_VALUE"""),21.0)</f>
        <v>21</v>
      </c>
      <c r="AT1170" s="14">
        <f>IFERROR(__xludf.DUMMYFUNCTION("""COMPUTED_VALUE"""),4.14)</f>
        <v>4.14</v>
      </c>
      <c r="AU1170" s="14">
        <f>IFERROR(__xludf.DUMMYFUNCTION("""COMPUTED_VALUE"""),1.296E7)</f>
        <v>12960000</v>
      </c>
      <c r="AV1170" s="14">
        <f>IFERROR(__xludf.DUMMYFUNCTION("""COMPUTED_VALUE"""),2.35)</f>
        <v>2.35</v>
      </c>
      <c r="AW1170" s="14">
        <f>IFERROR(__xludf.DUMMYFUNCTION("""COMPUTED_VALUE"""),23.5)</f>
        <v>23.5</v>
      </c>
      <c r="AX1170" s="14">
        <f>IFERROR(__xludf.DUMMYFUNCTION("""COMPUTED_VALUE"""),1.046E7)</f>
        <v>10460000</v>
      </c>
      <c r="AY1170" s="14">
        <f>IFERROR(__xludf.DUMMYFUNCTION("""COMPUTED_VALUE"""),0.5)</f>
        <v>0.5</v>
      </c>
      <c r="AZ1170" s="14">
        <f>IFERROR(__xludf.DUMMYFUNCTION("""COMPUTED_VALUE"""),0.007)</f>
        <v>0.007</v>
      </c>
      <c r="BA1170" s="14">
        <f t="shared" si="1"/>
        <v>24.007</v>
      </c>
    </row>
    <row r="1171" ht="14.25" customHeight="1">
      <c r="A1171" s="10" t="str">
        <f>IFERROR(__xludf.DUMMYFUNCTION("""COMPUTED_VALUE"""),"260924FE01")</f>
        <v>260924FE01</v>
      </c>
      <c r="B1171" s="12" t="str">
        <f>IFERROR(__xludf.DUMMYFUNCTION("""COMPUTED_VALUE"""),"QSL-Barranquillita")</f>
        <v>QSL-Barranquillita</v>
      </c>
      <c r="C1171" s="12"/>
      <c r="D1171" s="12"/>
      <c r="E1171" s="44">
        <f>IFERROR(__xludf.DUMMYFUNCTION("""COMPUTED_VALUE"""),45561.0)</f>
        <v>45561</v>
      </c>
      <c r="F1171" s="12" t="str">
        <f>IFERROR(__xludf.DUMMYFUNCTION("""COMPUTED_VALUE"""),"TIPO I")</f>
        <v>TIPO I</v>
      </c>
      <c r="G1171" s="12" t="str">
        <f>IFERROR(__xludf.DUMMYFUNCTION("""COMPUTED_VALUE"""),"Toma de muestra en lecho natural rocoso con presencia de sedimentos, durante el monitoreo se percibe olor, se observa color, ")</f>
        <v>Toma de muestra en lecho natural rocoso con presencia de sedimentos, durante el monitoreo se percibe olor, se observa color, </v>
      </c>
      <c r="H1171" s="45">
        <f>IFERROR(__xludf.DUMMYFUNCTION("""COMPUTED_VALUE"""),0.3333333333321207)</f>
        <v>0.3333333333</v>
      </c>
      <c r="I1171" s="45">
        <f>IFERROR(__xludf.DUMMYFUNCTION("""COMPUTED_VALUE"""),0.4166666666678793)</f>
        <v>0.4166666667</v>
      </c>
      <c r="J1171" s="12">
        <f>IFERROR(__xludf.DUMMYFUNCTION("""COMPUTED_VALUE"""),0.9)</f>
        <v>0.9</v>
      </c>
      <c r="K1171" s="12">
        <f>IFERROR(__xludf.DUMMYFUNCTION("""COMPUTED_VALUE"""),0.09)</f>
        <v>0.09</v>
      </c>
      <c r="L1171" s="14">
        <f>IFERROR(__xludf.DUMMYFUNCTION("""COMPUTED_VALUE"""),27.473)</f>
        <v>27.473</v>
      </c>
      <c r="M1171" s="14">
        <f>IFERROR(__xludf.DUMMYFUNCTION("""COMPUTED_VALUE"""),28.204)</f>
        <v>28.204</v>
      </c>
      <c r="N1171" s="14">
        <f>IFERROR(__xludf.DUMMYFUNCTION("""COMPUTED_VALUE"""),28.341)</f>
        <v>28.341</v>
      </c>
      <c r="O1171" s="14">
        <f>IFERROR(__xludf.DUMMYFUNCTION("""COMPUTED_VALUE"""),29.697)</f>
        <v>29.697</v>
      </c>
      <c r="P1171" s="14">
        <f>IFERROR(__xludf.DUMMYFUNCTION("""COMPUTED_VALUE"""),29.488)</f>
        <v>29.488</v>
      </c>
      <c r="Q1171" s="14">
        <f>IFERROR(__xludf.DUMMYFUNCTION("""COMPUTED_VALUE"""),28.641)</f>
        <v>28.641</v>
      </c>
      <c r="R1171" s="48">
        <f>IFERROR(__xludf.DUMMYFUNCTION("""COMPUTED_VALUE"""),8.27)</f>
        <v>8.27</v>
      </c>
      <c r="S1171" s="48">
        <f>IFERROR(__xludf.DUMMYFUNCTION("""COMPUTED_VALUE"""),8.3)</f>
        <v>8.3</v>
      </c>
      <c r="T1171" s="48">
        <f>IFERROR(__xludf.DUMMYFUNCTION("""COMPUTED_VALUE"""),8.4)</f>
        <v>8.4</v>
      </c>
      <c r="U1171" s="48">
        <f>IFERROR(__xludf.DUMMYFUNCTION("""COMPUTED_VALUE"""),8.37)</f>
        <v>8.37</v>
      </c>
      <c r="V1171" s="48">
        <f>IFERROR(__xludf.DUMMYFUNCTION("""COMPUTED_VALUE"""),8.39)</f>
        <v>8.39</v>
      </c>
      <c r="W1171" s="14">
        <f>IFERROR(__xludf.DUMMYFUNCTION("""COMPUTED_VALUE"""),8.346)</f>
        <v>8.346</v>
      </c>
      <c r="X1171" s="14">
        <f>IFERROR(__xludf.DUMMYFUNCTION("""COMPUTED_VALUE"""),14.4)</f>
        <v>14.4</v>
      </c>
      <c r="Y1171" s="14">
        <f>IFERROR(__xludf.DUMMYFUNCTION("""COMPUTED_VALUE"""),14.3)</f>
        <v>14.3</v>
      </c>
      <c r="Z1171" s="14">
        <f>IFERROR(__xludf.DUMMYFUNCTION("""COMPUTED_VALUE"""),14.8)</f>
        <v>14.8</v>
      </c>
      <c r="AA1171" s="14">
        <f>IFERROR(__xludf.DUMMYFUNCTION("""COMPUTED_VALUE"""),15.0)</f>
        <v>15</v>
      </c>
      <c r="AB1171" s="14">
        <f>IFERROR(__xludf.DUMMYFUNCTION("""COMPUTED_VALUE"""),14.7)</f>
        <v>14.7</v>
      </c>
      <c r="AC1171" s="14">
        <f>IFERROR(__xludf.DUMMYFUNCTION("""COMPUTED_VALUE"""),14.64)</f>
        <v>14.64</v>
      </c>
      <c r="AD1171" s="48">
        <f>IFERROR(__xludf.DUMMYFUNCTION("""COMPUTED_VALUE"""),337.0)</f>
        <v>337</v>
      </c>
      <c r="AE1171" s="48">
        <f>IFERROR(__xludf.DUMMYFUNCTION("""COMPUTED_VALUE"""),352.0)</f>
        <v>352</v>
      </c>
      <c r="AF1171" s="48">
        <f>IFERROR(__xludf.DUMMYFUNCTION("""COMPUTED_VALUE"""),369.0)</f>
        <v>369</v>
      </c>
      <c r="AG1171" s="48">
        <f>IFERROR(__xludf.DUMMYFUNCTION("""COMPUTED_VALUE"""),371.0)</f>
        <v>371</v>
      </c>
      <c r="AH1171" s="48">
        <f>IFERROR(__xludf.DUMMYFUNCTION("""COMPUTED_VALUE"""),369.0)</f>
        <v>369</v>
      </c>
      <c r="AI1171" s="14">
        <f>IFERROR(__xludf.DUMMYFUNCTION("""COMPUTED_VALUE"""),359.6)</f>
        <v>359.6</v>
      </c>
      <c r="AJ1171" s="14">
        <f>IFERROR(__xludf.DUMMYFUNCTION("""COMPUTED_VALUE"""),3.91)</f>
        <v>3.91</v>
      </c>
      <c r="AK1171" s="14">
        <f>IFERROR(__xludf.DUMMYFUNCTION("""COMPUTED_VALUE"""),3.25)</f>
        <v>3.25</v>
      </c>
      <c r="AL1171" s="14">
        <f>IFERROR(__xludf.DUMMYFUNCTION("""COMPUTED_VALUE"""),3.46)</f>
        <v>3.46</v>
      </c>
      <c r="AM1171" s="14">
        <f>IFERROR(__xludf.DUMMYFUNCTION("""COMPUTED_VALUE"""),3.25)</f>
        <v>3.25</v>
      </c>
      <c r="AN1171" s="14">
        <f>IFERROR(__xludf.DUMMYFUNCTION("""COMPUTED_VALUE"""),3.48)</f>
        <v>3.48</v>
      </c>
      <c r="AO1171" s="14">
        <f>IFERROR(__xludf.DUMMYFUNCTION("""COMPUTED_VALUE"""),3.47)</f>
        <v>3.47</v>
      </c>
      <c r="AP1171" s="14">
        <f>IFERROR(__xludf.DUMMYFUNCTION("""COMPUTED_VALUE"""),24.0)</f>
        <v>24</v>
      </c>
      <c r="AQ1171" s="14">
        <f>IFERROR(__xludf.DUMMYFUNCTION("""COMPUTED_VALUE"""),43.0)</f>
        <v>43</v>
      </c>
      <c r="AR1171" s="14">
        <f>IFERROR(__xludf.DUMMYFUNCTION("""COMPUTED_VALUE"""),9.0)</f>
        <v>9</v>
      </c>
      <c r="AS1171" s="14">
        <f>IFERROR(__xludf.DUMMYFUNCTION("""COMPUTED_VALUE"""),7.6)</f>
        <v>7.6</v>
      </c>
      <c r="AT1171" s="14">
        <f>IFERROR(__xludf.DUMMYFUNCTION("""COMPUTED_VALUE"""),0.07)</f>
        <v>0.07</v>
      </c>
      <c r="AU1171" s="14">
        <f>IFERROR(__xludf.DUMMYFUNCTION("""COMPUTED_VALUE"""),1301000.0)</f>
        <v>1301000</v>
      </c>
      <c r="AV1171" s="14">
        <f>IFERROR(__xludf.DUMMYFUNCTION("""COMPUTED_VALUE"""),0.2)</f>
        <v>0.2</v>
      </c>
      <c r="AW1171" s="14">
        <f>IFERROR(__xludf.DUMMYFUNCTION("""COMPUTED_VALUE"""),3.9)</f>
        <v>3.9</v>
      </c>
      <c r="AX1171" s="14">
        <f>IFERROR(__xludf.DUMMYFUNCTION("""COMPUTED_VALUE"""),1234000.0)</f>
        <v>1234000</v>
      </c>
      <c r="AY1171" s="14">
        <f>IFERROR(__xludf.DUMMYFUNCTION("""COMPUTED_VALUE"""),0.1)</f>
        <v>0.1</v>
      </c>
      <c r="AZ1171" s="14">
        <f>IFERROR(__xludf.DUMMYFUNCTION("""COMPUTED_VALUE"""),0.007)</f>
        <v>0.007</v>
      </c>
      <c r="BA1171" s="14">
        <f t="shared" si="1"/>
        <v>4.007</v>
      </c>
    </row>
    <row r="1172" ht="14.25" customHeight="1">
      <c r="A1172" s="10" t="str">
        <f>IFERROR(__xludf.DUMMYFUNCTION("""COMPUTED_VALUE"""),"260924FE03")</f>
        <v>260924FE03</v>
      </c>
      <c r="B1172" s="12" t="str">
        <f>IFERROR(__xludf.DUMMYFUNCTION("""COMPUTED_VALUE"""),"QSL-Alfonso López")</f>
        <v>QSL-Alfonso López</v>
      </c>
      <c r="C1172" s="12"/>
      <c r="D1172" s="12"/>
      <c r="E1172" s="44">
        <f>IFERROR(__xludf.DUMMYFUNCTION("""COMPUTED_VALUE"""),45561.0)</f>
        <v>45561</v>
      </c>
      <c r="F1172" s="12" t="str">
        <f>IFERROR(__xludf.DUMMYFUNCTION("""COMPUTED_VALUE"""),"TIPO I")</f>
        <v>TIPO I</v>
      </c>
      <c r="G1172" s="12" t="str">
        <f>IFERROR(__xludf.DUMMYFUNCTION("""COMPUTED_VALUE"""),"Toma de muestra en lecho natural rocoso con sedimentos, durante el desarrollo del monitoreo se observa color, se percibe olor, ")</f>
        <v>Toma de muestra en lecho natural rocoso con sedimentos, durante el desarrollo del monitoreo se observa color, se percibe olor, </v>
      </c>
      <c r="H1172" s="45">
        <f>IFERROR(__xludf.DUMMYFUNCTION("""COMPUTED_VALUE"""),0.6666666666678793)</f>
        <v>0.6666666667</v>
      </c>
      <c r="I1172" s="45">
        <f>IFERROR(__xludf.DUMMYFUNCTION("""COMPUTED_VALUE"""),0.75)</f>
        <v>0.75</v>
      </c>
      <c r="J1172" s="12">
        <f>IFERROR(__xludf.DUMMYFUNCTION("""COMPUTED_VALUE"""),0.63)</f>
        <v>0.63</v>
      </c>
      <c r="K1172" s="12">
        <f>IFERROR(__xludf.DUMMYFUNCTION("""COMPUTED_VALUE"""),0.11)</f>
        <v>0.11</v>
      </c>
      <c r="L1172" s="14">
        <f>IFERROR(__xludf.DUMMYFUNCTION("""COMPUTED_VALUE"""),11.492)</f>
        <v>11.492</v>
      </c>
      <c r="M1172" s="14">
        <f>IFERROR(__xludf.DUMMYFUNCTION("""COMPUTED_VALUE"""),11.668)</f>
        <v>11.668</v>
      </c>
      <c r="N1172" s="14">
        <f>IFERROR(__xludf.DUMMYFUNCTION("""COMPUTED_VALUE"""),11.693)</f>
        <v>11.693</v>
      </c>
      <c r="O1172" s="14">
        <f>IFERROR(__xludf.DUMMYFUNCTION("""COMPUTED_VALUE"""),12.619)</f>
        <v>12.619</v>
      </c>
      <c r="P1172" s="14">
        <f>IFERROR(__xludf.DUMMYFUNCTION("""COMPUTED_VALUE"""),13.496)</f>
        <v>13.496</v>
      </c>
      <c r="Q1172" s="14">
        <f>IFERROR(__xludf.DUMMYFUNCTION("""COMPUTED_VALUE"""),12.193)</f>
        <v>12.193</v>
      </c>
      <c r="R1172" s="48">
        <f>IFERROR(__xludf.DUMMYFUNCTION("""COMPUTED_VALUE"""),8.04)</f>
        <v>8.04</v>
      </c>
      <c r="S1172" s="48">
        <f>IFERROR(__xludf.DUMMYFUNCTION("""COMPUTED_VALUE"""),8.11)</f>
        <v>8.11</v>
      </c>
      <c r="T1172" s="48">
        <f>IFERROR(__xludf.DUMMYFUNCTION("""COMPUTED_VALUE"""),8.09)</f>
        <v>8.09</v>
      </c>
      <c r="U1172" s="48">
        <f>IFERROR(__xludf.DUMMYFUNCTION("""COMPUTED_VALUE"""),8.31)</f>
        <v>8.31</v>
      </c>
      <c r="V1172" s="48">
        <f>IFERROR(__xludf.DUMMYFUNCTION("""COMPUTED_VALUE"""),8.33)</f>
        <v>8.33</v>
      </c>
      <c r="W1172" s="14">
        <f>IFERROR(__xludf.DUMMYFUNCTION("""COMPUTED_VALUE"""),8.175999999999998)</f>
        <v>8.176</v>
      </c>
      <c r="X1172" s="14">
        <f>IFERROR(__xludf.DUMMYFUNCTION("""COMPUTED_VALUE"""),13.2)</f>
        <v>13.2</v>
      </c>
      <c r="Y1172" s="14">
        <f>IFERROR(__xludf.DUMMYFUNCTION("""COMPUTED_VALUE"""),13.3)</f>
        <v>13.3</v>
      </c>
      <c r="Z1172" s="14">
        <f>IFERROR(__xludf.DUMMYFUNCTION("""COMPUTED_VALUE"""),13.8)</f>
        <v>13.8</v>
      </c>
      <c r="AA1172" s="14">
        <f>IFERROR(__xludf.DUMMYFUNCTION("""COMPUTED_VALUE"""),13.3)</f>
        <v>13.3</v>
      </c>
      <c r="AB1172" s="14">
        <f>IFERROR(__xludf.DUMMYFUNCTION("""COMPUTED_VALUE"""),13.2)</f>
        <v>13.2</v>
      </c>
      <c r="AC1172" s="14">
        <f>IFERROR(__xludf.DUMMYFUNCTION("""COMPUTED_VALUE"""),13.36)</f>
        <v>13.36</v>
      </c>
      <c r="AD1172" s="48">
        <f>IFERROR(__xludf.DUMMYFUNCTION("""COMPUTED_VALUE"""),243.0)</f>
        <v>243</v>
      </c>
      <c r="AE1172" s="48">
        <f>IFERROR(__xludf.DUMMYFUNCTION("""COMPUTED_VALUE"""),247.0)</f>
        <v>247</v>
      </c>
      <c r="AF1172" s="48">
        <f>IFERROR(__xludf.DUMMYFUNCTION("""COMPUTED_VALUE"""),241.0)</f>
        <v>241</v>
      </c>
      <c r="AG1172" s="48">
        <f>IFERROR(__xludf.DUMMYFUNCTION("""COMPUTED_VALUE"""),243.0)</f>
        <v>243</v>
      </c>
      <c r="AH1172" s="48">
        <f>IFERROR(__xludf.DUMMYFUNCTION("""COMPUTED_VALUE"""),239.0)</f>
        <v>239</v>
      </c>
      <c r="AI1172" s="14">
        <f>IFERROR(__xludf.DUMMYFUNCTION("""COMPUTED_VALUE"""),242.6)</f>
        <v>242.6</v>
      </c>
      <c r="AJ1172" s="14">
        <f>IFERROR(__xludf.DUMMYFUNCTION("""COMPUTED_VALUE"""),4.06)</f>
        <v>4.06</v>
      </c>
      <c r="AK1172" s="14">
        <f>IFERROR(__xludf.DUMMYFUNCTION("""COMPUTED_VALUE"""),3.81)</f>
        <v>3.81</v>
      </c>
      <c r="AL1172" s="14">
        <f>IFERROR(__xludf.DUMMYFUNCTION("""COMPUTED_VALUE"""),3.75)</f>
        <v>3.75</v>
      </c>
      <c r="AM1172" s="14">
        <f>IFERROR(__xludf.DUMMYFUNCTION("""COMPUTED_VALUE"""),3.78)</f>
        <v>3.78</v>
      </c>
      <c r="AN1172" s="14">
        <f>IFERROR(__xludf.DUMMYFUNCTION("""COMPUTED_VALUE"""),3.81)</f>
        <v>3.81</v>
      </c>
      <c r="AO1172" s="14">
        <f>IFERROR(__xludf.DUMMYFUNCTION("""COMPUTED_VALUE"""),3.8419999999999996)</f>
        <v>3.842</v>
      </c>
      <c r="AP1172" s="14">
        <f>IFERROR(__xludf.DUMMYFUNCTION("""COMPUTED_VALUE"""),9.0)</f>
        <v>9</v>
      </c>
      <c r="AQ1172" s="14">
        <f>IFERROR(__xludf.DUMMYFUNCTION("""COMPUTED_VALUE"""),27.0)</f>
        <v>27</v>
      </c>
      <c r="AR1172" s="14">
        <f>IFERROR(__xludf.DUMMYFUNCTION("""COMPUTED_VALUE"""),25.0)</f>
        <v>25</v>
      </c>
      <c r="AS1172" s="14">
        <f>IFERROR(__xludf.DUMMYFUNCTION("""COMPUTED_VALUE"""),9.6)</f>
        <v>9.6</v>
      </c>
      <c r="AT1172" s="14">
        <f>IFERROR(__xludf.DUMMYFUNCTION("""COMPUTED_VALUE"""),0.07)</f>
        <v>0.07</v>
      </c>
      <c r="AU1172" s="14">
        <f>IFERROR(__xludf.DUMMYFUNCTION("""COMPUTED_VALUE"""),93300.0)</f>
        <v>93300</v>
      </c>
      <c r="AV1172" s="14">
        <f>IFERROR(__xludf.DUMMYFUNCTION("""COMPUTED_VALUE"""),0.07)</f>
        <v>0.07</v>
      </c>
      <c r="AW1172" s="14">
        <f>IFERROR(__xludf.DUMMYFUNCTION("""COMPUTED_VALUE"""),1.0)</f>
        <v>1</v>
      </c>
      <c r="AX1172" s="14">
        <f>IFERROR(__xludf.DUMMYFUNCTION("""COMPUTED_VALUE"""),6240.0)</f>
        <v>6240</v>
      </c>
      <c r="AY1172" s="14">
        <f>IFERROR(__xludf.DUMMYFUNCTION("""COMPUTED_VALUE"""),3.5)</f>
        <v>3.5</v>
      </c>
      <c r="AZ1172" s="14">
        <f>IFERROR(__xludf.DUMMYFUNCTION("""COMPUTED_VALUE"""),0.038)</f>
        <v>0.038</v>
      </c>
      <c r="BA1172" s="14">
        <f t="shared" si="1"/>
        <v>4.538</v>
      </c>
    </row>
    <row r="1173" ht="14.25" customHeight="1">
      <c r="A1173" s="10" t="str">
        <f>IFERROR(__xludf.DUMMYFUNCTION("""COMPUTED_VALUE"""),"260924SA04")</f>
        <v>260924SA04</v>
      </c>
      <c r="B1173" s="12" t="str">
        <f>IFERROR(__xludf.DUMMYFUNCTION("""COMPUTED_VALUE"""),"QLI-San Francisco")</f>
        <v>QLI-San Francisco</v>
      </c>
      <c r="C1173" s="12"/>
      <c r="D1173" s="12"/>
      <c r="E1173" s="44">
        <f>IFERROR(__xludf.DUMMYFUNCTION("""COMPUTED_VALUE"""),45561.0)</f>
        <v>45561</v>
      </c>
      <c r="F1173" s="12" t="str">
        <f>IFERROR(__xludf.DUMMYFUNCTION("""COMPUTED_VALUE"""),"TIPO I")</f>
        <v>TIPO I</v>
      </c>
      <c r="G1173" s="12" t="str">
        <f>IFERROR(__xludf.DUMMYFUNCTION("""COMPUTED_VALUE"""),"Toma de muestra en canal natural con lecho rocoso, se observa color, se percibe olor, durante todo el monitoreo se presentan precipitaciones.")</f>
        <v>Toma de muestra en canal natural con lecho rocoso, se observa color, se percibe olor, durante todo el monitoreo se presentan precipitaciones.</v>
      </c>
      <c r="H1173" s="45">
        <f>IFERROR(__xludf.DUMMYFUNCTION("""COMPUTED_VALUE"""),0.6666666666678793)</f>
        <v>0.6666666667</v>
      </c>
      <c r="I1173" s="45">
        <f>IFERROR(__xludf.DUMMYFUNCTION("""COMPUTED_VALUE"""),0.75)</f>
        <v>0.75</v>
      </c>
      <c r="J1173" s="12">
        <f>IFERROR(__xludf.DUMMYFUNCTION("""COMPUTED_VALUE"""),1.8)</f>
        <v>1.8</v>
      </c>
      <c r="K1173" s="12">
        <f>IFERROR(__xludf.DUMMYFUNCTION("""COMPUTED_VALUE"""),0.14)</f>
        <v>0.14</v>
      </c>
      <c r="L1173" s="14">
        <f>IFERROR(__xludf.DUMMYFUNCTION("""COMPUTED_VALUE"""),101.076)</f>
        <v>101.076</v>
      </c>
      <c r="M1173" s="14">
        <f>IFERROR(__xludf.DUMMYFUNCTION("""COMPUTED_VALUE"""),102.413)</f>
        <v>102.413</v>
      </c>
      <c r="N1173" s="14">
        <f>IFERROR(__xludf.DUMMYFUNCTION("""COMPUTED_VALUE"""),105.462)</f>
        <v>105.462</v>
      </c>
      <c r="O1173" s="14">
        <f>IFERROR(__xludf.DUMMYFUNCTION("""COMPUTED_VALUE"""),106.959)</f>
        <v>106.959</v>
      </c>
      <c r="P1173" s="14">
        <f>IFERROR(__xludf.DUMMYFUNCTION("""COMPUTED_VALUE"""),105.812)</f>
        <v>105.812</v>
      </c>
      <c r="Q1173" s="14">
        <f>IFERROR(__xludf.DUMMYFUNCTION("""COMPUTED_VALUE"""),104.344)</f>
        <v>104.344</v>
      </c>
      <c r="R1173" s="48">
        <f>IFERROR(__xludf.DUMMYFUNCTION("""COMPUTED_VALUE"""),7.34)</f>
        <v>7.34</v>
      </c>
      <c r="S1173" s="48">
        <f>IFERROR(__xludf.DUMMYFUNCTION("""COMPUTED_VALUE"""),7.25)</f>
        <v>7.25</v>
      </c>
      <c r="T1173" s="48">
        <f>IFERROR(__xludf.DUMMYFUNCTION("""COMPUTED_VALUE"""),7.11)</f>
        <v>7.11</v>
      </c>
      <c r="U1173" s="48">
        <f>IFERROR(__xludf.DUMMYFUNCTION("""COMPUTED_VALUE"""),7.19)</f>
        <v>7.19</v>
      </c>
      <c r="V1173" s="48">
        <f>IFERROR(__xludf.DUMMYFUNCTION("""COMPUTED_VALUE"""),6.91)</f>
        <v>6.91</v>
      </c>
      <c r="W1173" s="14">
        <f>IFERROR(__xludf.DUMMYFUNCTION("""COMPUTED_VALUE"""),7.159999999999999)</f>
        <v>7.16</v>
      </c>
      <c r="X1173" s="14">
        <f>IFERROR(__xludf.DUMMYFUNCTION("""COMPUTED_VALUE"""),16.8)</f>
        <v>16.8</v>
      </c>
      <c r="Y1173" s="14">
        <f>IFERROR(__xludf.DUMMYFUNCTION("""COMPUTED_VALUE"""),16.6)</f>
        <v>16.6</v>
      </c>
      <c r="Z1173" s="14">
        <f>IFERROR(__xludf.DUMMYFUNCTION("""COMPUTED_VALUE"""),16.2)</f>
        <v>16.2</v>
      </c>
      <c r="AA1173" s="14">
        <f>IFERROR(__xludf.DUMMYFUNCTION("""COMPUTED_VALUE"""),15.9)</f>
        <v>15.9</v>
      </c>
      <c r="AB1173" s="14">
        <f>IFERROR(__xludf.DUMMYFUNCTION("""COMPUTED_VALUE"""),15.6)</f>
        <v>15.6</v>
      </c>
      <c r="AC1173" s="14">
        <f>IFERROR(__xludf.DUMMYFUNCTION("""COMPUTED_VALUE"""),16.220000000000002)</f>
        <v>16.22</v>
      </c>
      <c r="AD1173" s="48">
        <f>IFERROR(__xludf.DUMMYFUNCTION("""COMPUTED_VALUE"""),415.0)</f>
        <v>415</v>
      </c>
      <c r="AE1173" s="48">
        <f>IFERROR(__xludf.DUMMYFUNCTION("""COMPUTED_VALUE"""),407.0)</f>
        <v>407</v>
      </c>
      <c r="AF1173" s="48">
        <f>IFERROR(__xludf.DUMMYFUNCTION("""COMPUTED_VALUE"""),382.0)</f>
        <v>382</v>
      </c>
      <c r="AG1173" s="48">
        <f>IFERROR(__xludf.DUMMYFUNCTION("""COMPUTED_VALUE"""),395.0)</f>
        <v>395</v>
      </c>
      <c r="AH1173" s="48">
        <f>IFERROR(__xludf.DUMMYFUNCTION("""COMPUTED_VALUE"""),319.0)</f>
        <v>319</v>
      </c>
      <c r="AI1173" s="14">
        <f>IFERROR(__xludf.DUMMYFUNCTION("""COMPUTED_VALUE"""),383.6)</f>
        <v>383.6</v>
      </c>
      <c r="AJ1173" s="14">
        <f>IFERROR(__xludf.DUMMYFUNCTION("""COMPUTED_VALUE"""),4.33)</f>
        <v>4.33</v>
      </c>
      <c r="AK1173" s="14">
        <f>IFERROR(__xludf.DUMMYFUNCTION("""COMPUTED_VALUE"""),4.68)</f>
        <v>4.68</v>
      </c>
      <c r="AL1173" s="14">
        <f>IFERROR(__xludf.DUMMYFUNCTION("""COMPUTED_VALUE"""),4.18)</f>
        <v>4.18</v>
      </c>
      <c r="AM1173" s="14">
        <f>IFERROR(__xludf.DUMMYFUNCTION("""COMPUTED_VALUE"""),4.81)</f>
        <v>4.81</v>
      </c>
      <c r="AN1173" s="14">
        <f>IFERROR(__xludf.DUMMYFUNCTION("""COMPUTED_VALUE"""),4.72)</f>
        <v>4.72</v>
      </c>
      <c r="AO1173" s="14">
        <f>IFERROR(__xludf.DUMMYFUNCTION("""COMPUTED_VALUE"""),4.544)</f>
        <v>4.544</v>
      </c>
      <c r="AP1173" s="14">
        <f>IFERROR(__xludf.DUMMYFUNCTION("""COMPUTED_VALUE"""),70.0)</f>
        <v>70</v>
      </c>
      <c r="AQ1173" s="14">
        <f>IFERROR(__xludf.DUMMYFUNCTION("""COMPUTED_VALUE"""),112.0)</f>
        <v>112</v>
      </c>
      <c r="AR1173" s="14">
        <f>IFERROR(__xludf.DUMMYFUNCTION("""COMPUTED_VALUE"""),112.0)</f>
        <v>112</v>
      </c>
      <c r="AS1173" s="14">
        <f>IFERROR(__xludf.DUMMYFUNCTION("""COMPUTED_VALUE"""),15.5)</f>
        <v>15.5</v>
      </c>
      <c r="AT1173" s="14">
        <f>IFERROR(__xludf.DUMMYFUNCTION("""COMPUTED_VALUE"""),2.6)</f>
        <v>2.6</v>
      </c>
      <c r="AU1173" s="14">
        <f>IFERROR(__xludf.DUMMYFUNCTION("""COMPUTED_VALUE"""),1.022E7)</f>
        <v>10220000</v>
      </c>
      <c r="AV1173" s="14">
        <f>IFERROR(__xludf.DUMMYFUNCTION("""COMPUTED_VALUE"""),1.96)</f>
        <v>1.96</v>
      </c>
      <c r="AW1173" s="14">
        <f>IFERROR(__xludf.DUMMYFUNCTION("""COMPUTED_VALUE"""),12.9)</f>
        <v>12.9</v>
      </c>
      <c r="AX1173" s="14">
        <f>IFERROR(__xludf.DUMMYFUNCTION("""COMPUTED_VALUE"""),8860000.0)</f>
        <v>8860000</v>
      </c>
      <c r="AY1173" s="14">
        <f>IFERROR(__xludf.DUMMYFUNCTION("""COMPUTED_VALUE"""),0.8)</f>
        <v>0.8</v>
      </c>
      <c r="AZ1173" s="14">
        <f>IFERROR(__xludf.DUMMYFUNCTION("""COMPUTED_VALUE"""),0.007)</f>
        <v>0.007</v>
      </c>
      <c r="BA1173" s="14">
        <f t="shared" si="1"/>
        <v>13.707</v>
      </c>
    </row>
    <row r="1174" ht="14.25" customHeight="1">
      <c r="A1174" s="10" t="str">
        <f>IFERROR(__xludf.DUMMYFUNCTION("""COMPUTED_VALUE"""),"250924HA03")</f>
        <v>250924HA03</v>
      </c>
      <c r="B1174" s="12" t="str">
        <f>IFERROR(__xludf.DUMMYFUNCTION("""COMPUTED_VALUE"""),"QTR-Quiba")</f>
        <v>QTR-Quiba</v>
      </c>
      <c r="C1174" s="12"/>
      <c r="D1174" s="12"/>
      <c r="E1174" s="44">
        <f>IFERROR(__xludf.DUMMYFUNCTION("""COMPUTED_VALUE"""),45560.0)</f>
        <v>45560</v>
      </c>
      <c r="F1174" s="12" t="str">
        <f>IFERROR(__xludf.DUMMYFUNCTION("""COMPUTED_VALUE"""),"TIPO I")</f>
        <v>TIPO I</v>
      </c>
      <c r="G1174" s="12" t="str">
        <f>IFERROR(__xludf.DUMMYFUNCTION("""COMPUTED_VALUE"""),"Toma de muestra en lecho natural rocoso arenoso, durante el desarrollo del monitoreo se percibe olor y se observa color.
Altitud: 2635 msnm.")</f>
        <v>Toma de muestra en lecho natural rocoso arenoso, durante el desarrollo del monitoreo se percibe olor y se observa color.
Altitud: 2635 msnm.</v>
      </c>
      <c r="H1174" s="45">
        <f>IFERROR(__xludf.DUMMYFUNCTION("""COMPUTED_VALUE"""),0.6666666666678793)</f>
        <v>0.6666666667</v>
      </c>
      <c r="I1174" s="45">
        <f>IFERROR(__xludf.DUMMYFUNCTION("""COMPUTED_VALUE"""),0.75)</f>
        <v>0.75</v>
      </c>
      <c r="J1174" s="12">
        <f>IFERROR(__xludf.DUMMYFUNCTION("""COMPUTED_VALUE"""),0.64)</f>
        <v>0.64</v>
      </c>
      <c r="K1174" s="12">
        <f>IFERROR(__xludf.DUMMYFUNCTION("""COMPUTED_VALUE"""),0.16)</f>
        <v>0.16</v>
      </c>
      <c r="L1174" s="14">
        <f>IFERROR(__xludf.DUMMYFUNCTION("""COMPUTED_VALUE"""),33.183)</f>
        <v>33.183</v>
      </c>
      <c r="M1174" s="14">
        <f>IFERROR(__xludf.DUMMYFUNCTION("""COMPUTED_VALUE"""),32.96)</f>
        <v>32.96</v>
      </c>
      <c r="N1174" s="14">
        <f>IFERROR(__xludf.DUMMYFUNCTION("""COMPUTED_VALUE"""),32.735)</f>
        <v>32.735</v>
      </c>
      <c r="O1174" s="14">
        <f>IFERROR(__xludf.DUMMYFUNCTION("""COMPUTED_VALUE"""),33.235)</f>
        <v>33.235</v>
      </c>
      <c r="P1174" s="14">
        <f>IFERROR(__xludf.DUMMYFUNCTION("""COMPUTED_VALUE"""),32.884)</f>
        <v>32.884</v>
      </c>
      <c r="Q1174" s="14">
        <f>IFERROR(__xludf.DUMMYFUNCTION("""COMPUTED_VALUE"""),32.999)</f>
        <v>32.999</v>
      </c>
      <c r="R1174" s="48">
        <f>IFERROR(__xludf.DUMMYFUNCTION("""COMPUTED_VALUE"""),11.18)</f>
        <v>11.18</v>
      </c>
      <c r="S1174" s="48">
        <f>IFERROR(__xludf.DUMMYFUNCTION("""COMPUTED_VALUE"""),11.39)</f>
        <v>11.39</v>
      </c>
      <c r="T1174" s="48">
        <f>IFERROR(__xludf.DUMMYFUNCTION("""COMPUTED_VALUE"""),10.92)</f>
        <v>10.92</v>
      </c>
      <c r="U1174" s="48">
        <f>IFERROR(__xludf.DUMMYFUNCTION("""COMPUTED_VALUE"""),10.98)</f>
        <v>10.98</v>
      </c>
      <c r="V1174" s="48">
        <f>IFERROR(__xludf.DUMMYFUNCTION("""COMPUTED_VALUE"""),10.82)</f>
        <v>10.82</v>
      </c>
      <c r="W1174" s="14">
        <f>IFERROR(__xludf.DUMMYFUNCTION("""COMPUTED_VALUE"""),11.058)</f>
        <v>11.058</v>
      </c>
      <c r="X1174" s="14">
        <f>IFERROR(__xludf.DUMMYFUNCTION("""COMPUTED_VALUE"""),18.3)</f>
        <v>18.3</v>
      </c>
      <c r="Y1174" s="14">
        <f>IFERROR(__xludf.DUMMYFUNCTION("""COMPUTED_VALUE"""),18.0)</f>
        <v>18</v>
      </c>
      <c r="Z1174" s="14">
        <f>IFERROR(__xludf.DUMMYFUNCTION("""COMPUTED_VALUE"""),17.9)</f>
        <v>17.9</v>
      </c>
      <c r="AA1174" s="14">
        <f>IFERROR(__xludf.DUMMYFUNCTION("""COMPUTED_VALUE"""),17.6)</f>
        <v>17.6</v>
      </c>
      <c r="AB1174" s="14">
        <f>IFERROR(__xludf.DUMMYFUNCTION("""COMPUTED_VALUE"""),17.5)</f>
        <v>17.5</v>
      </c>
      <c r="AC1174" s="14">
        <f>IFERROR(__xludf.DUMMYFUNCTION("""COMPUTED_VALUE"""),17.86)</f>
        <v>17.86</v>
      </c>
      <c r="AD1174" s="48">
        <f>IFERROR(__xludf.DUMMYFUNCTION("""COMPUTED_VALUE"""),802.0)</f>
        <v>802</v>
      </c>
      <c r="AE1174" s="48">
        <f>IFERROR(__xludf.DUMMYFUNCTION("""COMPUTED_VALUE"""),997.0)</f>
        <v>997</v>
      </c>
      <c r="AF1174" s="48">
        <f>IFERROR(__xludf.DUMMYFUNCTION("""COMPUTED_VALUE"""),647.0)</f>
        <v>647</v>
      </c>
      <c r="AG1174" s="48">
        <f>IFERROR(__xludf.DUMMYFUNCTION("""COMPUTED_VALUE"""),670.0)</f>
        <v>670</v>
      </c>
      <c r="AH1174" s="48">
        <f>IFERROR(__xludf.DUMMYFUNCTION("""COMPUTED_VALUE"""),632.0)</f>
        <v>632</v>
      </c>
      <c r="AI1174" s="14">
        <f>IFERROR(__xludf.DUMMYFUNCTION("""COMPUTED_VALUE"""),749.6)</f>
        <v>749.6</v>
      </c>
      <c r="AJ1174" s="14">
        <f>IFERROR(__xludf.DUMMYFUNCTION("""COMPUTED_VALUE"""),5.34)</f>
        <v>5.34</v>
      </c>
      <c r="AK1174" s="14">
        <f>IFERROR(__xludf.DUMMYFUNCTION("""COMPUTED_VALUE"""),5.45)</f>
        <v>5.45</v>
      </c>
      <c r="AL1174" s="14">
        <f>IFERROR(__xludf.DUMMYFUNCTION("""COMPUTED_VALUE"""),5.38)</f>
        <v>5.38</v>
      </c>
      <c r="AM1174" s="14">
        <f>IFERROR(__xludf.DUMMYFUNCTION("""COMPUTED_VALUE"""),5.05)</f>
        <v>5.05</v>
      </c>
      <c r="AN1174" s="14">
        <f>IFERROR(__xludf.DUMMYFUNCTION("""COMPUTED_VALUE"""),5.24)</f>
        <v>5.24</v>
      </c>
      <c r="AO1174" s="14">
        <f>IFERROR(__xludf.DUMMYFUNCTION("""COMPUTED_VALUE"""),5.292)</f>
        <v>5.292</v>
      </c>
      <c r="AP1174" s="14">
        <f>IFERROR(__xludf.DUMMYFUNCTION("""COMPUTED_VALUE"""),254.0)</f>
        <v>254</v>
      </c>
      <c r="AQ1174" s="14">
        <f>IFERROR(__xludf.DUMMYFUNCTION("""COMPUTED_VALUE"""),385.0)</f>
        <v>385</v>
      </c>
      <c r="AR1174" s="14">
        <f>IFERROR(__xludf.DUMMYFUNCTION("""COMPUTED_VALUE"""),7150.0)</f>
        <v>7150</v>
      </c>
      <c r="AS1174" s="14">
        <f>IFERROR(__xludf.DUMMYFUNCTION("""COMPUTED_VALUE"""),11.2)</f>
        <v>11.2</v>
      </c>
      <c r="AT1174" s="14">
        <f>IFERROR(__xludf.DUMMYFUNCTION("""COMPUTED_VALUE"""),1.74)</f>
        <v>1.74</v>
      </c>
      <c r="AU1174" s="14">
        <f>IFERROR(__xludf.DUMMYFUNCTION("""COMPUTED_VALUE"""),586.0)</f>
        <v>586</v>
      </c>
      <c r="AV1174" s="14">
        <f>IFERROR(__xludf.DUMMYFUNCTION("""COMPUTED_VALUE"""),0.26)</f>
        <v>0.26</v>
      </c>
      <c r="AW1174" s="14">
        <f>IFERROR(__xludf.DUMMYFUNCTION("""COMPUTED_VALUE"""),13.4)</f>
        <v>13.4</v>
      </c>
      <c r="AX1174" s="14">
        <f>IFERROR(__xludf.DUMMYFUNCTION("""COMPUTED_VALUE"""),14.6)</f>
        <v>14.6</v>
      </c>
      <c r="AY1174" s="14">
        <f>IFERROR(__xludf.DUMMYFUNCTION("""COMPUTED_VALUE"""),0.7)</f>
        <v>0.7</v>
      </c>
      <c r="AZ1174" s="14">
        <f>IFERROR(__xludf.DUMMYFUNCTION("""COMPUTED_VALUE"""),0.941)</f>
        <v>0.941</v>
      </c>
      <c r="BA1174" s="14">
        <f t="shared" si="1"/>
        <v>15.041</v>
      </c>
    </row>
    <row r="1175" ht="14.25" customHeight="1">
      <c r="A1175" s="10" t="str">
        <f>IFERROR(__xludf.DUMMYFUNCTION("""COMPUTED_VALUE"""),"250924DA03")</f>
        <v>250924DA03</v>
      </c>
      <c r="B1175" s="12" t="str">
        <f>IFERROR(__xludf.DUMMYFUNCTION("""COMPUTED_VALUE"""),"CON-Country")</f>
        <v>CON-Country</v>
      </c>
      <c r="C1175" s="12"/>
      <c r="D1175" s="12"/>
      <c r="E1175" s="44">
        <f>IFERROR(__xludf.DUMMYFUNCTION("""COMPUTED_VALUE"""),45560.0)</f>
        <v>45560</v>
      </c>
      <c r="F1175" s="12" t="str">
        <f>IFERROR(__xludf.DUMMYFUNCTION("""COMPUTED_VALUE"""),"TIPO I")</f>
        <v>TIPO I</v>
      </c>
      <c r="G1175" s="12" t="str">
        <f>IFERROR(__xludf.DUMMYFUNCTION("""COMPUTED_VALUE"""),"Estructura de concreto tipo canal, durante el monitoreo se observó color, material flotante y se percibe olor.
Altitud: 2579 msnm. ")</f>
        <v>Estructura de concreto tipo canal, durante el monitoreo se observó color, material flotante y se percibe olor.
Altitud: 2579 msnm. </v>
      </c>
      <c r="H1175" s="45">
        <f>IFERROR(__xludf.DUMMYFUNCTION("""COMPUTED_VALUE"""),0.6666666666678793)</f>
        <v>0.6666666667</v>
      </c>
      <c r="I1175" s="45">
        <f>IFERROR(__xludf.DUMMYFUNCTION("""COMPUTED_VALUE"""),0.75)</f>
        <v>0.75</v>
      </c>
      <c r="J1175" s="12">
        <f>IFERROR(__xludf.DUMMYFUNCTION("""COMPUTED_VALUE"""),3.2)</f>
        <v>3.2</v>
      </c>
      <c r="K1175" s="12">
        <f>IFERROR(__xludf.DUMMYFUNCTION("""COMPUTED_VALUE"""),0.09)</f>
        <v>0.09</v>
      </c>
      <c r="L1175" s="14">
        <f>IFERROR(__xludf.DUMMYFUNCTION("""COMPUTED_VALUE"""),34.282)</f>
        <v>34.282</v>
      </c>
      <c r="M1175" s="14">
        <f>IFERROR(__xludf.DUMMYFUNCTION("""COMPUTED_VALUE"""),37.915)</f>
        <v>37.915</v>
      </c>
      <c r="N1175" s="14">
        <f>IFERROR(__xludf.DUMMYFUNCTION("""COMPUTED_VALUE"""),40.294)</f>
        <v>40.294</v>
      </c>
      <c r="O1175" s="14">
        <f>IFERROR(__xludf.DUMMYFUNCTION("""COMPUTED_VALUE"""),42.379)</f>
        <v>42.379</v>
      </c>
      <c r="P1175" s="14">
        <f>IFERROR(__xludf.DUMMYFUNCTION("""COMPUTED_VALUE"""),45.407)</f>
        <v>45.407</v>
      </c>
      <c r="Q1175" s="14">
        <f>IFERROR(__xludf.DUMMYFUNCTION("""COMPUTED_VALUE"""),40.056)</f>
        <v>40.056</v>
      </c>
      <c r="R1175" s="48">
        <f>IFERROR(__xludf.DUMMYFUNCTION("""COMPUTED_VALUE"""),8.29)</f>
        <v>8.29</v>
      </c>
      <c r="S1175" s="48">
        <f>IFERROR(__xludf.DUMMYFUNCTION("""COMPUTED_VALUE"""),8.31)</f>
        <v>8.31</v>
      </c>
      <c r="T1175" s="48">
        <f>IFERROR(__xludf.DUMMYFUNCTION("""COMPUTED_VALUE"""),8.25)</f>
        <v>8.25</v>
      </c>
      <c r="U1175" s="48">
        <f>IFERROR(__xludf.DUMMYFUNCTION("""COMPUTED_VALUE"""),8.23)</f>
        <v>8.23</v>
      </c>
      <c r="V1175" s="48">
        <f>IFERROR(__xludf.DUMMYFUNCTION("""COMPUTED_VALUE"""),8.27)</f>
        <v>8.27</v>
      </c>
      <c r="W1175" s="14">
        <f>IFERROR(__xludf.DUMMYFUNCTION("""COMPUTED_VALUE"""),8.27)</f>
        <v>8.27</v>
      </c>
      <c r="X1175" s="14">
        <f>IFERROR(__xludf.DUMMYFUNCTION("""COMPUTED_VALUE"""),19.5)</f>
        <v>19.5</v>
      </c>
      <c r="Y1175" s="14">
        <f>IFERROR(__xludf.DUMMYFUNCTION("""COMPUTED_VALUE"""),19.3)</f>
        <v>19.3</v>
      </c>
      <c r="Z1175" s="14">
        <f>IFERROR(__xludf.DUMMYFUNCTION("""COMPUTED_VALUE"""),18.9)</f>
        <v>18.9</v>
      </c>
      <c r="AA1175" s="14">
        <f>IFERROR(__xludf.DUMMYFUNCTION("""COMPUTED_VALUE"""),18.7)</f>
        <v>18.7</v>
      </c>
      <c r="AB1175" s="14">
        <f>IFERROR(__xludf.DUMMYFUNCTION("""COMPUTED_VALUE"""),18.5)</f>
        <v>18.5</v>
      </c>
      <c r="AC1175" s="14">
        <f>IFERROR(__xludf.DUMMYFUNCTION("""COMPUTED_VALUE"""),18.979999999999997)</f>
        <v>18.98</v>
      </c>
      <c r="AD1175" s="48">
        <f>IFERROR(__xludf.DUMMYFUNCTION("""COMPUTED_VALUE"""),649.0)</f>
        <v>649</v>
      </c>
      <c r="AE1175" s="48">
        <f>IFERROR(__xludf.DUMMYFUNCTION("""COMPUTED_VALUE"""),664.0)</f>
        <v>664</v>
      </c>
      <c r="AF1175" s="48">
        <f>IFERROR(__xludf.DUMMYFUNCTION("""COMPUTED_VALUE"""),682.0)</f>
        <v>682</v>
      </c>
      <c r="AG1175" s="48">
        <f>IFERROR(__xludf.DUMMYFUNCTION("""COMPUTED_VALUE"""),688.0)</f>
        <v>688</v>
      </c>
      <c r="AH1175" s="48">
        <f>IFERROR(__xludf.DUMMYFUNCTION("""COMPUTED_VALUE"""),695.0)</f>
        <v>695</v>
      </c>
      <c r="AI1175" s="14">
        <f>IFERROR(__xludf.DUMMYFUNCTION("""COMPUTED_VALUE"""),675.6)</f>
        <v>675.6</v>
      </c>
      <c r="AJ1175" s="14">
        <f>IFERROR(__xludf.DUMMYFUNCTION("""COMPUTED_VALUE"""),1.03)</f>
        <v>1.03</v>
      </c>
      <c r="AK1175" s="14">
        <f>IFERROR(__xludf.DUMMYFUNCTION("""COMPUTED_VALUE"""),0.95)</f>
        <v>0.95</v>
      </c>
      <c r="AL1175" s="14">
        <f>IFERROR(__xludf.DUMMYFUNCTION("""COMPUTED_VALUE"""),0.88)</f>
        <v>0.88</v>
      </c>
      <c r="AM1175" s="14">
        <f>IFERROR(__xludf.DUMMYFUNCTION("""COMPUTED_VALUE"""),0.78)</f>
        <v>0.78</v>
      </c>
      <c r="AN1175" s="14">
        <f>IFERROR(__xludf.DUMMYFUNCTION("""COMPUTED_VALUE"""),0.89)</f>
        <v>0.89</v>
      </c>
      <c r="AO1175" s="14">
        <f>IFERROR(__xludf.DUMMYFUNCTION("""COMPUTED_VALUE"""),0.9059999999999999)</f>
        <v>0.906</v>
      </c>
      <c r="AP1175" s="14">
        <f>IFERROR(__xludf.DUMMYFUNCTION("""COMPUTED_VALUE"""),160.0)</f>
        <v>160</v>
      </c>
      <c r="AQ1175" s="14">
        <f>IFERROR(__xludf.DUMMYFUNCTION("""COMPUTED_VALUE"""),242.0)</f>
        <v>242</v>
      </c>
      <c r="AR1175" s="14">
        <f>IFERROR(__xludf.DUMMYFUNCTION("""COMPUTED_VALUE"""),62.0)</f>
        <v>62</v>
      </c>
      <c r="AS1175" s="14">
        <f>IFERROR(__xludf.DUMMYFUNCTION("""COMPUTED_VALUE"""),36.0)</f>
        <v>36</v>
      </c>
      <c r="AT1175" s="14">
        <f>IFERROR(__xludf.DUMMYFUNCTION("""COMPUTED_VALUE"""),5.15)</f>
        <v>5.15</v>
      </c>
      <c r="AU1175" s="14">
        <f>IFERROR(__xludf.DUMMYFUNCTION("""COMPUTED_VALUE"""),1.025E7)</f>
        <v>10250000</v>
      </c>
      <c r="AV1175" s="14">
        <f>IFERROR(__xludf.DUMMYFUNCTION("""COMPUTED_VALUE"""),3.52)</f>
        <v>3.52</v>
      </c>
      <c r="AW1175" s="14">
        <f>IFERROR(__xludf.DUMMYFUNCTION("""COMPUTED_VALUE"""),24.4)</f>
        <v>24.4</v>
      </c>
      <c r="AX1175" s="14">
        <f>IFERROR(__xludf.DUMMYFUNCTION("""COMPUTED_VALUE"""),9060000.0)</f>
        <v>9060000</v>
      </c>
      <c r="AY1175" s="14">
        <f>IFERROR(__xludf.DUMMYFUNCTION("""COMPUTED_VALUE"""),0.5)</f>
        <v>0.5</v>
      </c>
      <c r="AZ1175" s="14">
        <f>IFERROR(__xludf.DUMMYFUNCTION("""COMPUTED_VALUE"""),0.007)</f>
        <v>0.007</v>
      </c>
      <c r="BA1175" s="14">
        <f t="shared" si="1"/>
        <v>24.907</v>
      </c>
    </row>
    <row r="1176" ht="14.25" customHeight="1">
      <c r="A1176" s="10" t="str">
        <f>IFERROR(__xludf.DUMMYFUNCTION("""COMPUTED_VALUE"""),"260924FE02")</f>
        <v>260924FE02</v>
      </c>
      <c r="B1176" s="12" t="str">
        <f>IFERROR(__xludf.DUMMYFUNCTION("""COMPUTED_VALUE"""),"QSL-Portal Usme")</f>
        <v>QSL-Portal Usme</v>
      </c>
      <c r="C1176" s="12"/>
      <c r="D1176" s="12"/>
      <c r="E1176" s="44">
        <f>IFERROR(__xludf.DUMMYFUNCTION("""COMPUTED_VALUE"""),45561.0)</f>
        <v>45561</v>
      </c>
      <c r="F1176" s="12" t="str">
        <f>IFERROR(__xludf.DUMMYFUNCTION("""COMPUTED_VALUE"""),"TIPO I")</f>
        <v>TIPO I</v>
      </c>
      <c r="G1176" s="12" t="str">
        <f>IFERROR(__xludf.DUMMYFUNCTION("""COMPUTED_VALUE"""),"Toma de muestra en lecho en concreto, durante el monitoreo se observa color y se percibe olor.")</f>
        <v>Toma de muestra en lecho en concreto, durante el monitoreo se observa color y se percibe olor.</v>
      </c>
      <c r="H1176" s="45">
        <f>IFERROR(__xludf.DUMMYFUNCTION("""COMPUTED_VALUE"""),0.5)</f>
        <v>0.5</v>
      </c>
      <c r="I1176" s="45">
        <f>IFERROR(__xludf.DUMMYFUNCTION("""COMPUTED_VALUE"""),0.5833333333321207)</f>
        <v>0.5833333333</v>
      </c>
      <c r="J1176" s="12">
        <f>IFERROR(__xludf.DUMMYFUNCTION("""COMPUTED_VALUE"""),1.2)</f>
        <v>1.2</v>
      </c>
      <c r="K1176" s="12">
        <f>IFERROR(__xludf.DUMMYFUNCTION("""COMPUTED_VALUE"""),0.1)</f>
        <v>0.1</v>
      </c>
      <c r="L1176" s="14">
        <f>IFERROR(__xludf.DUMMYFUNCTION("""COMPUTED_VALUE"""),59.986)</f>
        <v>59.986</v>
      </c>
      <c r="M1176" s="14">
        <f>IFERROR(__xludf.DUMMYFUNCTION("""COMPUTED_VALUE"""),60.212)</f>
        <v>60.212</v>
      </c>
      <c r="N1176" s="14">
        <f>IFERROR(__xludf.DUMMYFUNCTION("""COMPUTED_VALUE"""),61.033)</f>
        <v>61.033</v>
      </c>
      <c r="O1176" s="14">
        <f>IFERROR(__xludf.DUMMYFUNCTION("""COMPUTED_VALUE"""),61.153)</f>
        <v>61.153</v>
      </c>
      <c r="P1176" s="14">
        <f>IFERROR(__xludf.DUMMYFUNCTION("""COMPUTED_VALUE"""),62.875)</f>
        <v>62.875</v>
      </c>
      <c r="Q1176" s="14">
        <f>IFERROR(__xludf.DUMMYFUNCTION("""COMPUTED_VALUE"""),61.052)</f>
        <v>61.052</v>
      </c>
      <c r="R1176" s="48">
        <f>IFERROR(__xludf.DUMMYFUNCTION("""COMPUTED_VALUE"""),8.11)</f>
        <v>8.11</v>
      </c>
      <c r="S1176" s="48">
        <f>IFERROR(__xludf.DUMMYFUNCTION("""COMPUTED_VALUE"""),8.09)</f>
        <v>8.09</v>
      </c>
      <c r="T1176" s="48">
        <f>IFERROR(__xludf.DUMMYFUNCTION("""COMPUTED_VALUE"""),7.93)</f>
        <v>7.93</v>
      </c>
      <c r="U1176" s="48">
        <f>IFERROR(__xludf.DUMMYFUNCTION("""COMPUTED_VALUE"""),7.85)</f>
        <v>7.85</v>
      </c>
      <c r="V1176" s="48">
        <f>IFERROR(__xludf.DUMMYFUNCTION("""COMPUTED_VALUE"""),7.94)</f>
        <v>7.94</v>
      </c>
      <c r="W1176" s="14">
        <f>IFERROR(__xludf.DUMMYFUNCTION("""COMPUTED_VALUE"""),7.983999999999999)</f>
        <v>7.984</v>
      </c>
      <c r="X1176" s="14">
        <f>IFERROR(__xludf.DUMMYFUNCTION("""COMPUTED_VALUE"""),16.5)</f>
        <v>16.5</v>
      </c>
      <c r="Y1176" s="14">
        <f>IFERROR(__xludf.DUMMYFUNCTION("""COMPUTED_VALUE"""),16.7)</f>
        <v>16.7</v>
      </c>
      <c r="Z1176" s="14">
        <f>IFERROR(__xludf.DUMMYFUNCTION("""COMPUTED_VALUE"""),16.4)</f>
        <v>16.4</v>
      </c>
      <c r="AA1176" s="14">
        <f>IFERROR(__xludf.DUMMYFUNCTION("""COMPUTED_VALUE"""),17.0)</f>
        <v>17</v>
      </c>
      <c r="AB1176" s="14">
        <f>IFERROR(__xludf.DUMMYFUNCTION("""COMPUTED_VALUE"""),16.4)</f>
        <v>16.4</v>
      </c>
      <c r="AC1176" s="14">
        <f>IFERROR(__xludf.DUMMYFUNCTION("""COMPUTED_VALUE"""),16.6)</f>
        <v>16.6</v>
      </c>
      <c r="AD1176" s="48">
        <f>IFERROR(__xludf.DUMMYFUNCTION("""COMPUTED_VALUE"""),369.0)</f>
        <v>369</v>
      </c>
      <c r="AE1176" s="48">
        <f>IFERROR(__xludf.DUMMYFUNCTION("""COMPUTED_VALUE"""),368.0)</f>
        <v>368</v>
      </c>
      <c r="AF1176" s="48">
        <f>IFERROR(__xludf.DUMMYFUNCTION("""COMPUTED_VALUE"""),360.0)</f>
        <v>360</v>
      </c>
      <c r="AG1176" s="48">
        <f>IFERROR(__xludf.DUMMYFUNCTION("""COMPUTED_VALUE"""),352.0)</f>
        <v>352</v>
      </c>
      <c r="AH1176" s="48">
        <f>IFERROR(__xludf.DUMMYFUNCTION("""COMPUTED_VALUE"""),356.0)</f>
        <v>356</v>
      </c>
      <c r="AI1176" s="14">
        <f>IFERROR(__xludf.DUMMYFUNCTION("""COMPUTED_VALUE"""),361.0)</f>
        <v>361</v>
      </c>
      <c r="AJ1176" s="14">
        <f>IFERROR(__xludf.DUMMYFUNCTION("""COMPUTED_VALUE"""),1.75)</f>
        <v>1.75</v>
      </c>
      <c r="AK1176" s="14">
        <f>IFERROR(__xludf.DUMMYFUNCTION("""COMPUTED_VALUE"""),1.5)</f>
        <v>1.5</v>
      </c>
      <c r="AL1176" s="14">
        <f>IFERROR(__xludf.DUMMYFUNCTION("""COMPUTED_VALUE"""),1.26)</f>
        <v>1.26</v>
      </c>
      <c r="AM1176" s="14">
        <f>IFERROR(__xludf.DUMMYFUNCTION("""COMPUTED_VALUE"""),1.86)</f>
        <v>1.86</v>
      </c>
      <c r="AN1176" s="14">
        <f>IFERROR(__xludf.DUMMYFUNCTION("""COMPUTED_VALUE"""),1.46)</f>
        <v>1.46</v>
      </c>
      <c r="AO1176" s="14">
        <f>IFERROR(__xludf.DUMMYFUNCTION("""COMPUTED_VALUE"""),1.566)</f>
        <v>1.566</v>
      </c>
      <c r="AP1176" s="14">
        <f>IFERROR(__xludf.DUMMYFUNCTION("""COMPUTED_VALUE"""),48.0)</f>
        <v>48</v>
      </c>
      <c r="AQ1176" s="14">
        <f>IFERROR(__xludf.DUMMYFUNCTION("""COMPUTED_VALUE"""),88.0)</f>
        <v>88</v>
      </c>
      <c r="AR1176" s="14">
        <f>IFERROR(__xludf.DUMMYFUNCTION("""COMPUTED_VALUE"""),20.0)</f>
        <v>20</v>
      </c>
      <c r="AS1176" s="14">
        <f>IFERROR(__xludf.DUMMYFUNCTION("""COMPUTED_VALUE"""),11.3)</f>
        <v>11.3</v>
      </c>
      <c r="AT1176" s="14">
        <f>IFERROR(__xludf.DUMMYFUNCTION("""COMPUTED_VALUE"""),4.5)</f>
        <v>4.5</v>
      </c>
      <c r="AU1176" s="14">
        <f>IFERROR(__xludf.DUMMYFUNCTION("""COMPUTED_VALUE"""),8260000.0)</f>
        <v>8260000</v>
      </c>
      <c r="AV1176" s="14">
        <f>IFERROR(__xludf.DUMMYFUNCTION("""COMPUTED_VALUE"""),1.96)</f>
        <v>1.96</v>
      </c>
      <c r="AW1176" s="14">
        <f>IFERROR(__xludf.DUMMYFUNCTION("""COMPUTED_VALUE"""),10.1)</f>
        <v>10.1</v>
      </c>
      <c r="AX1176" s="14">
        <f>IFERROR(__xludf.DUMMYFUNCTION("""COMPUTED_VALUE"""),6050000.0)</f>
        <v>6050000</v>
      </c>
      <c r="AY1176" s="14">
        <f>IFERROR(__xludf.DUMMYFUNCTION("""COMPUTED_VALUE"""),0.7)</f>
        <v>0.7</v>
      </c>
      <c r="AZ1176" s="14">
        <f>IFERROR(__xludf.DUMMYFUNCTION("""COMPUTED_VALUE"""),0.007)</f>
        <v>0.007</v>
      </c>
      <c r="BA1176" s="14">
        <f t="shared" si="1"/>
        <v>10.807</v>
      </c>
    </row>
    <row r="1177" ht="14.25" customHeight="1">
      <c r="A1177" s="10" t="str">
        <f>IFERROR(__xludf.DUMMYFUNCTION("""COMPUTED_VALUE"""),"230924DA01")</f>
        <v>230924DA01</v>
      </c>
      <c r="B1177" s="12" t="str">
        <f>IFERROR(__xludf.DUMMYFUNCTION("""COMPUTED_VALUE"""),"COR-Humedal Córdoba")</f>
        <v>COR-Humedal Córdoba</v>
      </c>
      <c r="C1177" s="12"/>
      <c r="D1177" s="12"/>
      <c r="E1177" s="44">
        <f>IFERROR(__xludf.DUMMYFUNCTION("""COMPUTED_VALUE"""),45558.0)</f>
        <v>45558</v>
      </c>
      <c r="F1177" s="12" t="str">
        <f>IFERROR(__xludf.DUMMYFUNCTION("""COMPUTED_VALUE"""),"TIPO I")</f>
        <v>TIPO I</v>
      </c>
      <c r="G1177" s="12" t="str">
        <f>IFERROR(__xludf.DUMMYFUNCTION("""COMPUTED_VALUE"""),"Toma de muestra en canal natural lodoso, durante el monitoreo se percibe olor, se observa color y material flotante. 
Altitud: 2592 msnm.")</f>
        <v>Toma de muestra en canal natural lodoso, durante el monitoreo se percibe olor, se observa color y material flotante. 
Altitud: 2592 msnm.</v>
      </c>
      <c r="H1177" s="45">
        <f>IFERROR(__xludf.DUMMYFUNCTION("""COMPUTED_VALUE"""),0.3333333333321207)</f>
        <v>0.3333333333</v>
      </c>
      <c r="I1177" s="45">
        <f>IFERROR(__xludf.DUMMYFUNCTION("""COMPUTED_VALUE"""),0.4166666666678793)</f>
        <v>0.4166666667</v>
      </c>
      <c r="J1177" s="12">
        <f>IFERROR(__xludf.DUMMYFUNCTION("""COMPUTED_VALUE"""),5.0)</f>
        <v>5</v>
      </c>
      <c r="K1177" s="12">
        <f>IFERROR(__xludf.DUMMYFUNCTION("""COMPUTED_VALUE"""),0.65)</f>
        <v>0.65</v>
      </c>
      <c r="L1177" s="14">
        <f>IFERROR(__xludf.DUMMYFUNCTION("""COMPUTED_VALUE"""),424.767)</f>
        <v>424.767</v>
      </c>
      <c r="M1177" s="14">
        <f>IFERROR(__xludf.DUMMYFUNCTION("""COMPUTED_VALUE"""),423.849)</f>
        <v>423.849</v>
      </c>
      <c r="N1177" s="14">
        <f>IFERROR(__xludf.DUMMYFUNCTION("""COMPUTED_VALUE"""),424.294)</f>
        <v>424.294</v>
      </c>
      <c r="O1177" s="14">
        <f>IFERROR(__xludf.DUMMYFUNCTION("""COMPUTED_VALUE"""),425.753)</f>
        <v>425.753</v>
      </c>
      <c r="P1177" s="14">
        <f>IFERROR(__xludf.DUMMYFUNCTION("""COMPUTED_VALUE"""),423.682)</f>
        <v>423.682</v>
      </c>
      <c r="Q1177" s="14">
        <f>IFERROR(__xludf.DUMMYFUNCTION("""COMPUTED_VALUE"""),424.469)</f>
        <v>424.469</v>
      </c>
      <c r="R1177" s="48">
        <f>IFERROR(__xludf.DUMMYFUNCTION("""COMPUTED_VALUE"""),7.44)</f>
        <v>7.44</v>
      </c>
      <c r="S1177" s="48">
        <f>IFERROR(__xludf.DUMMYFUNCTION("""COMPUTED_VALUE"""),7.32)</f>
        <v>7.32</v>
      </c>
      <c r="T1177" s="48">
        <f>IFERROR(__xludf.DUMMYFUNCTION("""COMPUTED_VALUE"""),7.31)</f>
        <v>7.31</v>
      </c>
      <c r="U1177" s="48">
        <f>IFERROR(__xludf.DUMMYFUNCTION("""COMPUTED_VALUE"""),7.39)</f>
        <v>7.39</v>
      </c>
      <c r="V1177" s="48">
        <f>IFERROR(__xludf.DUMMYFUNCTION("""COMPUTED_VALUE"""),7.38)</f>
        <v>7.38</v>
      </c>
      <c r="W1177" s="14">
        <f>IFERROR(__xludf.DUMMYFUNCTION("""COMPUTED_VALUE"""),7.368)</f>
        <v>7.368</v>
      </c>
      <c r="X1177" s="14">
        <f>IFERROR(__xludf.DUMMYFUNCTION("""COMPUTED_VALUE"""),17.5)</f>
        <v>17.5</v>
      </c>
      <c r="Y1177" s="14">
        <f>IFERROR(__xludf.DUMMYFUNCTION("""COMPUTED_VALUE"""),17.2)</f>
        <v>17.2</v>
      </c>
      <c r="Z1177" s="14">
        <f>IFERROR(__xludf.DUMMYFUNCTION("""COMPUTED_VALUE"""),17.2)</f>
        <v>17.2</v>
      </c>
      <c r="AA1177" s="14">
        <f>IFERROR(__xludf.DUMMYFUNCTION("""COMPUTED_VALUE"""),17.5)</f>
        <v>17.5</v>
      </c>
      <c r="AB1177" s="14">
        <f>IFERROR(__xludf.DUMMYFUNCTION("""COMPUTED_VALUE"""),17.5)</f>
        <v>17.5</v>
      </c>
      <c r="AC1177" s="14">
        <f>IFERROR(__xludf.DUMMYFUNCTION("""COMPUTED_VALUE"""),17.380000000000003)</f>
        <v>17.38</v>
      </c>
      <c r="AD1177" s="48">
        <f>IFERROR(__xludf.DUMMYFUNCTION("""COMPUTED_VALUE"""),612.0)</f>
        <v>612</v>
      </c>
      <c r="AE1177" s="48">
        <f>IFERROR(__xludf.DUMMYFUNCTION("""COMPUTED_VALUE"""),549.0)</f>
        <v>549</v>
      </c>
      <c r="AF1177" s="48">
        <f>IFERROR(__xludf.DUMMYFUNCTION("""COMPUTED_VALUE"""),521.0)</f>
        <v>521</v>
      </c>
      <c r="AG1177" s="48">
        <f>IFERROR(__xludf.DUMMYFUNCTION("""COMPUTED_VALUE"""),402.0)</f>
        <v>402</v>
      </c>
      <c r="AH1177" s="48">
        <f>IFERROR(__xludf.DUMMYFUNCTION("""COMPUTED_VALUE"""),404.0)</f>
        <v>404</v>
      </c>
      <c r="AI1177" s="14">
        <f>IFERROR(__xludf.DUMMYFUNCTION("""COMPUTED_VALUE"""),497.6)</f>
        <v>497.6</v>
      </c>
      <c r="AJ1177" s="14">
        <f>IFERROR(__xludf.DUMMYFUNCTION("""COMPUTED_VALUE"""),1.39)</f>
        <v>1.39</v>
      </c>
      <c r="AK1177" s="14">
        <f>IFERROR(__xludf.DUMMYFUNCTION("""COMPUTED_VALUE"""),1.01)</f>
        <v>1.01</v>
      </c>
      <c r="AL1177" s="14">
        <f>IFERROR(__xludf.DUMMYFUNCTION("""COMPUTED_VALUE"""),1.14)</f>
        <v>1.14</v>
      </c>
      <c r="AM1177" s="14">
        <f>IFERROR(__xludf.DUMMYFUNCTION("""COMPUTED_VALUE"""),1.23)</f>
        <v>1.23</v>
      </c>
      <c r="AN1177" s="14">
        <f>IFERROR(__xludf.DUMMYFUNCTION("""COMPUTED_VALUE"""),1.43)</f>
        <v>1.43</v>
      </c>
      <c r="AO1177" s="14">
        <f>IFERROR(__xludf.DUMMYFUNCTION("""COMPUTED_VALUE"""),1.2399999999999998)</f>
        <v>1.24</v>
      </c>
      <c r="AP1177" s="14">
        <f>IFERROR(__xludf.DUMMYFUNCTION("""COMPUTED_VALUE"""),126.0)</f>
        <v>126</v>
      </c>
      <c r="AQ1177" s="14">
        <f>IFERROR(__xludf.DUMMYFUNCTION("""COMPUTED_VALUE"""),154.0)</f>
        <v>154</v>
      </c>
      <c r="AR1177" s="14">
        <f>IFERROR(__xludf.DUMMYFUNCTION("""COMPUTED_VALUE"""),44.0)</f>
        <v>44</v>
      </c>
      <c r="AS1177" s="14">
        <f>IFERROR(__xludf.DUMMYFUNCTION("""COMPUTED_VALUE"""),15.6)</f>
        <v>15.6</v>
      </c>
      <c r="AT1177" s="14">
        <f>IFERROR(__xludf.DUMMYFUNCTION("""COMPUTED_VALUE"""),3.43)</f>
        <v>3.43</v>
      </c>
      <c r="AU1177" s="14">
        <f>IFERROR(__xludf.DUMMYFUNCTION("""COMPUTED_VALUE"""),836000.0)</f>
        <v>836000</v>
      </c>
      <c r="AV1177" s="14">
        <f>IFERROR(__xludf.DUMMYFUNCTION("""COMPUTED_VALUE"""),2.75)</f>
        <v>2.75</v>
      </c>
      <c r="AW1177" s="14">
        <f>IFERROR(__xludf.DUMMYFUNCTION("""COMPUTED_VALUE"""),24.6)</f>
        <v>24.6</v>
      </c>
      <c r="AX1177" s="14">
        <f>IFERROR(__xludf.DUMMYFUNCTION("""COMPUTED_VALUE"""),723000.0)</f>
        <v>723000</v>
      </c>
      <c r="AY1177" s="14">
        <f>IFERROR(__xludf.DUMMYFUNCTION("""COMPUTED_VALUE"""),0.5)</f>
        <v>0.5</v>
      </c>
      <c r="AZ1177" s="14">
        <f>IFERROR(__xludf.DUMMYFUNCTION("""COMPUTED_VALUE"""),0.007)</f>
        <v>0.007</v>
      </c>
      <c r="BA1177" s="14">
        <f t="shared" si="1"/>
        <v>25.107</v>
      </c>
    </row>
    <row r="1178" ht="14.25" customHeight="1">
      <c r="A1178" s="10" t="str">
        <f>IFERROR(__xludf.DUMMYFUNCTION("""COMPUTED_VALUE"""),"260924HA02")</f>
        <v>260924HA02</v>
      </c>
      <c r="B1178" s="12" t="str">
        <f>IFERROR(__xludf.DUMMYFUNCTION("""COMPUTED_VALUE"""),"QZA-Entre Nubes")</f>
        <v>QZA-Entre Nubes</v>
      </c>
      <c r="C1178" s="12"/>
      <c r="D1178" s="12"/>
      <c r="E1178" s="44">
        <f>IFERROR(__xludf.DUMMYFUNCTION("""COMPUTED_VALUE"""),45561.0)</f>
        <v>45561</v>
      </c>
      <c r="F1178" s="12" t="str">
        <f>IFERROR(__xludf.DUMMYFUNCTION("""COMPUTED_VALUE"""),"TIPO I")</f>
        <v>TIPO I</v>
      </c>
      <c r="G1178" s="12" t="str">
        <f>IFERROR(__xludf.DUMMYFUNCTION("""COMPUTED_VALUE"""),"Toma de muestra en lecho natural fangoso. Durante el monitoreo se observa color y se percibe olor.")</f>
        <v>Toma de muestra en lecho natural fangoso. Durante el monitoreo se observa color y se percibe olor.</v>
      </c>
      <c r="H1178" s="45">
        <f>IFERROR(__xludf.DUMMYFUNCTION("""COMPUTED_VALUE"""),0.53125)</f>
        <v>0.53125</v>
      </c>
      <c r="I1178" s="45">
        <f>IFERROR(__xludf.DUMMYFUNCTION("""COMPUTED_VALUE"""),0.6145833333321207)</f>
        <v>0.6145833333</v>
      </c>
      <c r="J1178" s="12">
        <f>IFERROR(__xludf.DUMMYFUNCTION("""COMPUTED_VALUE"""),4.8)</f>
        <v>4.8</v>
      </c>
      <c r="K1178" s="12">
        <f>IFERROR(__xludf.DUMMYFUNCTION("""COMPUTED_VALUE"""),0.3)</f>
        <v>0.3</v>
      </c>
      <c r="L1178" s="14">
        <f>IFERROR(__xludf.DUMMYFUNCTION("""COMPUTED_VALUE"""),90.765)</f>
        <v>90.765</v>
      </c>
      <c r="M1178" s="14">
        <f>IFERROR(__xludf.DUMMYFUNCTION("""COMPUTED_VALUE"""),93.938)</f>
        <v>93.938</v>
      </c>
      <c r="N1178" s="14">
        <f>IFERROR(__xludf.DUMMYFUNCTION("""COMPUTED_VALUE"""),92.795)</f>
        <v>92.795</v>
      </c>
      <c r="O1178" s="14">
        <f>IFERROR(__xludf.DUMMYFUNCTION("""COMPUTED_VALUE"""),93.066)</f>
        <v>93.066</v>
      </c>
      <c r="P1178" s="14">
        <f>IFERROR(__xludf.DUMMYFUNCTION("""COMPUTED_VALUE"""),91.513)</f>
        <v>91.513</v>
      </c>
      <c r="Q1178" s="14">
        <f>IFERROR(__xludf.DUMMYFUNCTION("""COMPUTED_VALUE"""),92.415)</f>
        <v>92.415</v>
      </c>
      <c r="R1178" s="48">
        <f>IFERROR(__xludf.DUMMYFUNCTION("""COMPUTED_VALUE"""),7.78)</f>
        <v>7.78</v>
      </c>
      <c r="S1178" s="48">
        <f>IFERROR(__xludf.DUMMYFUNCTION("""COMPUTED_VALUE"""),7.81)</f>
        <v>7.81</v>
      </c>
      <c r="T1178" s="48">
        <f>IFERROR(__xludf.DUMMYFUNCTION("""COMPUTED_VALUE"""),7.79)</f>
        <v>7.79</v>
      </c>
      <c r="U1178" s="48">
        <f>IFERROR(__xludf.DUMMYFUNCTION("""COMPUTED_VALUE"""),7.21)</f>
        <v>7.21</v>
      </c>
      <c r="V1178" s="48">
        <f>IFERROR(__xludf.DUMMYFUNCTION("""COMPUTED_VALUE"""),7.51)</f>
        <v>7.51</v>
      </c>
      <c r="W1178" s="14">
        <f>IFERROR(__xludf.DUMMYFUNCTION("""COMPUTED_VALUE"""),7.62)</f>
        <v>7.62</v>
      </c>
      <c r="X1178" s="14">
        <f>IFERROR(__xludf.DUMMYFUNCTION("""COMPUTED_VALUE"""),17.6)</f>
        <v>17.6</v>
      </c>
      <c r="Y1178" s="14">
        <f>IFERROR(__xludf.DUMMYFUNCTION("""COMPUTED_VALUE"""),17.5)</f>
        <v>17.5</v>
      </c>
      <c r="Z1178" s="14">
        <f>IFERROR(__xludf.DUMMYFUNCTION("""COMPUTED_VALUE"""),16.1)</f>
        <v>16.1</v>
      </c>
      <c r="AA1178" s="14">
        <f>IFERROR(__xludf.DUMMYFUNCTION("""COMPUTED_VALUE"""),16.6)</f>
        <v>16.6</v>
      </c>
      <c r="AB1178" s="14">
        <f>IFERROR(__xludf.DUMMYFUNCTION("""COMPUTED_VALUE"""),16.4)</f>
        <v>16.4</v>
      </c>
      <c r="AC1178" s="14">
        <f>IFERROR(__xludf.DUMMYFUNCTION("""COMPUTED_VALUE"""),16.840000000000003)</f>
        <v>16.84</v>
      </c>
      <c r="AD1178" s="48">
        <f>IFERROR(__xludf.DUMMYFUNCTION("""COMPUTED_VALUE"""),597.0)</f>
        <v>597</v>
      </c>
      <c r="AE1178" s="48">
        <f>IFERROR(__xludf.DUMMYFUNCTION("""COMPUTED_VALUE"""),632.0)</f>
        <v>632</v>
      </c>
      <c r="AF1178" s="48">
        <f>IFERROR(__xludf.DUMMYFUNCTION("""COMPUTED_VALUE"""),609.0)</f>
        <v>609</v>
      </c>
      <c r="AG1178" s="48">
        <f>IFERROR(__xludf.DUMMYFUNCTION("""COMPUTED_VALUE"""),615.0)</f>
        <v>615</v>
      </c>
      <c r="AH1178" s="48">
        <f>IFERROR(__xludf.DUMMYFUNCTION("""COMPUTED_VALUE"""),617.0)</f>
        <v>617</v>
      </c>
      <c r="AI1178" s="14">
        <f>IFERROR(__xludf.DUMMYFUNCTION("""COMPUTED_VALUE"""),614.0)</f>
        <v>614</v>
      </c>
      <c r="AJ1178" s="14">
        <f>IFERROR(__xludf.DUMMYFUNCTION("""COMPUTED_VALUE"""),3.3)</f>
        <v>3.3</v>
      </c>
      <c r="AK1178" s="14">
        <f>IFERROR(__xludf.DUMMYFUNCTION("""COMPUTED_VALUE"""),3.1)</f>
        <v>3.1</v>
      </c>
      <c r="AL1178" s="14">
        <f>IFERROR(__xludf.DUMMYFUNCTION("""COMPUTED_VALUE"""),5.3)</f>
        <v>5.3</v>
      </c>
      <c r="AM1178" s="14">
        <f>IFERROR(__xludf.DUMMYFUNCTION("""COMPUTED_VALUE"""),5.4)</f>
        <v>5.4</v>
      </c>
      <c r="AN1178" s="14">
        <f>IFERROR(__xludf.DUMMYFUNCTION("""COMPUTED_VALUE"""),5.4)</f>
        <v>5.4</v>
      </c>
      <c r="AO1178" s="14">
        <f>IFERROR(__xludf.DUMMYFUNCTION("""COMPUTED_VALUE"""),4.5)</f>
        <v>4.5</v>
      </c>
      <c r="AP1178" s="14">
        <f>IFERROR(__xludf.DUMMYFUNCTION("""COMPUTED_VALUE"""),150.0)</f>
        <v>150</v>
      </c>
      <c r="AQ1178" s="14">
        <f>IFERROR(__xludf.DUMMYFUNCTION("""COMPUTED_VALUE"""),250.0)</f>
        <v>250</v>
      </c>
      <c r="AR1178" s="14">
        <f>IFERROR(__xludf.DUMMYFUNCTION("""COMPUTED_VALUE"""),98.0)</f>
        <v>98</v>
      </c>
      <c r="AS1178" s="14">
        <f>IFERROR(__xludf.DUMMYFUNCTION("""COMPUTED_VALUE"""),23.0)</f>
        <v>23</v>
      </c>
      <c r="AT1178" s="14">
        <f>IFERROR(__xludf.DUMMYFUNCTION("""COMPUTED_VALUE"""),0.67)</f>
        <v>0.67</v>
      </c>
      <c r="AU1178" s="14">
        <f>IFERROR(__xludf.DUMMYFUNCTION("""COMPUTED_VALUE"""),1.16E7)</f>
        <v>11600000</v>
      </c>
      <c r="AV1178" s="14">
        <f>IFERROR(__xludf.DUMMYFUNCTION("""COMPUTED_VALUE"""),0.49)</f>
        <v>0.49</v>
      </c>
      <c r="AW1178" s="14">
        <f>IFERROR(__xludf.DUMMYFUNCTION("""COMPUTED_VALUE"""),1.7)</f>
        <v>1.7</v>
      </c>
      <c r="AX1178" s="14">
        <f>IFERROR(__xludf.DUMMYFUNCTION("""COMPUTED_VALUE"""),6220000.0)</f>
        <v>6220000</v>
      </c>
      <c r="AY1178" s="14">
        <f>IFERROR(__xludf.DUMMYFUNCTION("""COMPUTED_VALUE"""),0.8)</f>
        <v>0.8</v>
      </c>
      <c r="AZ1178" s="14">
        <f>IFERROR(__xludf.DUMMYFUNCTION("""COMPUTED_VALUE"""),0.007)</f>
        <v>0.007</v>
      </c>
      <c r="BA1178" s="14">
        <f t="shared" si="1"/>
        <v>2.507</v>
      </c>
    </row>
    <row r="1179" ht="14.25" customHeight="1">
      <c r="A1179" s="10" t="str">
        <f>IFERROR(__xludf.DUMMYFUNCTION("""COMPUTED_VALUE"""),"170924FM02")</f>
        <v>170924FM02</v>
      </c>
      <c r="B1179" s="12" t="str">
        <f>IFERROR(__xludf.DUMMYFUNCTION("""COMPUTED_VALUE"""),"QYO-Monte Blanco")</f>
        <v>QYO-Monte Blanco</v>
      </c>
      <c r="C1179" s="12"/>
      <c r="D1179" s="12"/>
      <c r="E1179" s="44">
        <f>IFERROR(__xludf.DUMMYFUNCTION("""COMPUTED_VALUE"""),45552.0)</f>
        <v>45552</v>
      </c>
      <c r="F1179" s="12" t="str">
        <f>IFERROR(__xludf.DUMMYFUNCTION("""COMPUTED_VALUE"""),"TIPO I")</f>
        <v>TIPO I</v>
      </c>
      <c r="G1179" s="12" t="str">
        <f>IFERROR(__xludf.DUMMYFUNCTION("""COMPUTED_VALUE"""),"Canal natural, rocoso,lodoso-arenoso, Se observa color y se percibe color, se observan residuos sólidos en el cauce.
Altitud: 2643 msnm")</f>
        <v>Canal natural, rocoso,lodoso-arenoso, Se observa color y se percibe color, se observan residuos sólidos en el cauce.
Altitud: 2643 msnm</v>
      </c>
      <c r="H1179" s="45">
        <f>IFERROR(__xludf.DUMMYFUNCTION("""COMPUTED_VALUE"""),0.5)</f>
        <v>0.5</v>
      </c>
      <c r="I1179" s="45">
        <f>IFERROR(__xludf.DUMMYFUNCTION("""COMPUTED_VALUE"""),0.5833333333321207)</f>
        <v>0.5833333333</v>
      </c>
      <c r="J1179" s="12">
        <f>IFERROR(__xludf.DUMMYFUNCTION("""COMPUTED_VALUE"""),1.2)</f>
        <v>1.2</v>
      </c>
      <c r="K1179" s="12">
        <f>IFERROR(__xludf.DUMMYFUNCTION("""COMPUTED_VALUE"""),0.37)</f>
        <v>0.37</v>
      </c>
      <c r="L1179" s="14">
        <f>IFERROR(__xludf.DUMMYFUNCTION("""COMPUTED_VALUE"""),125.926)</f>
        <v>125.926</v>
      </c>
      <c r="M1179" s="14">
        <f>IFERROR(__xludf.DUMMYFUNCTION("""COMPUTED_VALUE"""),127.317)</f>
        <v>127.317</v>
      </c>
      <c r="N1179" s="14">
        <f>IFERROR(__xludf.DUMMYFUNCTION("""COMPUTED_VALUE"""),128.864)</f>
        <v>128.864</v>
      </c>
      <c r="O1179" s="14">
        <f>IFERROR(__xludf.DUMMYFUNCTION("""COMPUTED_VALUE"""),129.113)</f>
        <v>129.113</v>
      </c>
      <c r="P1179" s="14">
        <f>IFERROR(__xludf.DUMMYFUNCTION("""COMPUTED_VALUE"""),130.851)</f>
        <v>130.851</v>
      </c>
      <c r="Q1179" s="14">
        <f>IFERROR(__xludf.DUMMYFUNCTION("""COMPUTED_VALUE"""),128.414)</f>
        <v>128.414</v>
      </c>
      <c r="R1179" s="48">
        <f>IFERROR(__xludf.DUMMYFUNCTION("""COMPUTED_VALUE"""),8.03)</f>
        <v>8.03</v>
      </c>
      <c r="S1179" s="48">
        <f>IFERROR(__xludf.DUMMYFUNCTION("""COMPUTED_VALUE"""),7.95)</f>
        <v>7.95</v>
      </c>
      <c r="T1179" s="48">
        <f>IFERROR(__xludf.DUMMYFUNCTION("""COMPUTED_VALUE"""),7.88)</f>
        <v>7.88</v>
      </c>
      <c r="U1179" s="48">
        <f>IFERROR(__xludf.DUMMYFUNCTION("""COMPUTED_VALUE"""),7.98)</f>
        <v>7.98</v>
      </c>
      <c r="V1179" s="48">
        <f>IFERROR(__xludf.DUMMYFUNCTION("""COMPUTED_VALUE"""),7.78)</f>
        <v>7.78</v>
      </c>
      <c r="W1179" s="14">
        <f>IFERROR(__xludf.DUMMYFUNCTION("""COMPUTED_VALUE"""),7.9239999999999995)</f>
        <v>7.924</v>
      </c>
      <c r="X1179" s="14">
        <f>IFERROR(__xludf.DUMMYFUNCTION("""COMPUTED_VALUE"""),17.2)</f>
        <v>17.2</v>
      </c>
      <c r="Y1179" s="14">
        <f>IFERROR(__xludf.DUMMYFUNCTION("""COMPUTED_VALUE"""),17.4)</f>
        <v>17.4</v>
      </c>
      <c r="Z1179" s="14">
        <f>IFERROR(__xludf.DUMMYFUNCTION("""COMPUTED_VALUE"""),17.4)</f>
        <v>17.4</v>
      </c>
      <c r="AA1179" s="14">
        <f>IFERROR(__xludf.DUMMYFUNCTION("""COMPUTED_VALUE"""),17.6)</f>
        <v>17.6</v>
      </c>
      <c r="AB1179" s="14">
        <f>IFERROR(__xludf.DUMMYFUNCTION("""COMPUTED_VALUE"""),17.4)</f>
        <v>17.4</v>
      </c>
      <c r="AC1179" s="14">
        <f>IFERROR(__xludf.DUMMYFUNCTION("""COMPUTED_VALUE"""),17.4)</f>
        <v>17.4</v>
      </c>
      <c r="AD1179" s="48">
        <f>IFERROR(__xludf.DUMMYFUNCTION("""COMPUTED_VALUE"""),291.0)</f>
        <v>291</v>
      </c>
      <c r="AE1179" s="48">
        <f>IFERROR(__xludf.DUMMYFUNCTION("""COMPUTED_VALUE"""),280.0)</f>
        <v>280</v>
      </c>
      <c r="AF1179" s="48">
        <f>IFERROR(__xludf.DUMMYFUNCTION("""COMPUTED_VALUE"""),276.0)</f>
        <v>276</v>
      </c>
      <c r="AG1179" s="48">
        <f>IFERROR(__xludf.DUMMYFUNCTION("""COMPUTED_VALUE"""),285.0)</f>
        <v>285</v>
      </c>
      <c r="AH1179" s="48">
        <f>IFERROR(__xludf.DUMMYFUNCTION("""COMPUTED_VALUE"""),266.0)</f>
        <v>266</v>
      </c>
      <c r="AI1179" s="14">
        <f>IFERROR(__xludf.DUMMYFUNCTION("""COMPUTED_VALUE"""),279.6)</f>
        <v>279.6</v>
      </c>
      <c r="AJ1179" s="14">
        <f>IFERROR(__xludf.DUMMYFUNCTION("""COMPUTED_VALUE"""),2.11)</f>
        <v>2.11</v>
      </c>
      <c r="AK1179" s="14">
        <f>IFERROR(__xludf.DUMMYFUNCTION("""COMPUTED_VALUE"""),2.57)</f>
        <v>2.57</v>
      </c>
      <c r="AL1179" s="14">
        <f>IFERROR(__xludf.DUMMYFUNCTION("""COMPUTED_VALUE"""),2.74)</f>
        <v>2.74</v>
      </c>
      <c r="AM1179" s="14">
        <f>IFERROR(__xludf.DUMMYFUNCTION("""COMPUTED_VALUE"""),2.36)</f>
        <v>2.36</v>
      </c>
      <c r="AN1179" s="14">
        <f>IFERROR(__xludf.DUMMYFUNCTION("""COMPUTED_VALUE"""),2.5)</f>
        <v>2.5</v>
      </c>
      <c r="AO1179" s="14">
        <f>IFERROR(__xludf.DUMMYFUNCTION("""COMPUTED_VALUE"""),2.456)</f>
        <v>2.456</v>
      </c>
      <c r="AP1179" s="14">
        <f>IFERROR(__xludf.DUMMYFUNCTION("""COMPUTED_VALUE"""),28.0)</f>
        <v>28</v>
      </c>
      <c r="AQ1179" s="14">
        <f>IFERROR(__xludf.DUMMYFUNCTION("""COMPUTED_VALUE"""),72.0)</f>
        <v>72</v>
      </c>
      <c r="AR1179" s="14">
        <f>IFERROR(__xludf.DUMMYFUNCTION("""COMPUTED_VALUE"""),28.0)</f>
        <v>28</v>
      </c>
      <c r="AS1179" s="14">
        <f>IFERROR(__xludf.DUMMYFUNCTION("""COMPUTED_VALUE"""),15.4)</f>
        <v>15.4</v>
      </c>
      <c r="AT1179" s="14">
        <f>IFERROR(__xludf.DUMMYFUNCTION("""COMPUTED_VALUE"""),3.11)</f>
        <v>3.11</v>
      </c>
      <c r="AU1179" s="14">
        <f>IFERROR(__xludf.DUMMYFUNCTION("""COMPUTED_VALUE"""),1.354E7)</f>
        <v>13540000</v>
      </c>
      <c r="AV1179" s="14">
        <f>IFERROR(__xludf.DUMMYFUNCTION("""COMPUTED_VALUE"""),1.11)</f>
        <v>1.11</v>
      </c>
      <c r="AW1179" s="14">
        <f>IFERROR(__xludf.DUMMYFUNCTION("""COMPUTED_VALUE"""),15.1)</f>
        <v>15.1</v>
      </c>
      <c r="AX1179" s="14">
        <f>IFERROR(__xludf.DUMMYFUNCTION("""COMPUTED_VALUE"""),1.112E7)</f>
        <v>11120000</v>
      </c>
      <c r="AY1179" s="14">
        <f>IFERROR(__xludf.DUMMYFUNCTION("""COMPUTED_VALUE"""),0.3)</f>
        <v>0.3</v>
      </c>
      <c r="AZ1179" s="14">
        <f>IFERROR(__xludf.DUMMYFUNCTION("""COMPUTED_VALUE"""),0.007)</f>
        <v>0.007</v>
      </c>
      <c r="BA1179" s="14">
        <f t="shared" si="1"/>
        <v>15.407</v>
      </c>
    </row>
    <row r="1180" ht="14.25" customHeight="1">
      <c r="A1180" s="10" t="str">
        <f>IFERROR(__xludf.DUMMYFUNCTION("""COMPUTED_VALUE"""),"230924DA02")</f>
        <v>230924DA02</v>
      </c>
      <c r="B1180" s="12" t="str">
        <f>IFERROR(__xludf.DUMMYFUNCTION("""COMPUTED_VALUE"""),"HCO-Los Lagartos")</f>
        <v>HCO-Los Lagartos</v>
      </c>
      <c r="C1180" s="12"/>
      <c r="D1180" s="12"/>
      <c r="E1180" s="44">
        <f>IFERROR(__xludf.DUMMYFUNCTION("""COMPUTED_VALUE"""),45558.0)</f>
        <v>45558</v>
      </c>
      <c r="F1180" s="12" t="str">
        <f>IFERROR(__xludf.DUMMYFUNCTION("""COMPUTED_VALUE"""),"TIPO I")</f>
        <v>TIPO I</v>
      </c>
      <c r="G1180" s="12" t="str">
        <f>IFERROR(__xludf.DUMMYFUNCTION("""COMPUTED_VALUE"""),"Canal artificial en concreto, lecho artificial, se observa color, se percibe olor, se observa material flotante")</f>
        <v>Canal artificial en concreto, lecho artificial, se observa color, se percibe olor, se observa material flotante</v>
      </c>
      <c r="H1180" s="45">
        <f>IFERROR(__xludf.DUMMYFUNCTION("""COMPUTED_VALUE"""),0.5)</f>
        <v>0.5</v>
      </c>
      <c r="I1180" s="45">
        <f>IFERROR(__xludf.DUMMYFUNCTION("""COMPUTED_VALUE"""),0.5833333333321207)</f>
        <v>0.5833333333</v>
      </c>
      <c r="J1180" s="12">
        <f>IFERROR(__xludf.DUMMYFUNCTION("""COMPUTED_VALUE"""),6.2)</f>
        <v>6.2</v>
      </c>
      <c r="K1180" s="12">
        <f>IFERROR(__xludf.DUMMYFUNCTION("""COMPUTED_VALUE"""),0.67)</f>
        <v>0.67</v>
      </c>
      <c r="L1180" s="14">
        <f>IFERROR(__xludf.DUMMYFUNCTION("""COMPUTED_VALUE"""),626.811)</f>
        <v>626.811</v>
      </c>
      <c r="M1180" s="14">
        <f>IFERROR(__xludf.DUMMYFUNCTION("""COMPUTED_VALUE"""),627.442)</f>
        <v>627.442</v>
      </c>
      <c r="N1180" s="14">
        <f>IFERROR(__xludf.DUMMYFUNCTION("""COMPUTED_VALUE"""),628.55)</f>
        <v>628.55</v>
      </c>
      <c r="O1180" s="14">
        <f>IFERROR(__xludf.DUMMYFUNCTION("""COMPUTED_VALUE"""),632.378)</f>
        <v>632.378</v>
      </c>
      <c r="P1180" s="14">
        <f>IFERROR(__xludf.DUMMYFUNCTION("""COMPUTED_VALUE"""),627.34)</f>
        <v>627.34</v>
      </c>
      <c r="Q1180" s="14">
        <f>IFERROR(__xludf.DUMMYFUNCTION("""COMPUTED_VALUE"""),628.504)</f>
        <v>628.504</v>
      </c>
      <c r="R1180" s="48">
        <f>IFERROR(__xludf.DUMMYFUNCTION("""COMPUTED_VALUE"""),7.5)</f>
        <v>7.5</v>
      </c>
      <c r="S1180" s="48">
        <f>IFERROR(__xludf.DUMMYFUNCTION("""COMPUTED_VALUE"""),7.46)</f>
        <v>7.46</v>
      </c>
      <c r="T1180" s="48">
        <f>IFERROR(__xludf.DUMMYFUNCTION("""COMPUTED_VALUE"""),7.44)</f>
        <v>7.44</v>
      </c>
      <c r="U1180" s="48">
        <f>IFERROR(__xludf.DUMMYFUNCTION("""COMPUTED_VALUE"""),7.44)</f>
        <v>7.44</v>
      </c>
      <c r="V1180" s="48">
        <f>IFERROR(__xludf.DUMMYFUNCTION("""COMPUTED_VALUE"""),7.47)</f>
        <v>7.47</v>
      </c>
      <c r="W1180" s="14">
        <f>IFERROR(__xludf.DUMMYFUNCTION("""COMPUTED_VALUE"""),7.462000000000001)</f>
        <v>7.462</v>
      </c>
      <c r="X1180" s="14">
        <f>IFERROR(__xludf.DUMMYFUNCTION("""COMPUTED_VALUE"""),17.9)</f>
        <v>17.9</v>
      </c>
      <c r="Y1180" s="14">
        <f>IFERROR(__xludf.DUMMYFUNCTION("""COMPUTED_VALUE"""),18.0)</f>
        <v>18</v>
      </c>
      <c r="Z1180" s="14">
        <f>IFERROR(__xludf.DUMMYFUNCTION("""COMPUTED_VALUE"""),18.0)</f>
        <v>18</v>
      </c>
      <c r="AA1180" s="14">
        <f>IFERROR(__xludf.DUMMYFUNCTION("""COMPUTED_VALUE"""),18.0)</f>
        <v>18</v>
      </c>
      <c r="AB1180" s="14">
        <f>IFERROR(__xludf.DUMMYFUNCTION("""COMPUTED_VALUE"""),18.8)</f>
        <v>18.8</v>
      </c>
      <c r="AC1180" s="14">
        <f>IFERROR(__xludf.DUMMYFUNCTION("""COMPUTED_VALUE"""),18.14)</f>
        <v>18.14</v>
      </c>
      <c r="AD1180" s="48">
        <f>IFERROR(__xludf.DUMMYFUNCTION("""COMPUTED_VALUE"""),481.0)</f>
        <v>481</v>
      </c>
      <c r="AE1180" s="48">
        <f>IFERROR(__xludf.DUMMYFUNCTION("""COMPUTED_VALUE"""),473.0)</f>
        <v>473</v>
      </c>
      <c r="AF1180" s="48">
        <f>IFERROR(__xludf.DUMMYFUNCTION("""COMPUTED_VALUE"""),473.0)</f>
        <v>473</v>
      </c>
      <c r="AG1180" s="48">
        <f>IFERROR(__xludf.DUMMYFUNCTION("""COMPUTED_VALUE"""),473.0)</f>
        <v>473</v>
      </c>
      <c r="AH1180" s="48">
        <f>IFERROR(__xludf.DUMMYFUNCTION("""COMPUTED_VALUE"""),470.0)</f>
        <v>470</v>
      </c>
      <c r="AI1180" s="14">
        <f>IFERROR(__xludf.DUMMYFUNCTION("""COMPUTED_VALUE"""),474.0)</f>
        <v>474</v>
      </c>
      <c r="AJ1180" s="14">
        <f>IFERROR(__xludf.DUMMYFUNCTION("""COMPUTED_VALUE"""),1.55)</f>
        <v>1.55</v>
      </c>
      <c r="AK1180" s="14">
        <f>IFERROR(__xludf.DUMMYFUNCTION("""COMPUTED_VALUE"""),1.34)</f>
        <v>1.34</v>
      </c>
      <c r="AL1180" s="14">
        <f>IFERROR(__xludf.DUMMYFUNCTION("""COMPUTED_VALUE"""),1.47)</f>
        <v>1.47</v>
      </c>
      <c r="AM1180" s="14">
        <f>IFERROR(__xludf.DUMMYFUNCTION("""COMPUTED_VALUE"""),1.14)</f>
        <v>1.14</v>
      </c>
      <c r="AN1180" s="14">
        <f>IFERROR(__xludf.DUMMYFUNCTION("""COMPUTED_VALUE"""),1.46)</f>
        <v>1.46</v>
      </c>
      <c r="AO1180" s="14">
        <f>IFERROR(__xludf.DUMMYFUNCTION("""COMPUTED_VALUE"""),1.392)</f>
        <v>1.392</v>
      </c>
      <c r="AP1180" s="14">
        <f>IFERROR(__xludf.DUMMYFUNCTION("""COMPUTED_VALUE"""),95.0)</f>
        <v>95</v>
      </c>
      <c r="AQ1180" s="14">
        <f>IFERROR(__xludf.DUMMYFUNCTION("""COMPUTED_VALUE"""),116.0)</f>
        <v>116</v>
      </c>
      <c r="AR1180" s="14">
        <f>IFERROR(__xludf.DUMMYFUNCTION("""COMPUTED_VALUE"""),33.0)</f>
        <v>33</v>
      </c>
      <c r="AS1180" s="14">
        <f>IFERROR(__xludf.DUMMYFUNCTION("""COMPUTED_VALUE"""),6.2)</f>
        <v>6.2</v>
      </c>
      <c r="AT1180" s="14">
        <f>IFERROR(__xludf.DUMMYFUNCTION("""COMPUTED_VALUE"""),5.62)</f>
        <v>5.62</v>
      </c>
      <c r="AU1180" s="14">
        <f>IFERROR(__xludf.DUMMYFUNCTION("""COMPUTED_VALUE"""),1.043E8)</f>
        <v>104300000</v>
      </c>
      <c r="AV1180" s="14">
        <f>IFERROR(__xludf.DUMMYFUNCTION("""COMPUTED_VALUE"""),2.71)</f>
        <v>2.71</v>
      </c>
      <c r="AW1180" s="14">
        <f>IFERROR(__xludf.DUMMYFUNCTION("""COMPUTED_VALUE"""),22.4)</f>
        <v>22.4</v>
      </c>
      <c r="AX1180" s="14">
        <f>IFERROR(__xludf.DUMMYFUNCTION("""COMPUTED_VALUE"""),9590000.0)</f>
        <v>9590000</v>
      </c>
      <c r="AY1180" s="14">
        <f>IFERROR(__xludf.DUMMYFUNCTION("""COMPUTED_VALUE"""),0.5)</f>
        <v>0.5</v>
      </c>
      <c r="AZ1180" s="14">
        <f>IFERROR(__xludf.DUMMYFUNCTION("""COMPUTED_VALUE"""),0.007)</f>
        <v>0.007</v>
      </c>
      <c r="BA1180" s="14">
        <f t="shared" si="1"/>
        <v>22.907</v>
      </c>
    </row>
    <row r="1181" ht="14.25" customHeight="1">
      <c r="A1181" s="10" t="str">
        <f>IFERROR(__xludf.DUMMYFUNCTION("""COMPUTED_VALUE"""),"260924SA03")</f>
        <v>260924SA03</v>
      </c>
      <c r="B1181" s="12" t="str">
        <f>IFERROR(__xludf.DUMMYFUNCTION("""COMPUTED_VALUE"""),"QLI-Bella Flor")</f>
        <v>QLI-Bella Flor</v>
      </c>
      <c r="C1181" s="12"/>
      <c r="D1181" s="12"/>
      <c r="E1181" s="44">
        <f>IFERROR(__xludf.DUMMYFUNCTION("""COMPUTED_VALUE"""),45561.0)</f>
        <v>45561</v>
      </c>
      <c r="F1181" s="12" t="str">
        <f>IFERROR(__xludf.DUMMYFUNCTION("""COMPUTED_VALUE"""),"TIPO I")</f>
        <v>TIPO I</v>
      </c>
      <c r="G1181" s="12" t="str">
        <f>IFERROR(__xludf.DUMMYFUNCTION("""COMPUTED_VALUE"""),"Canal natural con lecho rocoso-arenoso, se observa color, se percibe olor, se observan residuos solidos en el lecho y las margenes del cuerpo de agua.")</f>
        <v>Canal natural con lecho rocoso-arenoso, se observa color, se percibe olor, se observan residuos solidos en el lecho y las margenes del cuerpo de agua.</v>
      </c>
      <c r="H1181" s="45">
        <f>IFERROR(__xludf.DUMMYFUNCTION("""COMPUTED_VALUE"""),0.5416666666678793)</f>
        <v>0.5416666667</v>
      </c>
      <c r="I1181" s="45">
        <f>IFERROR(__xludf.DUMMYFUNCTION("""COMPUTED_VALUE"""),0.625)</f>
        <v>0.625</v>
      </c>
      <c r="J1181" s="12">
        <f>IFERROR(__xludf.DUMMYFUNCTION("""COMPUTED_VALUE"""),1.2)</f>
        <v>1.2</v>
      </c>
      <c r="K1181" s="12">
        <f>IFERROR(__xludf.DUMMYFUNCTION("""COMPUTED_VALUE"""),0.18)</f>
        <v>0.18</v>
      </c>
      <c r="L1181" s="14">
        <f>IFERROR(__xludf.DUMMYFUNCTION("""COMPUTED_VALUE"""),21.9)</f>
        <v>21.9</v>
      </c>
      <c r="M1181" s="14">
        <f>IFERROR(__xludf.DUMMYFUNCTION("""COMPUTED_VALUE"""),20.633)</f>
        <v>20.633</v>
      </c>
      <c r="N1181" s="14">
        <f>IFERROR(__xludf.DUMMYFUNCTION("""COMPUTED_VALUE"""),21.163)</f>
        <v>21.163</v>
      </c>
      <c r="O1181" s="14">
        <f>IFERROR(__xludf.DUMMYFUNCTION("""COMPUTED_VALUE"""),21.862)</f>
        <v>21.862</v>
      </c>
      <c r="P1181" s="14">
        <f>IFERROR(__xludf.DUMMYFUNCTION("""COMPUTED_VALUE"""),22.228)</f>
        <v>22.228</v>
      </c>
      <c r="Q1181" s="14">
        <f>IFERROR(__xludf.DUMMYFUNCTION("""COMPUTED_VALUE"""),21.557)</f>
        <v>21.557</v>
      </c>
      <c r="R1181" s="48">
        <f>IFERROR(__xludf.DUMMYFUNCTION("""COMPUTED_VALUE"""),7.35)</f>
        <v>7.35</v>
      </c>
      <c r="S1181" s="48">
        <f>IFERROR(__xludf.DUMMYFUNCTION("""COMPUTED_VALUE"""),7.29)</f>
        <v>7.29</v>
      </c>
      <c r="T1181" s="48">
        <f>IFERROR(__xludf.DUMMYFUNCTION("""COMPUTED_VALUE"""),7.16)</f>
        <v>7.16</v>
      </c>
      <c r="U1181" s="48">
        <f>IFERROR(__xludf.DUMMYFUNCTION("""COMPUTED_VALUE"""),7.37)</f>
        <v>7.37</v>
      </c>
      <c r="V1181" s="48">
        <f>IFERROR(__xludf.DUMMYFUNCTION("""COMPUTED_VALUE"""),7.31)</f>
        <v>7.31</v>
      </c>
      <c r="W1181" s="14">
        <f>IFERROR(__xludf.DUMMYFUNCTION("""COMPUTED_VALUE"""),7.296000000000001)</f>
        <v>7.296</v>
      </c>
      <c r="X1181" s="14">
        <f>IFERROR(__xludf.DUMMYFUNCTION("""COMPUTED_VALUE"""),17.0)</f>
        <v>17</v>
      </c>
      <c r="Y1181" s="14">
        <f>IFERROR(__xludf.DUMMYFUNCTION("""COMPUTED_VALUE"""),16.7)</f>
        <v>16.7</v>
      </c>
      <c r="Z1181" s="14">
        <f>IFERROR(__xludf.DUMMYFUNCTION("""COMPUTED_VALUE"""),16.5)</f>
        <v>16.5</v>
      </c>
      <c r="AA1181" s="14">
        <f>IFERROR(__xludf.DUMMYFUNCTION("""COMPUTED_VALUE"""),16.4)</f>
        <v>16.4</v>
      </c>
      <c r="AB1181" s="14">
        <f>IFERROR(__xludf.DUMMYFUNCTION("""COMPUTED_VALUE"""),16.2)</f>
        <v>16.2</v>
      </c>
      <c r="AC1181" s="14">
        <f>IFERROR(__xludf.DUMMYFUNCTION("""COMPUTED_VALUE"""),16.56)</f>
        <v>16.56</v>
      </c>
      <c r="AD1181" s="48">
        <f>IFERROR(__xludf.DUMMYFUNCTION("""COMPUTED_VALUE"""),719.0)</f>
        <v>719</v>
      </c>
      <c r="AE1181" s="48">
        <f>IFERROR(__xludf.DUMMYFUNCTION("""COMPUTED_VALUE"""),686.0)</f>
        <v>686</v>
      </c>
      <c r="AF1181" s="48">
        <f>IFERROR(__xludf.DUMMYFUNCTION("""COMPUTED_VALUE"""),654.0)</f>
        <v>654</v>
      </c>
      <c r="AG1181" s="48">
        <f>IFERROR(__xludf.DUMMYFUNCTION("""COMPUTED_VALUE"""),669.0)</f>
        <v>669</v>
      </c>
      <c r="AH1181" s="48">
        <f>IFERROR(__xludf.DUMMYFUNCTION("""COMPUTED_VALUE"""),640.0)</f>
        <v>640</v>
      </c>
      <c r="AI1181" s="14">
        <f>IFERROR(__xludf.DUMMYFUNCTION("""COMPUTED_VALUE"""),673.6)</f>
        <v>673.6</v>
      </c>
      <c r="AJ1181" s="14">
        <f>IFERROR(__xludf.DUMMYFUNCTION("""COMPUTED_VALUE"""),3.16)</f>
        <v>3.16</v>
      </c>
      <c r="AK1181" s="14">
        <f>IFERROR(__xludf.DUMMYFUNCTION("""COMPUTED_VALUE"""),3.41)</f>
        <v>3.41</v>
      </c>
      <c r="AL1181" s="14">
        <f>IFERROR(__xludf.DUMMYFUNCTION("""COMPUTED_VALUE"""),3.26)</f>
        <v>3.26</v>
      </c>
      <c r="AM1181" s="14">
        <f>IFERROR(__xludf.DUMMYFUNCTION("""COMPUTED_VALUE"""),2.83)</f>
        <v>2.83</v>
      </c>
      <c r="AN1181" s="14">
        <f>IFERROR(__xludf.DUMMYFUNCTION("""COMPUTED_VALUE"""),2.64)</f>
        <v>2.64</v>
      </c>
      <c r="AO1181" s="14">
        <f>IFERROR(__xludf.DUMMYFUNCTION("""COMPUTED_VALUE"""),3.06)</f>
        <v>3.06</v>
      </c>
      <c r="AP1181" s="14">
        <f>IFERROR(__xludf.DUMMYFUNCTION("""COMPUTED_VALUE"""),102.0)</f>
        <v>102</v>
      </c>
      <c r="AQ1181" s="14">
        <f>IFERROR(__xludf.DUMMYFUNCTION("""COMPUTED_VALUE"""),136.0)</f>
        <v>136</v>
      </c>
      <c r="AR1181" s="14">
        <f>IFERROR(__xludf.DUMMYFUNCTION("""COMPUTED_VALUE"""),36.0)</f>
        <v>36</v>
      </c>
      <c r="AS1181" s="14">
        <f>IFERROR(__xludf.DUMMYFUNCTION("""COMPUTED_VALUE"""),13.6)</f>
        <v>13.6</v>
      </c>
      <c r="AT1181" s="14">
        <f>IFERROR(__xludf.DUMMYFUNCTION("""COMPUTED_VALUE"""),4.02)</f>
        <v>4.02</v>
      </c>
      <c r="AU1181" s="14">
        <f>IFERROR(__xludf.DUMMYFUNCTION("""COMPUTED_VALUE"""),8820000.0)</f>
        <v>8820000</v>
      </c>
      <c r="AV1181" s="14">
        <f>IFERROR(__xludf.DUMMYFUNCTION("""COMPUTED_VALUE"""),3.92)</f>
        <v>3.92</v>
      </c>
      <c r="AW1181" s="14">
        <f>IFERROR(__xludf.DUMMYFUNCTION("""COMPUTED_VALUE"""),29.1)</f>
        <v>29.1</v>
      </c>
      <c r="AX1181" s="14">
        <f>IFERROR(__xludf.DUMMYFUNCTION("""COMPUTED_VALUE"""),41000.0)</f>
        <v>41000</v>
      </c>
      <c r="AY1181" s="14">
        <f>IFERROR(__xludf.DUMMYFUNCTION("""COMPUTED_VALUE"""),0.8)</f>
        <v>0.8</v>
      </c>
      <c r="AZ1181" s="14">
        <f>IFERROR(__xludf.DUMMYFUNCTION("""COMPUTED_VALUE"""),0.007)</f>
        <v>0.007</v>
      </c>
      <c r="BA1181" s="14">
        <f t="shared" si="1"/>
        <v>29.907</v>
      </c>
    </row>
    <row r="1182" ht="14.25" customHeight="1">
      <c r="A1182" s="10" t="str">
        <f>IFERROR(__xludf.DUMMYFUNCTION("""COMPUTED_VALUE"""),"170924FM03")</f>
        <v>170924FM03</v>
      </c>
      <c r="B1182" s="12" t="str">
        <f>IFERROR(__xludf.DUMMYFUNCTION("""COMPUTED_VALUE"""),"QZA-Molinos")</f>
        <v>QZA-Molinos</v>
      </c>
      <c r="C1182" s="12"/>
      <c r="D1182" s="12"/>
      <c r="E1182" s="44">
        <f>IFERROR(__xludf.DUMMYFUNCTION("""COMPUTED_VALUE"""),45552.0)</f>
        <v>45552</v>
      </c>
      <c r="F1182" s="12" t="str">
        <f>IFERROR(__xludf.DUMMYFUNCTION("""COMPUTED_VALUE"""),"TIPO I")</f>
        <v>TIPO I</v>
      </c>
      <c r="G1182" s="12" t="str">
        <f>IFERROR(__xludf.DUMMYFUNCTION("""COMPUTED_VALUE"""),"Toma de muestra en canal natural rocoso-arenoso, durante el desarrollo del monitoreo se observa color y se percibe olor. 
Altitud. 2611 msnm")</f>
        <v>Toma de muestra en canal natural rocoso-arenoso, durante el desarrollo del monitoreo se observa color y se percibe olor. 
Altitud. 2611 msnm</v>
      </c>
      <c r="H1182" s="45">
        <f>IFERROR(__xludf.DUMMYFUNCTION("""COMPUTED_VALUE"""),0.6666666666678793)</f>
        <v>0.6666666667</v>
      </c>
      <c r="I1182" s="45">
        <f>IFERROR(__xludf.DUMMYFUNCTION("""COMPUTED_VALUE"""),0.75)</f>
        <v>0.75</v>
      </c>
      <c r="J1182" s="12">
        <f>IFERROR(__xludf.DUMMYFUNCTION("""COMPUTED_VALUE"""),5.1)</f>
        <v>5.1</v>
      </c>
      <c r="K1182" s="12">
        <f>IFERROR(__xludf.DUMMYFUNCTION("""COMPUTED_VALUE"""),0.21)</f>
        <v>0.21</v>
      </c>
      <c r="L1182" s="14">
        <f>IFERROR(__xludf.DUMMYFUNCTION("""COMPUTED_VALUE"""),286.919)</f>
        <v>286.919</v>
      </c>
      <c r="M1182" s="14">
        <f>IFERROR(__xludf.DUMMYFUNCTION("""COMPUTED_VALUE"""),288.566)</f>
        <v>288.566</v>
      </c>
      <c r="N1182" s="14">
        <f>IFERROR(__xludf.DUMMYFUNCTION("""COMPUTED_VALUE"""),297.169)</f>
        <v>297.169</v>
      </c>
      <c r="O1182" s="14">
        <f>IFERROR(__xludf.DUMMYFUNCTION("""COMPUTED_VALUE"""),298.924)</f>
        <v>298.924</v>
      </c>
      <c r="P1182" s="14">
        <f>IFERROR(__xludf.DUMMYFUNCTION("""COMPUTED_VALUE"""),304.437)</f>
        <v>304.437</v>
      </c>
      <c r="Q1182" s="14">
        <f>IFERROR(__xludf.DUMMYFUNCTION("""COMPUTED_VALUE"""),295.203)</f>
        <v>295.203</v>
      </c>
      <c r="R1182" s="48">
        <f>IFERROR(__xludf.DUMMYFUNCTION("""COMPUTED_VALUE"""),8.03)</f>
        <v>8.03</v>
      </c>
      <c r="S1182" s="48">
        <f>IFERROR(__xludf.DUMMYFUNCTION("""COMPUTED_VALUE"""),7.51)</f>
        <v>7.51</v>
      </c>
      <c r="T1182" s="48">
        <f>IFERROR(__xludf.DUMMYFUNCTION("""COMPUTED_VALUE"""),7.95)</f>
        <v>7.95</v>
      </c>
      <c r="U1182" s="48">
        <f>IFERROR(__xludf.DUMMYFUNCTION("""COMPUTED_VALUE"""),7.88)</f>
        <v>7.88</v>
      </c>
      <c r="V1182" s="48">
        <f>IFERROR(__xludf.DUMMYFUNCTION("""COMPUTED_VALUE"""),7.99)</f>
        <v>7.99</v>
      </c>
      <c r="W1182" s="14">
        <f>IFERROR(__xludf.DUMMYFUNCTION("""COMPUTED_VALUE"""),7.872)</f>
        <v>7.872</v>
      </c>
      <c r="X1182" s="14">
        <f>IFERROR(__xludf.DUMMYFUNCTION("""COMPUTED_VALUE"""),18.1)</f>
        <v>18.1</v>
      </c>
      <c r="Y1182" s="14">
        <f>IFERROR(__xludf.DUMMYFUNCTION("""COMPUTED_VALUE"""),18.0)</f>
        <v>18</v>
      </c>
      <c r="Z1182" s="14">
        <f>IFERROR(__xludf.DUMMYFUNCTION("""COMPUTED_VALUE"""),17.6)</f>
        <v>17.6</v>
      </c>
      <c r="AA1182" s="14">
        <f>IFERROR(__xludf.DUMMYFUNCTION("""COMPUTED_VALUE"""),16.9)</f>
        <v>16.9</v>
      </c>
      <c r="AB1182" s="14">
        <f>IFERROR(__xludf.DUMMYFUNCTION("""COMPUTED_VALUE"""),16.6)</f>
        <v>16.6</v>
      </c>
      <c r="AC1182" s="14">
        <f>IFERROR(__xludf.DUMMYFUNCTION("""COMPUTED_VALUE"""),17.439999999999998)</f>
        <v>17.44</v>
      </c>
      <c r="AD1182" s="48">
        <f>IFERROR(__xludf.DUMMYFUNCTION("""COMPUTED_VALUE"""),572.0)</f>
        <v>572</v>
      </c>
      <c r="AE1182" s="48">
        <f>IFERROR(__xludf.DUMMYFUNCTION("""COMPUTED_VALUE"""),538.0)</f>
        <v>538</v>
      </c>
      <c r="AF1182" s="48">
        <f>IFERROR(__xludf.DUMMYFUNCTION("""COMPUTED_VALUE"""),583.0)</f>
        <v>583</v>
      </c>
      <c r="AG1182" s="48">
        <f>IFERROR(__xludf.DUMMYFUNCTION("""COMPUTED_VALUE"""),579.0)</f>
        <v>579</v>
      </c>
      <c r="AH1182" s="48">
        <f>IFERROR(__xludf.DUMMYFUNCTION("""COMPUTED_VALUE"""),570.0)</f>
        <v>570</v>
      </c>
      <c r="AI1182" s="14">
        <f>IFERROR(__xludf.DUMMYFUNCTION("""COMPUTED_VALUE"""),568.4)</f>
        <v>568.4</v>
      </c>
      <c r="AJ1182" s="14">
        <f>IFERROR(__xludf.DUMMYFUNCTION("""COMPUTED_VALUE"""),1.29)</f>
        <v>1.29</v>
      </c>
      <c r="AK1182" s="14">
        <f>IFERROR(__xludf.DUMMYFUNCTION("""COMPUTED_VALUE"""),1.01)</f>
        <v>1.01</v>
      </c>
      <c r="AL1182" s="14">
        <f>IFERROR(__xludf.DUMMYFUNCTION("""COMPUTED_VALUE"""),1.22)</f>
        <v>1.22</v>
      </c>
      <c r="AM1182" s="14">
        <f>IFERROR(__xludf.DUMMYFUNCTION("""COMPUTED_VALUE"""),1.55)</f>
        <v>1.55</v>
      </c>
      <c r="AN1182" s="14">
        <f>IFERROR(__xludf.DUMMYFUNCTION("""COMPUTED_VALUE"""),1.24)</f>
        <v>1.24</v>
      </c>
      <c r="AO1182" s="14">
        <f>IFERROR(__xludf.DUMMYFUNCTION("""COMPUTED_VALUE"""),1.262)</f>
        <v>1.262</v>
      </c>
      <c r="AP1182" s="14">
        <f>IFERROR(__xludf.DUMMYFUNCTION("""COMPUTED_VALUE"""),150.0)</f>
        <v>150</v>
      </c>
      <c r="AQ1182" s="14">
        <f>IFERROR(__xludf.DUMMYFUNCTION("""COMPUTED_VALUE"""),196.0)</f>
        <v>196</v>
      </c>
      <c r="AR1182" s="14">
        <f>IFERROR(__xludf.DUMMYFUNCTION("""COMPUTED_VALUE"""),64.0)</f>
        <v>64</v>
      </c>
      <c r="AS1182" s="14">
        <f>IFERROR(__xludf.DUMMYFUNCTION("""COMPUTED_VALUE"""),23.0)</f>
        <v>23</v>
      </c>
      <c r="AT1182" s="14">
        <f>IFERROR(__xludf.DUMMYFUNCTION("""COMPUTED_VALUE"""),6.39)</f>
        <v>6.39</v>
      </c>
      <c r="AU1182" s="14">
        <f>IFERROR(__xludf.DUMMYFUNCTION("""COMPUTED_VALUE"""),1.232E7)</f>
        <v>12320000</v>
      </c>
      <c r="AV1182" s="14">
        <f>IFERROR(__xludf.DUMMYFUNCTION("""COMPUTED_VALUE"""),2.71)</f>
        <v>2.71</v>
      </c>
      <c r="AW1182" s="14">
        <f>IFERROR(__xludf.DUMMYFUNCTION("""COMPUTED_VALUE"""),38.1)</f>
        <v>38.1</v>
      </c>
      <c r="AX1182" s="14">
        <f>IFERROR(__xludf.DUMMYFUNCTION("""COMPUTED_VALUE"""),8180000.0)</f>
        <v>8180000</v>
      </c>
      <c r="AY1182" s="14">
        <f>IFERROR(__xludf.DUMMYFUNCTION("""COMPUTED_VALUE"""),0.3)</f>
        <v>0.3</v>
      </c>
      <c r="AZ1182" s="14">
        <f>IFERROR(__xludf.DUMMYFUNCTION("""COMPUTED_VALUE"""),0.007)</f>
        <v>0.007</v>
      </c>
      <c r="BA1182" s="14">
        <f t="shared" si="1"/>
        <v>38.407</v>
      </c>
    </row>
    <row r="1183" ht="14.25" customHeight="1">
      <c r="A1183" s="10" t="str">
        <f>IFERROR(__xludf.DUMMYFUNCTION("""COMPUTED_VALUE"""),"170924DU03")</f>
        <v>170924DU03</v>
      </c>
      <c r="B1183" s="12" t="str">
        <f>IFERROR(__xludf.DUMMYFUNCTION("""COMPUTED_VALUE"""),"QYO-Arrayanal")</f>
        <v>QYO-Arrayanal</v>
      </c>
      <c r="C1183" s="12"/>
      <c r="D1183" s="12"/>
      <c r="E1183" s="44">
        <f>IFERROR(__xludf.DUMMYFUNCTION("""COMPUTED_VALUE"""),45552.0)</f>
        <v>45552</v>
      </c>
      <c r="F1183" s="12" t="str">
        <f>IFERROR(__xludf.DUMMYFUNCTION("""COMPUTED_VALUE"""),"TIPO I")</f>
        <v>TIPO I</v>
      </c>
      <c r="G1183" s="12" t="str">
        <f>IFERROR(__xludf.DUMMYFUNCTION("""COMPUTED_VALUE"""),"Monitoreo realizado en canal con lecho rocoso y arenoso, durante la toma de muestra no se observa color y no se percibe olor. Se presentan lloviznas en la ultima alícuota. 
Altitud: 2872 msnm")</f>
        <v>Monitoreo realizado en canal con lecho rocoso y arenoso, durante la toma de muestra no se observa color y no se percibe olor. Se presentan lloviznas en la ultima alícuota. 
Altitud: 2872 msnm</v>
      </c>
      <c r="H1183" s="45">
        <f>IFERROR(__xludf.DUMMYFUNCTION("""COMPUTED_VALUE"""),0.6666666666678793)</f>
        <v>0.6666666667</v>
      </c>
      <c r="I1183" s="45">
        <f>IFERROR(__xludf.DUMMYFUNCTION("""COMPUTED_VALUE"""),0.75)</f>
        <v>0.75</v>
      </c>
      <c r="J1183" s="12">
        <f>IFERROR(__xludf.DUMMYFUNCTION("""COMPUTED_VALUE"""),2.5)</f>
        <v>2.5</v>
      </c>
      <c r="K1183" s="12">
        <f>IFERROR(__xludf.DUMMYFUNCTION("""COMPUTED_VALUE"""),0.29)</f>
        <v>0.29</v>
      </c>
      <c r="L1183" s="14">
        <f>IFERROR(__xludf.DUMMYFUNCTION("""COMPUTED_VALUE"""),121.143)</f>
        <v>121.143</v>
      </c>
      <c r="M1183" s="14">
        <f>IFERROR(__xludf.DUMMYFUNCTION("""COMPUTED_VALUE"""),126.699)</f>
        <v>126.699</v>
      </c>
      <c r="N1183" s="14">
        <f>IFERROR(__xludf.DUMMYFUNCTION("""COMPUTED_VALUE"""),129.59)</f>
        <v>129.59</v>
      </c>
      <c r="O1183" s="14">
        <f>IFERROR(__xludf.DUMMYFUNCTION("""COMPUTED_VALUE"""),140.067)</f>
        <v>140.067</v>
      </c>
      <c r="P1183" s="14"/>
      <c r="Q1183" s="14">
        <f>IFERROR(__xludf.DUMMYFUNCTION("""COMPUTED_VALUE"""),128.875)</f>
        <v>128.875</v>
      </c>
      <c r="R1183" s="48">
        <f>IFERROR(__xludf.DUMMYFUNCTION("""COMPUTED_VALUE"""),7.4)</f>
        <v>7.4</v>
      </c>
      <c r="S1183" s="48">
        <f>IFERROR(__xludf.DUMMYFUNCTION("""COMPUTED_VALUE"""),7.46)</f>
        <v>7.46</v>
      </c>
      <c r="T1183" s="48">
        <f>IFERROR(__xludf.DUMMYFUNCTION("""COMPUTED_VALUE"""),7.42)</f>
        <v>7.42</v>
      </c>
      <c r="U1183" s="48">
        <f>IFERROR(__xludf.DUMMYFUNCTION("""COMPUTED_VALUE"""),7.38)</f>
        <v>7.38</v>
      </c>
      <c r="V1183" s="48"/>
      <c r="W1183" s="14">
        <f>IFERROR(__xludf.DUMMYFUNCTION("""COMPUTED_VALUE"""),7.415)</f>
        <v>7.415</v>
      </c>
      <c r="X1183" s="14">
        <f>IFERROR(__xludf.DUMMYFUNCTION("""COMPUTED_VALUE"""),14.1)</f>
        <v>14.1</v>
      </c>
      <c r="Y1183" s="14">
        <f>IFERROR(__xludf.DUMMYFUNCTION("""COMPUTED_VALUE"""),14.1)</f>
        <v>14.1</v>
      </c>
      <c r="Z1183" s="14">
        <f>IFERROR(__xludf.DUMMYFUNCTION("""COMPUTED_VALUE"""),14.3)</f>
        <v>14.3</v>
      </c>
      <c r="AA1183" s="14">
        <f>IFERROR(__xludf.DUMMYFUNCTION("""COMPUTED_VALUE"""),14.2)</f>
        <v>14.2</v>
      </c>
      <c r="AB1183" s="14"/>
      <c r="AC1183" s="14">
        <f>IFERROR(__xludf.DUMMYFUNCTION("""COMPUTED_VALUE"""),14.175)</f>
        <v>14.175</v>
      </c>
      <c r="AD1183" s="48">
        <f>IFERROR(__xludf.DUMMYFUNCTION("""COMPUTED_VALUE"""),74.6)</f>
        <v>74.6</v>
      </c>
      <c r="AE1183" s="48">
        <f>IFERROR(__xludf.DUMMYFUNCTION("""COMPUTED_VALUE"""),75.0)</f>
        <v>75</v>
      </c>
      <c r="AF1183" s="48">
        <f>IFERROR(__xludf.DUMMYFUNCTION("""COMPUTED_VALUE"""),75.3)</f>
        <v>75.3</v>
      </c>
      <c r="AG1183" s="48">
        <f>IFERROR(__xludf.DUMMYFUNCTION("""COMPUTED_VALUE"""),76.3)</f>
        <v>76.3</v>
      </c>
      <c r="AH1183" s="48"/>
      <c r="AI1183" s="14">
        <f>IFERROR(__xludf.DUMMYFUNCTION("""COMPUTED_VALUE"""),75.3)</f>
        <v>75.3</v>
      </c>
      <c r="AJ1183" s="14">
        <f>IFERROR(__xludf.DUMMYFUNCTION("""COMPUTED_VALUE"""),6.54)</f>
        <v>6.54</v>
      </c>
      <c r="AK1183" s="14">
        <f>IFERROR(__xludf.DUMMYFUNCTION("""COMPUTED_VALUE"""),6.47)</f>
        <v>6.47</v>
      </c>
      <c r="AL1183" s="14">
        <f>IFERROR(__xludf.DUMMYFUNCTION("""COMPUTED_VALUE"""),6.42)</f>
        <v>6.42</v>
      </c>
      <c r="AM1183" s="14">
        <f>IFERROR(__xludf.DUMMYFUNCTION("""COMPUTED_VALUE"""),6.35)</f>
        <v>6.35</v>
      </c>
      <c r="AN1183" s="14"/>
      <c r="AO1183" s="14">
        <f>IFERROR(__xludf.DUMMYFUNCTION("""COMPUTED_VALUE"""),6.445)</f>
        <v>6.445</v>
      </c>
      <c r="AP1183" s="14">
        <f>IFERROR(__xludf.DUMMYFUNCTION("""COMPUTED_VALUE"""),2.0)</f>
        <v>2</v>
      </c>
      <c r="AQ1183" s="14">
        <f>IFERROR(__xludf.DUMMYFUNCTION("""COMPUTED_VALUE"""),14.0)</f>
        <v>14</v>
      </c>
      <c r="AR1183" s="14">
        <f>IFERROR(__xludf.DUMMYFUNCTION("""COMPUTED_VALUE"""),22.0)</f>
        <v>22</v>
      </c>
      <c r="AS1183" s="14">
        <f>IFERROR(__xludf.DUMMYFUNCTION("""COMPUTED_VALUE"""),4.9)</f>
        <v>4.9</v>
      </c>
      <c r="AT1183" s="14">
        <f>IFERROR(__xludf.DUMMYFUNCTION("""COMPUTED_VALUE"""),0.07)</f>
        <v>0.07</v>
      </c>
      <c r="AU1183" s="14">
        <f>IFERROR(__xludf.DUMMYFUNCTION("""COMPUTED_VALUE"""),1.372E8)</f>
        <v>137200000</v>
      </c>
      <c r="AV1183" s="14">
        <f>IFERROR(__xludf.DUMMYFUNCTION("""COMPUTED_VALUE"""),0.08)</f>
        <v>0.08</v>
      </c>
      <c r="AW1183" s="14">
        <f>IFERROR(__xludf.DUMMYFUNCTION("""COMPUTED_VALUE"""),1.4)</f>
        <v>1.4</v>
      </c>
      <c r="AX1183" s="14">
        <f>IFERROR(__xludf.DUMMYFUNCTION("""COMPUTED_VALUE"""),1.224E8)</f>
        <v>122400000</v>
      </c>
      <c r="AY1183" s="14">
        <f>IFERROR(__xludf.DUMMYFUNCTION("""COMPUTED_VALUE"""),1.1)</f>
        <v>1.1</v>
      </c>
      <c r="AZ1183" s="14">
        <f>IFERROR(__xludf.DUMMYFUNCTION("""COMPUTED_VALUE"""),0.025)</f>
        <v>0.025</v>
      </c>
      <c r="BA1183" s="14">
        <f t="shared" si="1"/>
        <v>2.525</v>
      </c>
    </row>
    <row r="1184" ht="14.25" customHeight="1">
      <c r="A1184" s="10" t="str">
        <f>IFERROR(__xludf.DUMMYFUNCTION("""COMPUTED_VALUE"""),"160924DU03")</f>
        <v>160924DU03</v>
      </c>
      <c r="B1184" s="12" t="str">
        <f>IFERROR(__xludf.DUMMYFUNCTION("""COMPUTED_VALUE"""),"CRN-El Virrey")</f>
        <v>CRN-El Virrey</v>
      </c>
      <c r="C1184" s="12"/>
      <c r="D1184" s="12"/>
      <c r="E1184" s="44">
        <f>IFERROR(__xludf.DUMMYFUNCTION("""COMPUTED_VALUE"""),45551.0)</f>
        <v>45551</v>
      </c>
      <c r="F1184" s="12" t="str">
        <f>IFERROR(__xludf.DUMMYFUNCTION("""COMPUTED_VALUE"""),"TIPO I")</f>
        <v>TIPO I</v>
      </c>
      <c r="G1184" s="12" t="str">
        <f>IFERROR(__xludf.DUMMYFUNCTION("""COMPUTED_VALUE"""),"Canal en mampostería.
Durante el monitoreo se observa color y se percibe olor.
Altitud: 2593 msnm.")</f>
        <v>Canal en mampostería.
Durante el monitoreo se observa color y se percibe olor.
Altitud: 2593 msnm.</v>
      </c>
      <c r="H1184" s="45">
        <f>IFERROR(__xludf.DUMMYFUNCTION("""COMPUTED_VALUE"""),0.5833333333321207)</f>
        <v>0.5833333333</v>
      </c>
      <c r="I1184" s="45">
        <f>IFERROR(__xludf.DUMMYFUNCTION("""COMPUTED_VALUE"""),0.6666666666678793)</f>
        <v>0.6666666667</v>
      </c>
      <c r="J1184" s="12">
        <f>IFERROR(__xludf.DUMMYFUNCTION("""COMPUTED_VALUE"""),2.5)</f>
        <v>2.5</v>
      </c>
      <c r="K1184" s="12">
        <f>IFERROR(__xludf.DUMMYFUNCTION("""COMPUTED_VALUE"""),0.12)</f>
        <v>0.12</v>
      </c>
      <c r="L1184" s="14">
        <f>IFERROR(__xludf.DUMMYFUNCTION("""COMPUTED_VALUE"""),46.637)</f>
        <v>46.637</v>
      </c>
      <c r="M1184" s="14">
        <f>IFERROR(__xludf.DUMMYFUNCTION("""COMPUTED_VALUE"""),45.891)</f>
        <v>45.891</v>
      </c>
      <c r="N1184" s="14">
        <f>IFERROR(__xludf.DUMMYFUNCTION("""COMPUTED_VALUE"""),48.065)</f>
        <v>48.065</v>
      </c>
      <c r="O1184" s="14">
        <f>IFERROR(__xludf.DUMMYFUNCTION("""COMPUTED_VALUE"""),49.093)</f>
        <v>49.093</v>
      </c>
      <c r="P1184" s="14">
        <f>IFERROR(__xludf.DUMMYFUNCTION("""COMPUTED_VALUE"""),47.957)</f>
        <v>47.957</v>
      </c>
      <c r="Q1184" s="14">
        <f>IFERROR(__xludf.DUMMYFUNCTION("""COMPUTED_VALUE"""),47.529)</f>
        <v>47.529</v>
      </c>
      <c r="R1184" s="48">
        <f>IFERROR(__xludf.DUMMYFUNCTION("""COMPUTED_VALUE"""),7.23)</f>
        <v>7.23</v>
      </c>
      <c r="S1184" s="48">
        <f>IFERROR(__xludf.DUMMYFUNCTION("""COMPUTED_VALUE"""),8.26)</f>
        <v>8.26</v>
      </c>
      <c r="T1184" s="48">
        <f>IFERROR(__xludf.DUMMYFUNCTION("""COMPUTED_VALUE"""),8.22)</f>
        <v>8.22</v>
      </c>
      <c r="U1184" s="48">
        <f>IFERROR(__xludf.DUMMYFUNCTION("""COMPUTED_VALUE"""),8.32)</f>
        <v>8.32</v>
      </c>
      <c r="V1184" s="48">
        <f>IFERROR(__xludf.DUMMYFUNCTION("""COMPUTED_VALUE"""),8.39)</f>
        <v>8.39</v>
      </c>
      <c r="W1184" s="14">
        <f>IFERROR(__xludf.DUMMYFUNCTION("""COMPUTED_VALUE"""),8.084)</f>
        <v>8.084</v>
      </c>
      <c r="X1184" s="14">
        <f>IFERROR(__xludf.DUMMYFUNCTION("""COMPUTED_VALUE"""),21.5)</f>
        <v>21.5</v>
      </c>
      <c r="Y1184" s="14">
        <f>IFERROR(__xludf.DUMMYFUNCTION("""COMPUTED_VALUE"""),21.3)</f>
        <v>21.3</v>
      </c>
      <c r="Z1184" s="14">
        <f>IFERROR(__xludf.DUMMYFUNCTION("""COMPUTED_VALUE"""),21.5)</f>
        <v>21.5</v>
      </c>
      <c r="AA1184" s="14">
        <f>IFERROR(__xludf.DUMMYFUNCTION("""COMPUTED_VALUE"""),21.6)</f>
        <v>21.6</v>
      </c>
      <c r="AB1184" s="14">
        <f>IFERROR(__xludf.DUMMYFUNCTION("""COMPUTED_VALUE"""),21.4)</f>
        <v>21.4</v>
      </c>
      <c r="AC1184" s="14">
        <f>IFERROR(__xludf.DUMMYFUNCTION("""COMPUTED_VALUE"""),21.46)</f>
        <v>21.46</v>
      </c>
      <c r="AD1184" s="48">
        <f>IFERROR(__xludf.DUMMYFUNCTION("""COMPUTED_VALUE"""),552.0)</f>
        <v>552</v>
      </c>
      <c r="AE1184" s="48">
        <f>IFERROR(__xludf.DUMMYFUNCTION("""COMPUTED_VALUE"""),576.0)</f>
        <v>576</v>
      </c>
      <c r="AF1184" s="48">
        <f>IFERROR(__xludf.DUMMYFUNCTION("""COMPUTED_VALUE"""),555.0)</f>
        <v>555</v>
      </c>
      <c r="AG1184" s="48">
        <f>IFERROR(__xludf.DUMMYFUNCTION("""COMPUTED_VALUE"""),578.0)</f>
        <v>578</v>
      </c>
      <c r="AH1184" s="48">
        <f>IFERROR(__xludf.DUMMYFUNCTION("""COMPUTED_VALUE"""),581.0)</f>
        <v>581</v>
      </c>
      <c r="AI1184" s="14">
        <f>IFERROR(__xludf.DUMMYFUNCTION("""COMPUTED_VALUE"""),568.4)</f>
        <v>568.4</v>
      </c>
      <c r="AJ1184" s="14">
        <f>IFERROR(__xludf.DUMMYFUNCTION("""COMPUTED_VALUE"""),1.31)</f>
        <v>1.31</v>
      </c>
      <c r="AK1184" s="14">
        <f>IFERROR(__xludf.DUMMYFUNCTION("""COMPUTED_VALUE"""),1.02)</f>
        <v>1.02</v>
      </c>
      <c r="AL1184" s="14">
        <f>IFERROR(__xludf.DUMMYFUNCTION("""COMPUTED_VALUE"""),1.15)</f>
        <v>1.15</v>
      </c>
      <c r="AM1184" s="14">
        <f>IFERROR(__xludf.DUMMYFUNCTION("""COMPUTED_VALUE"""),0.96)</f>
        <v>0.96</v>
      </c>
      <c r="AN1184" s="14">
        <f>IFERROR(__xludf.DUMMYFUNCTION("""COMPUTED_VALUE"""),1.09)</f>
        <v>1.09</v>
      </c>
      <c r="AO1184" s="14">
        <f>IFERROR(__xludf.DUMMYFUNCTION("""COMPUTED_VALUE"""),1.1059999999999999)</f>
        <v>1.106</v>
      </c>
      <c r="AP1184" s="14">
        <f>IFERROR(__xludf.DUMMYFUNCTION("""COMPUTED_VALUE"""),287.0)</f>
        <v>287</v>
      </c>
      <c r="AQ1184" s="14">
        <f>IFERROR(__xludf.DUMMYFUNCTION("""COMPUTED_VALUE"""),416.0)</f>
        <v>416</v>
      </c>
      <c r="AR1184" s="14">
        <f>IFERROR(__xludf.DUMMYFUNCTION("""COMPUTED_VALUE"""),117.0)</f>
        <v>117</v>
      </c>
      <c r="AS1184" s="14">
        <f>IFERROR(__xludf.DUMMYFUNCTION("""COMPUTED_VALUE"""),51.0)</f>
        <v>51</v>
      </c>
      <c r="AT1184" s="14">
        <f>IFERROR(__xludf.DUMMYFUNCTION("""COMPUTED_VALUE"""),7.69)</f>
        <v>7.69</v>
      </c>
      <c r="AU1184" s="14">
        <f>IFERROR(__xludf.DUMMYFUNCTION("""COMPUTED_VALUE"""),1.43E8)</f>
        <v>143000000</v>
      </c>
      <c r="AV1184" s="14">
        <f>IFERROR(__xludf.DUMMYFUNCTION("""COMPUTED_VALUE"""),3.08)</f>
        <v>3.08</v>
      </c>
      <c r="AW1184" s="14">
        <f>IFERROR(__xludf.DUMMYFUNCTION("""COMPUTED_VALUE"""),42.8)</f>
        <v>42.8</v>
      </c>
      <c r="AX1184" s="14">
        <f>IFERROR(__xludf.DUMMYFUNCTION("""COMPUTED_VALUE"""),1.025E8)</f>
        <v>102500000</v>
      </c>
      <c r="AY1184" s="14">
        <f>IFERROR(__xludf.DUMMYFUNCTION("""COMPUTED_VALUE"""),0.6)</f>
        <v>0.6</v>
      </c>
      <c r="AZ1184" s="14">
        <f>IFERROR(__xludf.DUMMYFUNCTION("""COMPUTED_VALUE"""),0.007)</f>
        <v>0.007</v>
      </c>
      <c r="BA1184" s="14">
        <f t="shared" si="1"/>
        <v>43.407</v>
      </c>
    </row>
    <row r="1185" ht="14.25" customHeight="1">
      <c r="A1185" s="10" t="str">
        <f>IFERROR(__xludf.DUMMYFUNCTION("""COMPUTED_VALUE"""),"160924FM03")</f>
        <v>160924FM03</v>
      </c>
      <c r="B1185" s="12" t="str">
        <f>IFERROR(__xludf.DUMMYFUNCTION("""COMPUTED_VALUE"""),"CRN-La Castellana")</f>
        <v>CRN-La Castellana</v>
      </c>
      <c r="C1185" s="12"/>
      <c r="D1185" s="12"/>
      <c r="E1185" s="44">
        <f>IFERROR(__xludf.DUMMYFUNCTION("""COMPUTED_VALUE"""),45551.0)</f>
        <v>45551</v>
      </c>
      <c r="F1185" s="12" t="str">
        <f>IFERROR(__xludf.DUMMYFUNCTION("""COMPUTED_VALUE"""),"TIPO I")</f>
        <v>TIPO I</v>
      </c>
      <c r="G1185" s="12" t="str">
        <f>IFERROR(__xludf.DUMMYFUNCTION("""COMPUTED_VALUE"""),"Canal en concreto, con presencia de lodos en el lecho, durante el monitoreo se observa color y se percibe olor.
Altitud: 2549 msnm.")</f>
        <v>Canal en concreto, con presencia de lodos en el lecho, durante el monitoreo se observa color y se percibe olor.
Altitud: 2549 msnm.</v>
      </c>
      <c r="H1185" s="45">
        <f>IFERROR(__xludf.DUMMYFUNCTION("""COMPUTED_VALUE"""),0.5)</f>
        <v>0.5</v>
      </c>
      <c r="I1185" s="45">
        <f>IFERROR(__xludf.DUMMYFUNCTION("""COMPUTED_VALUE"""),0.5833333333321207)</f>
        <v>0.5833333333</v>
      </c>
      <c r="J1185" s="12">
        <f>IFERROR(__xludf.DUMMYFUNCTION("""COMPUTED_VALUE"""),5.4)</f>
        <v>5.4</v>
      </c>
      <c r="K1185" s="12">
        <f>IFERROR(__xludf.DUMMYFUNCTION("""COMPUTED_VALUE"""),0.19)</f>
        <v>0.19</v>
      </c>
      <c r="L1185" s="14">
        <f>IFERROR(__xludf.DUMMYFUNCTION("""COMPUTED_VALUE"""),304.18)</f>
        <v>304.18</v>
      </c>
      <c r="M1185" s="14">
        <f>IFERROR(__xludf.DUMMYFUNCTION("""COMPUTED_VALUE"""),306.486)</f>
        <v>306.486</v>
      </c>
      <c r="N1185" s="14">
        <f>IFERROR(__xludf.DUMMYFUNCTION("""COMPUTED_VALUE"""),309.915)</f>
        <v>309.915</v>
      </c>
      <c r="O1185" s="14">
        <f>IFERROR(__xludf.DUMMYFUNCTION("""COMPUTED_VALUE"""),313.293)</f>
        <v>313.293</v>
      </c>
      <c r="P1185" s="14">
        <f>IFERROR(__xludf.DUMMYFUNCTION("""COMPUTED_VALUE"""),314.13)</f>
        <v>314.13</v>
      </c>
      <c r="Q1185" s="14">
        <f>IFERROR(__xludf.DUMMYFUNCTION("""COMPUTED_VALUE"""),309.601)</f>
        <v>309.601</v>
      </c>
      <c r="R1185" s="48">
        <f>IFERROR(__xludf.DUMMYFUNCTION("""COMPUTED_VALUE"""),8.57)</f>
        <v>8.57</v>
      </c>
      <c r="S1185" s="48">
        <f>IFERROR(__xludf.DUMMYFUNCTION("""COMPUTED_VALUE"""),8.71)</f>
        <v>8.71</v>
      </c>
      <c r="T1185" s="48">
        <f>IFERROR(__xludf.DUMMYFUNCTION("""COMPUTED_VALUE"""),8.48)</f>
        <v>8.48</v>
      </c>
      <c r="U1185" s="48">
        <f>IFERROR(__xludf.DUMMYFUNCTION("""COMPUTED_VALUE"""),8.6)</f>
        <v>8.6</v>
      </c>
      <c r="V1185" s="48">
        <f>IFERROR(__xludf.DUMMYFUNCTION("""COMPUTED_VALUE"""),8.55)</f>
        <v>8.55</v>
      </c>
      <c r="W1185" s="14">
        <f>IFERROR(__xludf.DUMMYFUNCTION("""COMPUTED_VALUE"""),8.581999999999999)</f>
        <v>8.582</v>
      </c>
      <c r="X1185" s="14">
        <f>IFERROR(__xludf.DUMMYFUNCTION("""COMPUTED_VALUE"""),21.8)</f>
        <v>21.8</v>
      </c>
      <c r="Y1185" s="14">
        <f>IFERROR(__xludf.DUMMYFUNCTION("""COMPUTED_VALUE"""),21.6)</f>
        <v>21.6</v>
      </c>
      <c r="Z1185" s="14">
        <f>IFERROR(__xludf.DUMMYFUNCTION("""COMPUTED_VALUE"""),20.6)</f>
        <v>20.6</v>
      </c>
      <c r="AA1185" s="14">
        <f>IFERROR(__xludf.DUMMYFUNCTION("""COMPUTED_VALUE"""),20.4)</f>
        <v>20.4</v>
      </c>
      <c r="AB1185" s="14">
        <f>IFERROR(__xludf.DUMMYFUNCTION("""COMPUTED_VALUE"""),20.5)</f>
        <v>20.5</v>
      </c>
      <c r="AC1185" s="14">
        <f>IFERROR(__xludf.DUMMYFUNCTION("""COMPUTED_VALUE"""),20.98)</f>
        <v>20.98</v>
      </c>
      <c r="AD1185" s="48">
        <f>IFERROR(__xludf.DUMMYFUNCTION("""COMPUTED_VALUE"""),757.0)</f>
        <v>757</v>
      </c>
      <c r="AE1185" s="48">
        <f>IFERROR(__xludf.DUMMYFUNCTION("""COMPUTED_VALUE"""),689.0)</f>
        <v>689</v>
      </c>
      <c r="AF1185" s="48">
        <f>IFERROR(__xludf.DUMMYFUNCTION("""COMPUTED_VALUE"""),631.0)</f>
        <v>631</v>
      </c>
      <c r="AG1185" s="48">
        <f>IFERROR(__xludf.DUMMYFUNCTION("""COMPUTED_VALUE"""),692.0)</f>
        <v>692</v>
      </c>
      <c r="AH1185" s="48">
        <f>IFERROR(__xludf.DUMMYFUNCTION("""COMPUTED_VALUE"""),686.0)</f>
        <v>686</v>
      </c>
      <c r="AI1185" s="14">
        <f>IFERROR(__xludf.DUMMYFUNCTION("""COMPUTED_VALUE"""),691.0)</f>
        <v>691</v>
      </c>
      <c r="AJ1185" s="14">
        <f>IFERROR(__xludf.DUMMYFUNCTION("""COMPUTED_VALUE"""),1.1)</f>
        <v>1.1</v>
      </c>
      <c r="AK1185" s="14">
        <f>IFERROR(__xludf.DUMMYFUNCTION("""COMPUTED_VALUE"""),1.44)</f>
        <v>1.44</v>
      </c>
      <c r="AL1185" s="14">
        <f>IFERROR(__xludf.DUMMYFUNCTION("""COMPUTED_VALUE"""),1.87)</f>
        <v>1.87</v>
      </c>
      <c r="AM1185" s="14">
        <f>IFERROR(__xludf.DUMMYFUNCTION("""COMPUTED_VALUE"""),1.15)</f>
        <v>1.15</v>
      </c>
      <c r="AN1185" s="14">
        <f>IFERROR(__xludf.DUMMYFUNCTION("""COMPUTED_VALUE"""),1.01)</f>
        <v>1.01</v>
      </c>
      <c r="AO1185" s="14">
        <f>IFERROR(__xludf.DUMMYFUNCTION("""COMPUTED_VALUE"""),1.314)</f>
        <v>1.314</v>
      </c>
      <c r="AP1185" s="14">
        <f>IFERROR(__xludf.DUMMYFUNCTION("""COMPUTED_VALUE"""),512.0)</f>
        <v>512</v>
      </c>
      <c r="AQ1185" s="14">
        <f>IFERROR(__xludf.DUMMYFUNCTION("""COMPUTED_VALUE"""),731.0)</f>
        <v>731</v>
      </c>
      <c r="AR1185" s="14">
        <f>IFERROR(__xludf.DUMMYFUNCTION("""COMPUTED_VALUE"""),342.0)</f>
        <v>342</v>
      </c>
      <c r="AS1185" s="14">
        <f>IFERROR(__xludf.DUMMYFUNCTION("""COMPUTED_VALUE"""),57.0)</f>
        <v>57</v>
      </c>
      <c r="AT1185" s="14">
        <f>IFERROR(__xludf.DUMMYFUNCTION("""COMPUTED_VALUE"""),5.29)</f>
        <v>5.29</v>
      </c>
      <c r="AU1185" s="14">
        <f>IFERROR(__xludf.DUMMYFUNCTION("""COMPUTED_VALUE"""),1.043E8)</f>
        <v>104300000</v>
      </c>
      <c r="AV1185" s="14">
        <f>IFERROR(__xludf.DUMMYFUNCTION("""COMPUTED_VALUE"""),8.0)</f>
        <v>8</v>
      </c>
      <c r="AW1185" s="14">
        <f>IFERROR(__xludf.DUMMYFUNCTION("""COMPUTED_VALUE"""),75.0)</f>
        <v>75</v>
      </c>
      <c r="AX1185" s="14">
        <f>IFERROR(__xludf.DUMMYFUNCTION("""COMPUTED_VALUE"""),8.82E7)</f>
        <v>88200000</v>
      </c>
      <c r="AY1185" s="14">
        <f>IFERROR(__xludf.DUMMYFUNCTION("""COMPUTED_VALUE"""),0.4)</f>
        <v>0.4</v>
      </c>
      <c r="AZ1185" s="14">
        <f>IFERROR(__xludf.DUMMYFUNCTION("""COMPUTED_VALUE"""),0.007)</f>
        <v>0.007</v>
      </c>
      <c r="BA1185" s="14">
        <f t="shared" si="1"/>
        <v>75.407</v>
      </c>
    </row>
    <row r="1186" ht="14.25" customHeight="1">
      <c r="A1186" s="10" t="str">
        <f>IFERROR(__xludf.DUMMYFUNCTION("""COMPUTED_VALUE"""),"160924FM04")</f>
        <v>160924FM04</v>
      </c>
      <c r="B1186" s="12" t="str">
        <f>IFERROR(__xludf.DUMMYFUNCTION("""COMPUTED_VALUE"""),"CRN-Quebrada Chicó")</f>
        <v>CRN-Quebrada Chicó</v>
      </c>
      <c r="C1186" s="12"/>
      <c r="D1186" s="12"/>
      <c r="E1186" s="44">
        <f>IFERROR(__xludf.DUMMYFUNCTION("""COMPUTED_VALUE"""),45551.0)</f>
        <v>45551</v>
      </c>
      <c r="F1186" s="12" t="str">
        <f>IFERROR(__xludf.DUMMYFUNCTION("""COMPUTED_VALUE"""),"TIPO I")</f>
        <v>TIPO I</v>
      </c>
      <c r="G1186" s="12" t="str">
        <f>IFERROR(__xludf.DUMMYFUNCTION("""COMPUTED_VALUE"""),"Tubería en concreto, durante el monitoreo se observa color, no se percibe olor. ")</f>
        <v>Tubería en concreto, durante el monitoreo se observa color, no se percibe olor. </v>
      </c>
      <c r="H1186" s="45">
        <f>IFERROR(__xludf.DUMMYFUNCTION("""COMPUTED_VALUE"""),0.6666666666678793)</f>
        <v>0.6666666667</v>
      </c>
      <c r="I1186" s="45">
        <f>IFERROR(__xludf.DUMMYFUNCTION("""COMPUTED_VALUE"""),0.75)</f>
        <v>0.75</v>
      </c>
      <c r="J1186" s="12"/>
      <c r="K1186" s="12"/>
      <c r="L1186" s="14">
        <f>IFERROR(__xludf.DUMMYFUNCTION("""COMPUTED_VALUE"""),2.02)</f>
        <v>2.02</v>
      </c>
      <c r="M1186" s="14">
        <f>IFERROR(__xludf.DUMMYFUNCTION("""COMPUTED_VALUE"""),2.038)</f>
        <v>2.038</v>
      </c>
      <c r="N1186" s="14">
        <f>IFERROR(__xludf.DUMMYFUNCTION("""COMPUTED_VALUE"""),1.842)</f>
        <v>1.842</v>
      </c>
      <c r="O1186" s="14">
        <f>IFERROR(__xludf.DUMMYFUNCTION("""COMPUTED_VALUE"""),1.894)</f>
        <v>1.894</v>
      </c>
      <c r="P1186" s="14">
        <f>IFERROR(__xludf.DUMMYFUNCTION("""COMPUTED_VALUE"""),1.736)</f>
        <v>1.736</v>
      </c>
      <c r="Q1186" s="14">
        <f>IFERROR(__xludf.DUMMYFUNCTION("""COMPUTED_VALUE"""),1.906)</f>
        <v>1.906</v>
      </c>
      <c r="R1186" s="48">
        <f>IFERROR(__xludf.DUMMYFUNCTION("""COMPUTED_VALUE"""),7.87)</f>
        <v>7.87</v>
      </c>
      <c r="S1186" s="48">
        <f>IFERROR(__xludf.DUMMYFUNCTION("""COMPUTED_VALUE"""),7.69)</f>
        <v>7.69</v>
      </c>
      <c r="T1186" s="48">
        <f>IFERROR(__xludf.DUMMYFUNCTION("""COMPUTED_VALUE"""),7.59)</f>
        <v>7.59</v>
      </c>
      <c r="U1186" s="48">
        <f>IFERROR(__xludf.DUMMYFUNCTION("""COMPUTED_VALUE"""),7.49)</f>
        <v>7.49</v>
      </c>
      <c r="V1186" s="48">
        <f>IFERROR(__xludf.DUMMYFUNCTION("""COMPUTED_VALUE"""),7.17)</f>
        <v>7.17</v>
      </c>
      <c r="W1186" s="14">
        <f>IFERROR(__xludf.DUMMYFUNCTION("""COMPUTED_VALUE"""),7.562)</f>
        <v>7.562</v>
      </c>
      <c r="X1186" s="14">
        <f>IFERROR(__xludf.DUMMYFUNCTION("""COMPUTED_VALUE"""),16.3)</f>
        <v>16.3</v>
      </c>
      <c r="Y1186" s="14">
        <f>IFERROR(__xludf.DUMMYFUNCTION("""COMPUTED_VALUE"""),16.4)</f>
        <v>16.4</v>
      </c>
      <c r="Z1186" s="14">
        <f>IFERROR(__xludf.DUMMYFUNCTION("""COMPUTED_VALUE"""),15.5)</f>
        <v>15.5</v>
      </c>
      <c r="AA1186" s="14">
        <f>IFERROR(__xludf.DUMMYFUNCTION("""COMPUTED_VALUE"""),15.3)</f>
        <v>15.3</v>
      </c>
      <c r="AB1186" s="14">
        <f>IFERROR(__xludf.DUMMYFUNCTION("""COMPUTED_VALUE"""),15.0)</f>
        <v>15</v>
      </c>
      <c r="AC1186" s="14">
        <f>IFERROR(__xludf.DUMMYFUNCTION("""COMPUTED_VALUE"""),15.7)</f>
        <v>15.7</v>
      </c>
      <c r="AD1186" s="48">
        <f>IFERROR(__xludf.DUMMYFUNCTION("""COMPUTED_VALUE"""),134.7)</f>
        <v>134.7</v>
      </c>
      <c r="AE1186" s="48">
        <f>IFERROR(__xludf.DUMMYFUNCTION("""COMPUTED_VALUE"""),118.8)</f>
        <v>118.8</v>
      </c>
      <c r="AF1186" s="48">
        <f>IFERROR(__xludf.DUMMYFUNCTION("""COMPUTED_VALUE"""),108.4)</f>
        <v>108.4</v>
      </c>
      <c r="AG1186" s="48">
        <f>IFERROR(__xludf.DUMMYFUNCTION("""COMPUTED_VALUE"""),101.9)</f>
        <v>101.9</v>
      </c>
      <c r="AH1186" s="48">
        <f>IFERROR(__xludf.DUMMYFUNCTION("""COMPUTED_VALUE"""),100.8)</f>
        <v>100.8</v>
      </c>
      <c r="AI1186" s="14">
        <f>IFERROR(__xludf.DUMMYFUNCTION("""COMPUTED_VALUE"""),112.91999999999999)</f>
        <v>112.92</v>
      </c>
      <c r="AJ1186" s="14">
        <f>IFERROR(__xludf.DUMMYFUNCTION("""COMPUTED_VALUE"""),4.02)</f>
        <v>4.02</v>
      </c>
      <c r="AK1186" s="14">
        <f>IFERROR(__xludf.DUMMYFUNCTION("""COMPUTED_VALUE"""),4.49)</f>
        <v>4.49</v>
      </c>
      <c r="AL1186" s="14">
        <f>IFERROR(__xludf.DUMMYFUNCTION("""COMPUTED_VALUE"""),4.12)</f>
        <v>4.12</v>
      </c>
      <c r="AM1186" s="14">
        <f>IFERROR(__xludf.DUMMYFUNCTION("""COMPUTED_VALUE"""),4.28)</f>
        <v>4.28</v>
      </c>
      <c r="AN1186" s="14">
        <f>IFERROR(__xludf.DUMMYFUNCTION("""COMPUTED_VALUE"""),4.52)</f>
        <v>4.52</v>
      </c>
      <c r="AO1186" s="14">
        <f>IFERROR(__xludf.DUMMYFUNCTION("""COMPUTED_VALUE"""),4.286)</f>
        <v>4.286</v>
      </c>
      <c r="AP1186" s="14">
        <f>IFERROR(__xludf.DUMMYFUNCTION("""COMPUTED_VALUE"""),15.0)</f>
        <v>15</v>
      </c>
      <c r="AQ1186" s="14">
        <f>IFERROR(__xludf.DUMMYFUNCTION("""COMPUTED_VALUE"""),27.0)</f>
        <v>27</v>
      </c>
      <c r="AR1186" s="14">
        <f>IFERROR(__xludf.DUMMYFUNCTION("""COMPUTED_VALUE"""),5.0)</f>
        <v>5</v>
      </c>
      <c r="AS1186" s="14">
        <f>IFERROR(__xludf.DUMMYFUNCTION("""COMPUTED_VALUE"""),6.2)</f>
        <v>6.2</v>
      </c>
      <c r="AT1186" s="14">
        <f>IFERROR(__xludf.DUMMYFUNCTION("""COMPUTED_VALUE"""),1.76)</f>
        <v>1.76</v>
      </c>
      <c r="AU1186" s="14">
        <f>IFERROR(__xludf.DUMMYFUNCTION("""COMPUTED_VALUE"""),1.494E7)</f>
        <v>14940000</v>
      </c>
      <c r="AV1186" s="14">
        <f>IFERROR(__xludf.DUMMYFUNCTION("""COMPUTED_VALUE"""),0.55)</f>
        <v>0.55</v>
      </c>
      <c r="AW1186" s="14">
        <f>IFERROR(__xludf.DUMMYFUNCTION("""COMPUTED_VALUE"""),5.3)</f>
        <v>5.3</v>
      </c>
      <c r="AX1186" s="14">
        <f>IFERROR(__xludf.DUMMYFUNCTION("""COMPUTED_VALUE"""),6380000.0)</f>
        <v>6380000</v>
      </c>
      <c r="AY1186" s="14">
        <f>IFERROR(__xludf.DUMMYFUNCTION("""COMPUTED_VALUE"""),1.0)</f>
        <v>1</v>
      </c>
      <c r="AZ1186" s="14">
        <f>IFERROR(__xludf.DUMMYFUNCTION("""COMPUTED_VALUE"""),0.113)</f>
        <v>0.113</v>
      </c>
      <c r="BA1186" s="14">
        <f t="shared" si="1"/>
        <v>6.413</v>
      </c>
    </row>
    <row r="1187" ht="14.25" customHeight="1">
      <c r="A1187" s="10" t="str">
        <f>IFERROR(__xludf.DUMMYFUNCTION("""COMPUTED_VALUE"""),"160924DU01")</f>
        <v>160924DU01</v>
      </c>
      <c r="B1187" s="12" t="str">
        <f>IFERROR(__xludf.DUMMYFUNCTION("""COMPUTED_VALUE"""),"CRN-Entre Ríos")</f>
        <v>CRN-Entre Ríos</v>
      </c>
      <c r="C1187" s="12"/>
      <c r="D1187" s="12"/>
      <c r="E1187" s="44">
        <f>IFERROR(__xludf.DUMMYFUNCTION("""COMPUTED_VALUE"""),45551.0)</f>
        <v>45551</v>
      </c>
      <c r="F1187" s="12" t="str">
        <f>IFERROR(__xludf.DUMMYFUNCTION("""COMPUTED_VALUE"""),"TIPO I")</f>
        <v>TIPO I</v>
      </c>
      <c r="G1187" s="12" t="str">
        <f>IFERROR(__xludf.DUMMYFUNCTION("""COMPUTED_VALUE"""),"Estructura artificial en concreto.
Durante el desarrollo del monitoreo se observa color y se percibe olor.
Altitud: 2572 msnm.")</f>
        <v>Estructura artificial en concreto.
Durante el desarrollo del monitoreo se observa color y se percibe olor.
Altitud: 2572 msnm.</v>
      </c>
      <c r="H1187" s="45">
        <f>IFERROR(__xludf.DUMMYFUNCTION("""COMPUTED_VALUE"""),0.3333333333321207)</f>
        <v>0.3333333333</v>
      </c>
      <c r="I1187" s="45">
        <f>IFERROR(__xludf.DUMMYFUNCTION("""COMPUTED_VALUE"""),0.4166666666678793)</f>
        <v>0.4166666667</v>
      </c>
      <c r="J1187" s="12">
        <f>IFERROR(__xludf.DUMMYFUNCTION("""COMPUTED_VALUE"""),7.0)</f>
        <v>7</v>
      </c>
      <c r="K1187" s="12">
        <f>IFERROR(__xludf.DUMMYFUNCTION("""COMPUTED_VALUE"""),0.18)</f>
        <v>0.18</v>
      </c>
      <c r="L1187" s="14">
        <f>IFERROR(__xludf.DUMMYFUNCTION("""COMPUTED_VALUE"""),449.861)</f>
        <v>449.861</v>
      </c>
      <c r="M1187" s="14">
        <f>IFERROR(__xludf.DUMMYFUNCTION("""COMPUTED_VALUE"""),433.969)</f>
        <v>433.969</v>
      </c>
      <c r="N1187" s="14">
        <f>IFERROR(__xludf.DUMMYFUNCTION("""COMPUTED_VALUE"""),441.051)</f>
        <v>441.051</v>
      </c>
      <c r="O1187" s="14">
        <f>IFERROR(__xludf.DUMMYFUNCTION("""COMPUTED_VALUE"""),431.076)</f>
        <v>431.076</v>
      </c>
      <c r="P1187" s="14">
        <f>IFERROR(__xludf.DUMMYFUNCTION("""COMPUTED_VALUE"""),433.289)</f>
        <v>433.289</v>
      </c>
      <c r="Q1187" s="14">
        <f>IFERROR(__xludf.DUMMYFUNCTION("""COMPUTED_VALUE"""),437.849)</f>
        <v>437.849</v>
      </c>
      <c r="R1187" s="48">
        <f>IFERROR(__xludf.DUMMYFUNCTION("""COMPUTED_VALUE"""),8.66)</f>
        <v>8.66</v>
      </c>
      <c r="S1187" s="48">
        <f>IFERROR(__xludf.DUMMYFUNCTION("""COMPUTED_VALUE"""),8.56)</f>
        <v>8.56</v>
      </c>
      <c r="T1187" s="48">
        <f>IFERROR(__xludf.DUMMYFUNCTION("""COMPUTED_VALUE"""),8.53)</f>
        <v>8.53</v>
      </c>
      <c r="U1187" s="48">
        <f>IFERROR(__xludf.DUMMYFUNCTION("""COMPUTED_VALUE"""),8.65)</f>
        <v>8.65</v>
      </c>
      <c r="V1187" s="48">
        <f>IFERROR(__xludf.DUMMYFUNCTION("""COMPUTED_VALUE"""),8.61)</f>
        <v>8.61</v>
      </c>
      <c r="W1187" s="14">
        <f>IFERROR(__xludf.DUMMYFUNCTION("""COMPUTED_VALUE"""),8.602)</f>
        <v>8.602</v>
      </c>
      <c r="X1187" s="14">
        <f>IFERROR(__xludf.DUMMYFUNCTION("""COMPUTED_VALUE"""),20.2)</f>
        <v>20.2</v>
      </c>
      <c r="Y1187" s="14">
        <f>IFERROR(__xludf.DUMMYFUNCTION("""COMPUTED_VALUE"""),20.6)</f>
        <v>20.6</v>
      </c>
      <c r="Z1187" s="14">
        <f>IFERROR(__xludf.DUMMYFUNCTION("""COMPUTED_VALUE"""),20.7)</f>
        <v>20.7</v>
      </c>
      <c r="AA1187" s="14">
        <f>IFERROR(__xludf.DUMMYFUNCTION("""COMPUTED_VALUE"""),20.6)</f>
        <v>20.6</v>
      </c>
      <c r="AB1187" s="14">
        <f>IFERROR(__xludf.DUMMYFUNCTION("""COMPUTED_VALUE"""),20.8)</f>
        <v>20.8</v>
      </c>
      <c r="AC1187" s="14">
        <f>IFERROR(__xludf.DUMMYFUNCTION("""COMPUTED_VALUE"""),20.58)</f>
        <v>20.58</v>
      </c>
      <c r="AD1187" s="48">
        <f>IFERROR(__xludf.DUMMYFUNCTION("""COMPUTED_VALUE"""),651.0)</f>
        <v>651</v>
      </c>
      <c r="AE1187" s="48">
        <f>IFERROR(__xludf.DUMMYFUNCTION("""COMPUTED_VALUE"""),648.0)</f>
        <v>648</v>
      </c>
      <c r="AF1187" s="48">
        <f>IFERROR(__xludf.DUMMYFUNCTION("""COMPUTED_VALUE"""),656.0)</f>
        <v>656</v>
      </c>
      <c r="AG1187" s="48">
        <f>IFERROR(__xludf.DUMMYFUNCTION("""COMPUTED_VALUE"""),660.0)</f>
        <v>660</v>
      </c>
      <c r="AH1187" s="48">
        <f>IFERROR(__xludf.DUMMYFUNCTION("""COMPUTED_VALUE"""),643.0)</f>
        <v>643</v>
      </c>
      <c r="AI1187" s="14">
        <f>IFERROR(__xludf.DUMMYFUNCTION("""COMPUTED_VALUE"""),651.6)</f>
        <v>651.6</v>
      </c>
      <c r="AJ1187" s="14">
        <f>IFERROR(__xludf.DUMMYFUNCTION("""COMPUTED_VALUE"""),0.8)</f>
        <v>0.8</v>
      </c>
      <c r="AK1187" s="14">
        <f>IFERROR(__xludf.DUMMYFUNCTION("""COMPUTED_VALUE"""),0.97)</f>
        <v>0.97</v>
      </c>
      <c r="AL1187" s="14">
        <f>IFERROR(__xludf.DUMMYFUNCTION("""COMPUTED_VALUE"""),0.96)</f>
        <v>0.96</v>
      </c>
      <c r="AM1187" s="14">
        <f>IFERROR(__xludf.DUMMYFUNCTION("""COMPUTED_VALUE"""),0.99)</f>
        <v>0.99</v>
      </c>
      <c r="AN1187" s="14">
        <f>IFERROR(__xludf.DUMMYFUNCTION("""COMPUTED_VALUE"""),0.93)</f>
        <v>0.93</v>
      </c>
      <c r="AO1187" s="14">
        <f>IFERROR(__xludf.DUMMYFUNCTION("""COMPUTED_VALUE"""),0.9299999999999999)</f>
        <v>0.93</v>
      </c>
      <c r="AP1187" s="14">
        <f>IFERROR(__xludf.DUMMYFUNCTION("""COMPUTED_VALUE"""),353.0)</f>
        <v>353</v>
      </c>
      <c r="AQ1187" s="14">
        <f>IFERROR(__xludf.DUMMYFUNCTION("""COMPUTED_VALUE"""),436.0)</f>
        <v>436</v>
      </c>
      <c r="AR1187" s="14">
        <f>IFERROR(__xludf.DUMMYFUNCTION("""COMPUTED_VALUE"""),276.0)</f>
        <v>276</v>
      </c>
      <c r="AS1187" s="14">
        <f>IFERROR(__xludf.DUMMYFUNCTION("""COMPUTED_VALUE"""),14.8)</f>
        <v>14.8</v>
      </c>
      <c r="AT1187" s="14">
        <f>IFERROR(__xludf.DUMMYFUNCTION("""COMPUTED_VALUE"""),2.85)</f>
        <v>2.85</v>
      </c>
      <c r="AU1187" s="14">
        <f>IFERROR(__xludf.DUMMYFUNCTION("""COMPUTED_VALUE"""),1.497E8)</f>
        <v>149700000</v>
      </c>
      <c r="AV1187" s="14">
        <f>IFERROR(__xludf.DUMMYFUNCTION("""COMPUTED_VALUE"""),6.87)</f>
        <v>6.87</v>
      </c>
      <c r="AW1187" s="14">
        <f>IFERROR(__xludf.DUMMYFUNCTION("""COMPUTED_VALUE"""),68.3)</f>
        <v>68.3</v>
      </c>
      <c r="AX1187" s="14">
        <f>IFERROR(__xludf.DUMMYFUNCTION("""COMPUTED_VALUE"""),1.1E8)</f>
        <v>110000000</v>
      </c>
      <c r="AY1187" s="14">
        <f>IFERROR(__xludf.DUMMYFUNCTION("""COMPUTED_VALUE"""),0.7)</f>
        <v>0.7</v>
      </c>
      <c r="AZ1187" s="14">
        <f>IFERROR(__xludf.DUMMYFUNCTION("""COMPUTED_VALUE"""),0.007)</f>
        <v>0.007</v>
      </c>
      <c r="BA1187" s="14">
        <f t="shared" si="1"/>
        <v>69.007</v>
      </c>
    </row>
    <row r="1188" ht="14.25" customHeight="1">
      <c r="A1188" s="10" t="str">
        <f>IFERROR(__xludf.DUMMYFUNCTION("""COMPUTED_VALUE"""),"170924DU02")</f>
        <v>170924DU02</v>
      </c>
      <c r="B1188" s="12" t="str">
        <f>IFERROR(__xludf.DUMMYFUNCTION("""COMPUTED_VALUE"""),"QZA-Meissen")</f>
        <v>QZA-Meissen</v>
      </c>
      <c r="C1188" s="12"/>
      <c r="D1188" s="12"/>
      <c r="E1188" s="44">
        <f>IFERROR(__xludf.DUMMYFUNCTION("""COMPUTED_VALUE"""),45552.0)</f>
        <v>45552</v>
      </c>
      <c r="F1188" s="12" t="str">
        <f>IFERROR(__xludf.DUMMYFUNCTION("""COMPUTED_VALUE"""),"TIPO I")</f>
        <v>TIPO I</v>
      </c>
      <c r="G1188" s="12" t="str">
        <f>IFERROR(__xludf.DUMMYFUNCTION("""COMPUTED_VALUE"""),"Durante el monitoreo se observa color y se percibe olor. 
Altitud: 2649 msnm")</f>
        <v>Durante el monitoreo se observa color y se percibe olor. 
Altitud: 2649 msnm</v>
      </c>
      <c r="H1188" s="45">
        <f>IFERROR(__xludf.DUMMYFUNCTION("""COMPUTED_VALUE"""),0.5)</f>
        <v>0.5</v>
      </c>
      <c r="I1188" s="45">
        <f>IFERROR(__xludf.DUMMYFUNCTION("""COMPUTED_VALUE"""),0.5833333333321207)</f>
        <v>0.5833333333</v>
      </c>
      <c r="J1188" s="12">
        <f>IFERROR(__xludf.DUMMYFUNCTION("""COMPUTED_VALUE"""),12.0)</f>
        <v>12</v>
      </c>
      <c r="K1188" s="12">
        <f>IFERROR(__xludf.DUMMYFUNCTION("""COMPUTED_VALUE"""),0.08)</f>
        <v>0.08</v>
      </c>
      <c r="L1188" s="14">
        <f>IFERROR(__xludf.DUMMYFUNCTION("""COMPUTED_VALUE"""),353.538)</f>
        <v>353.538</v>
      </c>
      <c r="M1188" s="14">
        <f>IFERROR(__xludf.DUMMYFUNCTION("""COMPUTED_VALUE"""),354.388)</f>
        <v>354.388</v>
      </c>
      <c r="N1188" s="14">
        <f>IFERROR(__xludf.DUMMYFUNCTION("""COMPUTED_VALUE"""),357.938)</f>
        <v>357.938</v>
      </c>
      <c r="O1188" s="14">
        <f>IFERROR(__xludf.DUMMYFUNCTION("""COMPUTED_VALUE"""),358.425)</f>
        <v>358.425</v>
      </c>
      <c r="P1188" s="14">
        <f>IFERROR(__xludf.DUMMYFUNCTION("""COMPUTED_VALUE"""),359.804)</f>
        <v>359.804</v>
      </c>
      <c r="Q1188" s="14">
        <f>IFERROR(__xludf.DUMMYFUNCTION("""COMPUTED_VALUE"""),356.819)</f>
        <v>356.819</v>
      </c>
      <c r="R1188" s="48">
        <f>IFERROR(__xludf.DUMMYFUNCTION("""COMPUTED_VALUE"""),8.42)</f>
        <v>8.42</v>
      </c>
      <c r="S1188" s="48">
        <f>IFERROR(__xludf.DUMMYFUNCTION("""COMPUTED_VALUE"""),8.39)</f>
        <v>8.39</v>
      </c>
      <c r="T1188" s="48">
        <f>IFERROR(__xludf.DUMMYFUNCTION("""COMPUTED_VALUE"""),8.32)</f>
        <v>8.32</v>
      </c>
      <c r="U1188" s="48">
        <f>IFERROR(__xludf.DUMMYFUNCTION("""COMPUTED_VALUE"""),8.38)</f>
        <v>8.38</v>
      </c>
      <c r="V1188" s="48">
        <f>IFERROR(__xludf.DUMMYFUNCTION("""COMPUTED_VALUE"""),8.31)</f>
        <v>8.31</v>
      </c>
      <c r="W1188" s="14">
        <f>IFERROR(__xludf.DUMMYFUNCTION("""COMPUTED_VALUE"""),8.364)</f>
        <v>8.364</v>
      </c>
      <c r="X1188" s="14">
        <f>IFERROR(__xludf.DUMMYFUNCTION("""COMPUTED_VALUE"""),20.4)</f>
        <v>20.4</v>
      </c>
      <c r="Y1188" s="14">
        <f>IFERROR(__xludf.DUMMYFUNCTION("""COMPUTED_VALUE"""),21.1)</f>
        <v>21.1</v>
      </c>
      <c r="Z1188" s="14">
        <f>IFERROR(__xludf.DUMMYFUNCTION("""COMPUTED_VALUE"""),20.7)</f>
        <v>20.7</v>
      </c>
      <c r="AA1188" s="14">
        <f>IFERROR(__xludf.DUMMYFUNCTION("""COMPUTED_VALUE"""),21.6)</f>
        <v>21.6</v>
      </c>
      <c r="AB1188" s="14">
        <f>IFERROR(__xludf.DUMMYFUNCTION("""COMPUTED_VALUE"""),22.9)</f>
        <v>22.9</v>
      </c>
      <c r="AC1188" s="14">
        <f>IFERROR(__xludf.DUMMYFUNCTION("""COMPUTED_VALUE"""),21.340000000000003)</f>
        <v>21.34</v>
      </c>
      <c r="AD1188" s="48">
        <f>IFERROR(__xludf.DUMMYFUNCTION("""COMPUTED_VALUE"""),712.0)</f>
        <v>712</v>
      </c>
      <c r="AE1188" s="48">
        <f>IFERROR(__xludf.DUMMYFUNCTION("""COMPUTED_VALUE"""),718.0)</f>
        <v>718</v>
      </c>
      <c r="AF1188" s="48">
        <f>IFERROR(__xludf.DUMMYFUNCTION("""COMPUTED_VALUE"""),723.0)</f>
        <v>723</v>
      </c>
      <c r="AG1188" s="48">
        <f>IFERROR(__xludf.DUMMYFUNCTION("""COMPUTED_VALUE"""),704.0)</f>
        <v>704</v>
      </c>
      <c r="AH1188" s="48">
        <f>IFERROR(__xludf.DUMMYFUNCTION("""COMPUTED_VALUE"""),707.0)</f>
        <v>707</v>
      </c>
      <c r="AI1188" s="14">
        <f>IFERROR(__xludf.DUMMYFUNCTION("""COMPUTED_VALUE"""),712.8)</f>
        <v>712.8</v>
      </c>
      <c r="AJ1188" s="14">
        <f>IFERROR(__xludf.DUMMYFUNCTION("""COMPUTED_VALUE"""),1.4)</f>
        <v>1.4</v>
      </c>
      <c r="AK1188" s="14">
        <f>IFERROR(__xludf.DUMMYFUNCTION("""COMPUTED_VALUE"""),1.37)</f>
        <v>1.37</v>
      </c>
      <c r="AL1188" s="14">
        <f>IFERROR(__xludf.DUMMYFUNCTION("""COMPUTED_VALUE"""),1.17)</f>
        <v>1.17</v>
      </c>
      <c r="AM1188" s="14">
        <f>IFERROR(__xludf.DUMMYFUNCTION("""COMPUTED_VALUE"""),1.34)</f>
        <v>1.34</v>
      </c>
      <c r="AN1188" s="14">
        <f>IFERROR(__xludf.DUMMYFUNCTION("""COMPUTED_VALUE"""),1.5)</f>
        <v>1.5</v>
      </c>
      <c r="AO1188" s="14">
        <f>IFERROR(__xludf.DUMMYFUNCTION("""COMPUTED_VALUE"""),1.356)</f>
        <v>1.356</v>
      </c>
      <c r="AP1188" s="14">
        <f>IFERROR(__xludf.DUMMYFUNCTION("""COMPUTED_VALUE"""),128.0)</f>
        <v>128</v>
      </c>
      <c r="AQ1188" s="14">
        <f>IFERROR(__xludf.DUMMYFUNCTION("""COMPUTED_VALUE"""),200.0)</f>
        <v>200</v>
      </c>
      <c r="AR1188" s="14">
        <f>IFERROR(__xludf.DUMMYFUNCTION("""COMPUTED_VALUE"""),70.0)</f>
        <v>70</v>
      </c>
      <c r="AS1188" s="14">
        <f>IFERROR(__xludf.DUMMYFUNCTION("""COMPUTED_VALUE"""),14.3)</f>
        <v>14.3</v>
      </c>
      <c r="AT1188" s="14">
        <f>IFERROR(__xludf.DUMMYFUNCTION("""COMPUTED_VALUE"""),3.5)</f>
        <v>3.5</v>
      </c>
      <c r="AU1188" s="14">
        <f>IFERROR(__xludf.DUMMYFUNCTION("""COMPUTED_VALUE"""),910000.0)</f>
        <v>910000</v>
      </c>
      <c r="AV1188" s="14">
        <f>IFERROR(__xludf.DUMMYFUNCTION("""COMPUTED_VALUE"""),3.77)</f>
        <v>3.77</v>
      </c>
      <c r="AW1188" s="14">
        <f>IFERROR(__xludf.DUMMYFUNCTION("""COMPUTED_VALUE"""),57.1)</f>
        <v>57.1</v>
      </c>
      <c r="AX1188" s="14">
        <f>IFERROR(__xludf.DUMMYFUNCTION("""COMPUTED_VALUE"""),59400.0)</f>
        <v>59400</v>
      </c>
      <c r="AY1188" s="14">
        <f>IFERROR(__xludf.DUMMYFUNCTION("""COMPUTED_VALUE"""),0.4)</f>
        <v>0.4</v>
      </c>
      <c r="AZ1188" s="14">
        <f>IFERROR(__xludf.DUMMYFUNCTION("""COMPUTED_VALUE"""),0.007)</f>
        <v>0.007</v>
      </c>
      <c r="BA1188" s="14">
        <f t="shared" si="1"/>
        <v>57.507</v>
      </c>
    </row>
    <row r="1189" ht="14.25" customHeight="1">
      <c r="A1189" s="10" t="str">
        <f>IFERROR(__xludf.DUMMYFUNCTION("""COMPUTED_VALUE"""),"081024FE02")</f>
        <v>081024FE02</v>
      </c>
      <c r="B1189" s="12" t="str">
        <f>IFERROR(__xludf.DUMMYFUNCTION("""COMPUTED_VALUE"""),"QTR-Mochuelo Bajo")</f>
        <v>QTR-Mochuelo Bajo</v>
      </c>
      <c r="C1189" s="12"/>
      <c r="D1189" s="12"/>
      <c r="E1189" s="44">
        <f>IFERROR(__xludf.DUMMYFUNCTION("""COMPUTED_VALUE"""),45573.0)</f>
        <v>45573</v>
      </c>
      <c r="F1189" s="12" t="str">
        <f>IFERROR(__xludf.DUMMYFUNCTION("""COMPUTED_VALUE"""),"TIPO I")</f>
        <v>TIPO I</v>
      </c>
      <c r="G1189" s="12" t="str">
        <f>IFERROR(__xludf.DUMMYFUNCTION("""COMPUTED_VALUE"""),"Lecho natural rocoso, arenoso.
Durante el monitoreo se observa color y se percibe olor.
Presencia de residuos sólidos en el cauce.
Altitud: 2647 msnm.")</f>
        <v>Lecho natural rocoso, arenoso.
Durante el monitoreo se observa color y se percibe olor.
Presencia de residuos sólidos en el cauce.
Altitud: 2647 msnm.</v>
      </c>
      <c r="H1189" s="45">
        <f>IFERROR(__xludf.DUMMYFUNCTION("""COMPUTED_VALUE"""),0.4166666666678793)</f>
        <v>0.4166666667</v>
      </c>
      <c r="I1189" s="45">
        <f>IFERROR(__xludf.DUMMYFUNCTION("""COMPUTED_VALUE"""),0.5)</f>
        <v>0.5</v>
      </c>
      <c r="J1189" s="12">
        <f>IFERROR(__xludf.DUMMYFUNCTION("""COMPUTED_VALUE"""),1.1)</f>
        <v>1.1</v>
      </c>
      <c r="K1189" s="12">
        <f>IFERROR(__xludf.DUMMYFUNCTION("""COMPUTED_VALUE"""),0.2)</f>
        <v>0.2</v>
      </c>
      <c r="L1189" s="14">
        <f>IFERROR(__xludf.DUMMYFUNCTION("""COMPUTED_VALUE"""),32.974)</f>
        <v>32.974</v>
      </c>
      <c r="M1189" s="14">
        <f>IFERROR(__xludf.DUMMYFUNCTION("""COMPUTED_VALUE"""),32.422)</f>
        <v>32.422</v>
      </c>
      <c r="N1189" s="14">
        <f>IFERROR(__xludf.DUMMYFUNCTION("""COMPUTED_VALUE"""),30.019)</f>
        <v>30.019</v>
      </c>
      <c r="O1189" s="14">
        <f>IFERROR(__xludf.DUMMYFUNCTION("""COMPUTED_VALUE"""),28.319)</f>
        <v>28.319</v>
      </c>
      <c r="P1189" s="14">
        <f>IFERROR(__xludf.DUMMYFUNCTION("""COMPUTED_VALUE"""),28.964)</f>
        <v>28.964</v>
      </c>
      <c r="Q1189" s="14">
        <f>IFERROR(__xludf.DUMMYFUNCTION("""COMPUTED_VALUE"""),30.539)</f>
        <v>30.539</v>
      </c>
      <c r="R1189" s="48">
        <f>IFERROR(__xludf.DUMMYFUNCTION("""COMPUTED_VALUE"""),8.12)</f>
        <v>8.12</v>
      </c>
      <c r="S1189" s="48">
        <f>IFERROR(__xludf.DUMMYFUNCTION("""COMPUTED_VALUE"""),8.15)</f>
        <v>8.15</v>
      </c>
      <c r="T1189" s="48">
        <f>IFERROR(__xludf.DUMMYFUNCTION("""COMPUTED_VALUE"""),8.09)</f>
        <v>8.09</v>
      </c>
      <c r="U1189" s="48">
        <f>IFERROR(__xludf.DUMMYFUNCTION("""COMPUTED_VALUE"""),8.17)</f>
        <v>8.17</v>
      </c>
      <c r="V1189" s="48">
        <f>IFERROR(__xludf.DUMMYFUNCTION("""COMPUTED_VALUE"""),8.06)</f>
        <v>8.06</v>
      </c>
      <c r="W1189" s="14">
        <f>IFERROR(__xludf.DUMMYFUNCTION("""COMPUTED_VALUE"""),8.118)</f>
        <v>8.118</v>
      </c>
      <c r="X1189" s="14">
        <f>IFERROR(__xludf.DUMMYFUNCTION("""COMPUTED_VALUE"""),15.2)</f>
        <v>15.2</v>
      </c>
      <c r="Y1189" s="14">
        <f>IFERROR(__xludf.DUMMYFUNCTION("""COMPUTED_VALUE"""),15.8)</f>
        <v>15.8</v>
      </c>
      <c r="Z1189" s="14">
        <f>IFERROR(__xludf.DUMMYFUNCTION("""COMPUTED_VALUE"""),16.0)</f>
        <v>16</v>
      </c>
      <c r="AA1189" s="14">
        <f>IFERROR(__xludf.DUMMYFUNCTION("""COMPUTED_VALUE"""),15.8)</f>
        <v>15.8</v>
      </c>
      <c r="AB1189" s="14">
        <f>IFERROR(__xludf.DUMMYFUNCTION("""COMPUTED_VALUE"""),15.9)</f>
        <v>15.9</v>
      </c>
      <c r="AC1189" s="14">
        <f>IFERROR(__xludf.DUMMYFUNCTION("""COMPUTED_VALUE"""),15.74)</f>
        <v>15.74</v>
      </c>
      <c r="AD1189" s="48">
        <f>IFERROR(__xludf.DUMMYFUNCTION("""COMPUTED_VALUE"""),547.0)</f>
        <v>547</v>
      </c>
      <c r="AE1189" s="48">
        <f>IFERROR(__xludf.DUMMYFUNCTION("""COMPUTED_VALUE"""),523.0)</f>
        <v>523</v>
      </c>
      <c r="AF1189" s="48">
        <f>IFERROR(__xludf.DUMMYFUNCTION("""COMPUTED_VALUE"""),301.0)</f>
        <v>301</v>
      </c>
      <c r="AG1189" s="48">
        <f>IFERROR(__xludf.DUMMYFUNCTION("""COMPUTED_VALUE"""),506.0)</f>
        <v>506</v>
      </c>
      <c r="AH1189" s="48">
        <f>IFERROR(__xludf.DUMMYFUNCTION("""COMPUTED_VALUE"""),520.0)</f>
        <v>520</v>
      </c>
      <c r="AI1189" s="14">
        <f>IFERROR(__xludf.DUMMYFUNCTION("""COMPUTED_VALUE"""),479.4)</f>
        <v>479.4</v>
      </c>
      <c r="AJ1189" s="14">
        <f>IFERROR(__xludf.DUMMYFUNCTION("""COMPUTED_VALUE"""),5.6)</f>
        <v>5.6</v>
      </c>
      <c r="AK1189" s="14">
        <f>IFERROR(__xludf.DUMMYFUNCTION("""COMPUTED_VALUE"""),5.2)</f>
        <v>5.2</v>
      </c>
      <c r="AL1189" s="14">
        <f>IFERROR(__xludf.DUMMYFUNCTION("""COMPUTED_VALUE"""),4.8)</f>
        <v>4.8</v>
      </c>
      <c r="AM1189" s="14">
        <f>IFERROR(__xludf.DUMMYFUNCTION("""COMPUTED_VALUE"""),5.2)</f>
        <v>5.2</v>
      </c>
      <c r="AN1189" s="14">
        <f>IFERROR(__xludf.DUMMYFUNCTION("""COMPUTED_VALUE"""),5.4)</f>
        <v>5.4</v>
      </c>
      <c r="AO1189" s="14">
        <f>IFERROR(__xludf.DUMMYFUNCTION("""COMPUTED_VALUE"""),5.24)</f>
        <v>5.24</v>
      </c>
      <c r="AP1189" s="14">
        <f>IFERROR(__xludf.DUMMYFUNCTION("""COMPUTED_VALUE"""),28.0)</f>
        <v>28</v>
      </c>
      <c r="AQ1189" s="14">
        <f>IFERROR(__xludf.DUMMYFUNCTION("""COMPUTED_VALUE"""),82.0)</f>
        <v>82</v>
      </c>
      <c r="AR1189" s="14">
        <f>IFERROR(__xludf.DUMMYFUNCTION("""COMPUTED_VALUE"""),226.0)</f>
        <v>226</v>
      </c>
      <c r="AS1189" s="14">
        <f>IFERROR(__xludf.DUMMYFUNCTION("""COMPUTED_VALUE"""),11.6)</f>
        <v>11.6</v>
      </c>
      <c r="AT1189" s="14">
        <f>IFERROR(__xludf.DUMMYFUNCTION("""COMPUTED_VALUE"""),3.03)</f>
        <v>3.03</v>
      </c>
      <c r="AU1189" s="14">
        <f>IFERROR(__xludf.DUMMYFUNCTION("""COMPUTED_VALUE"""),8050000.0)</f>
        <v>8050000</v>
      </c>
      <c r="AV1189" s="14">
        <f>IFERROR(__xludf.DUMMYFUNCTION("""COMPUTED_VALUE"""),2.11)</f>
        <v>2.11</v>
      </c>
      <c r="AW1189" s="14">
        <f>IFERROR(__xludf.DUMMYFUNCTION("""COMPUTED_VALUE"""),30.2)</f>
        <v>30.2</v>
      </c>
      <c r="AX1189" s="14">
        <f>IFERROR(__xludf.DUMMYFUNCTION("""COMPUTED_VALUE"""),5120000.0)</f>
        <v>5120000</v>
      </c>
      <c r="AY1189" s="14">
        <f>IFERROR(__xludf.DUMMYFUNCTION("""COMPUTED_VALUE"""),0.8)</f>
        <v>0.8</v>
      </c>
      <c r="AZ1189" s="14">
        <f>IFERROR(__xludf.DUMMYFUNCTION("""COMPUTED_VALUE"""),0.007)</f>
        <v>0.007</v>
      </c>
      <c r="BA1189" s="14">
        <f t="shared" si="1"/>
        <v>31.007</v>
      </c>
    </row>
    <row r="1190" ht="14.25" customHeight="1">
      <c r="A1190" s="10" t="str">
        <f>IFERROR(__xludf.DUMMYFUNCTION("""COMPUTED_VALUE"""),"300924FM03")</f>
        <v>300924FM03</v>
      </c>
      <c r="B1190" s="12" t="str">
        <f>IFERROR(__xludf.DUMMYFUNCTION("""COMPUTED_VALUE"""),"QZA-Quindío")</f>
        <v>QZA-Quindío</v>
      </c>
      <c r="C1190" s="12"/>
      <c r="D1190" s="12"/>
      <c r="E1190" s="44">
        <f>IFERROR(__xludf.DUMMYFUNCTION("""COMPUTED_VALUE"""),45565.0)</f>
        <v>45565</v>
      </c>
      <c r="F1190" s="12" t="str">
        <f>IFERROR(__xludf.DUMMYFUNCTION("""COMPUTED_VALUE"""),"TIPO I")</f>
        <v>TIPO I</v>
      </c>
      <c r="G1190" s="12" t="str">
        <f>IFERROR(__xludf.DUMMYFUNCTION("""COMPUTED_VALUE"""),"Durante el monitoreo se observa color, residuos sólidos en el punto y no se percibe olor. 
Altitud: 2954 msnm ")</f>
        <v>Durante el monitoreo se observa color, residuos sólidos en el punto y no se percibe olor. 
Altitud: 2954 msnm </v>
      </c>
      <c r="H1190" s="45">
        <f>IFERROR(__xludf.DUMMYFUNCTION("""COMPUTED_VALUE"""),0.5833333333321207)</f>
        <v>0.5833333333</v>
      </c>
      <c r="I1190" s="45">
        <f>IFERROR(__xludf.DUMMYFUNCTION("""COMPUTED_VALUE"""),0.6666666666678793)</f>
        <v>0.6666666667</v>
      </c>
      <c r="J1190" s="12">
        <f>IFERROR(__xludf.DUMMYFUNCTION("""COMPUTED_VALUE"""),0.7)</f>
        <v>0.7</v>
      </c>
      <c r="K1190" s="12">
        <f>IFERROR(__xludf.DUMMYFUNCTION("""COMPUTED_VALUE"""),0.15)</f>
        <v>0.15</v>
      </c>
      <c r="L1190" s="14">
        <f>IFERROR(__xludf.DUMMYFUNCTION("""COMPUTED_VALUE"""),13.292)</f>
        <v>13.292</v>
      </c>
      <c r="M1190" s="14">
        <f>IFERROR(__xludf.DUMMYFUNCTION("""COMPUTED_VALUE"""),15.544)</f>
        <v>15.544</v>
      </c>
      <c r="N1190" s="14">
        <f>IFERROR(__xludf.DUMMYFUNCTION("""COMPUTED_VALUE"""),15.689)</f>
        <v>15.689</v>
      </c>
      <c r="O1190" s="14">
        <f>IFERROR(__xludf.DUMMYFUNCTION("""COMPUTED_VALUE"""),15.497)</f>
        <v>15.497</v>
      </c>
      <c r="P1190" s="14">
        <f>IFERROR(__xludf.DUMMYFUNCTION("""COMPUTED_VALUE"""),16.114)</f>
        <v>16.114</v>
      </c>
      <c r="Q1190" s="14">
        <f>IFERROR(__xludf.DUMMYFUNCTION("""COMPUTED_VALUE"""),15.227)</f>
        <v>15.227</v>
      </c>
      <c r="R1190" s="48">
        <f>IFERROR(__xludf.DUMMYFUNCTION("""COMPUTED_VALUE"""),8.02)</f>
        <v>8.02</v>
      </c>
      <c r="S1190" s="48">
        <f>IFERROR(__xludf.DUMMYFUNCTION("""COMPUTED_VALUE"""),7.41)</f>
        <v>7.41</v>
      </c>
      <c r="T1190" s="48">
        <f>IFERROR(__xludf.DUMMYFUNCTION("""COMPUTED_VALUE"""),7.38)</f>
        <v>7.38</v>
      </c>
      <c r="U1190" s="48">
        <f>IFERROR(__xludf.DUMMYFUNCTION("""COMPUTED_VALUE"""),7.67)</f>
        <v>7.67</v>
      </c>
      <c r="V1190" s="48">
        <f>IFERROR(__xludf.DUMMYFUNCTION("""COMPUTED_VALUE"""),7.68)</f>
        <v>7.68</v>
      </c>
      <c r="W1190" s="14">
        <f>IFERROR(__xludf.DUMMYFUNCTION("""COMPUTED_VALUE"""),7.632)</f>
        <v>7.632</v>
      </c>
      <c r="X1190" s="14">
        <f>IFERROR(__xludf.DUMMYFUNCTION("""COMPUTED_VALUE"""),13.1)</f>
        <v>13.1</v>
      </c>
      <c r="Y1190" s="14">
        <f>IFERROR(__xludf.DUMMYFUNCTION("""COMPUTED_VALUE"""),12.8)</f>
        <v>12.8</v>
      </c>
      <c r="Z1190" s="14">
        <f>IFERROR(__xludf.DUMMYFUNCTION("""COMPUTED_VALUE"""),12.2)</f>
        <v>12.2</v>
      </c>
      <c r="AA1190" s="14">
        <f>IFERROR(__xludf.DUMMYFUNCTION("""COMPUTED_VALUE"""),11.9)</f>
        <v>11.9</v>
      </c>
      <c r="AB1190" s="14">
        <f>IFERROR(__xludf.DUMMYFUNCTION("""COMPUTED_VALUE"""),11.7)</f>
        <v>11.7</v>
      </c>
      <c r="AC1190" s="14">
        <f>IFERROR(__xludf.DUMMYFUNCTION("""COMPUTED_VALUE"""),12.339999999999998)</f>
        <v>12.34</v>
      </c>
      <c r="AD1190" s="48">
        <f>IFERROR(__xludf.DUMMYFUNCTION("""COMPUTED_VALUE"""),64.5)</f>
        <v>64.5</v>
      </c>
      <c r="AE1190" s="48">
        <f>IFERROR(__xludf.DUMMYFUNCTION("""COMPUTED_VALUE"""),63.4)</f>
        <v>63.4</v>
      </c>
      <c r="AF1190" s="48">
        <f>IFERROR(__xludf.DUMMYFUNCTION("""COMPUTED_VALUE"""),64.0)</f>
        <v>64</v>
      </c>
      <c r="AG1190" s="48">
        <f>IFERROR(__xludf.DUMMYFUNCTION("""COMPUTED_VALUE"""),62.8)</f>
        <v>62.8</v>
      </c>
      <c r="AH1190" s="48">
        <f>IFERROR(__xludf.DUMMYFUNCTION("""COMPUTED_VALUE"""),71.5)</f>
        <v>71.5</v>
      </c>
      <c r="AI1190" s="14">
        <f>IFERROR(__xludf.DUMMYFUNCTION("""COMPUTED_VALUE"""),65.24)</f>
        <v>65.24</v>
      </c>
      <c r="AJ1190" s="14">
        <f>IFERROR(__xludf.DUMMYFUNCTION("""COMPUTED_VALUE"""),3.39)</f>
        <v>3.39</v>
      </c>
      <c r="AK1190" s="14">
        <f>IFERROR(__xludf.DUMMYFUNCTION("""COMPUTED_VALUE"""),3.26)</f>
        <v>3.26</v>
      </c>
      <c r="AL1190" s="14">
        <f>IFERROR(__xludf.DUMMYFUNCTION("""COMPUTED_VALUE"""),3.57)</f>
        <v>3.57</v>
      </c>
      <c r="AM1190" s="14">
        <f>IFERROR(__xludf.DUMMYFUNCTION("""COMPUTED_VALUE"""),3.92)</f>
        <v>3.92</v>
      </c>
      <c r="AN1190" s="14">
        <f>IFERROR(__xludf.DUMMYFUNCTION("""COMPUTED_VALUE"""),4.05)</f>
        <v>4.05</v>
      </c>
      <c r="AO1190" s="14">
        <f>IFERROR(__xludf.DUMMYFUNCTION("""COMPUTED_VALUE"""),3.6380000000000003)</f>
        <v>3.638</v>
      </c>
      <c r="AP1190" s="14">
        <f>IFERROR(__xludf.DUMMYFUNCTION("""COMPUTED_VALUE"""),3.0)</f>
        <v>3</v>
      </c>
      <c r="AQ1190" s="14">
        <f>IFERROR(__xludf.DUMMYFUNCTION("""COMPUTED_VALUE"""),17.0)</f>
        <v>17</v>
      </c>
      <c r="AR1190" s="14">
        <f>IFERROR(__xludf.DUMMYFUNCTION("""COMPUTED_VALUE"""),34.0)</f>
        <v>34</v>
      </c>
      <c r="AS1190" s="14">
        <f>IFERROR(__xludf.DUMMYFUNCTION("""COMPUTED_VALUE"""),8.1)</f>
        <v>8.1</v>
      </c>
      <c r="AT1190" s="14">
        <f>IFERROR(__xludf.DUMMYFUNCTION("""COMPUTED_VALUE"""),0.07)</f>
        <v>0.07</v>
      </c>
      <c r="AU1190" s="14">
        <f>IFERROR(__xludf.DUMMYFUNCTION("""COMPUTED_VALUE"""),695.0)</f>
        <v>695</v>
      </c>
      <c r="AV1190" s="14">
        <f>IFERROR(__xludf.DUMMYFUNCTION("""COMPUTED_VALUE"""),0.06)</f>
        <v>0.06</v>
      </c>
      <c r="AW1190" s="14">
        <f>IFERROR(__xludf.DUMMYFUNCTION("""COMPUTED_VALUE"""),1.0)</f>
        <v>1</v>
      </c>
      <c r="AX1190" s="14">
        <f>IFERROR(__xludf.DUMMYFUNCTION("""COMPUTED_VALUE"""),23.5)</f>
        <v>23.5</v>
      </c>
      <c r="AY1190" s="14">
        <f>IFERROR(__xludf.DUMMYFUNCTION("""COMPUTED_VALUE"""),1.2)</f>
        <v>1.2</v>
      </c>
      <c r="AZ1190" s="14">
        <f>IFERROR(__xludf.DUMMYFUNCTION("""COMPUTED_VALUE"""),0.022)</f>
        <v>0.022</v>
      </c>
      <c r="BA1190" s="14">
        <f t="shared" si="1"/>
        <v>2.222</v>
      </c>
    </row>
    <row r="1191" ht="14.25" customHeight="1">
      <c r="A1191" s="10" t="str">
        <f>IFERROR(__xludf.DUMMYFUNCTION("""COMPUTED_VALUE"""),"071024FM01")</f>
        <v>071024FM01</v>
      </c>
      <c r="B1191" s="12" t="str">
        <f>IFERROR(__xludf.DUMMYFUNCTION("""COMPUTED_VALUE"""),"QCH-Cantarrana")</f>
        <v>QCH-Cantarrana</v>
      </c>
      <c r="C1191" s="12"/>
      <c r="D1191" s="12"/>
      <c r="E1191" s="44">
        <f>IFERROR(__xludf.DUMMYFUNCTION("""COMPUTED_VALUE"""),45572.0)</f>
        <v>45572</v>
      </c>
      <c r="F1191" s="12" t="str">
        <f>IFERROR(__xludf.DUMMYFUNCTION("""COMPUTED_VALUE"""),"TIPO I")</f>
        <v>TIPO I</v>
      </c>
      <c r="G1191" s="12" t="str">
        <f>IFERROR(__xludf.DUMMYFUNCTION("""COMPUTED_VALUE"""),"estructura natural lecho rocoso-arenoso se percibe olor, se observa color, se observan residuos solidos en las margenes y se observa espuma en el cauce.
")</f>
        <v>estructura natural lecho rocoso-arenoso se percibe olor, se observa color, se observan residuos solidos en las margenes y se observa espuma en el cauce.
</v>
      </c>
      <c r="H1191" s="45">
        <f>IFERROR(__xludf.DUMMYFUNCTION("""COMPUTED_VALUE"""),0.3333333333321207)</f>
        <v>0.3333333333</v>
      </c>
      <c r="I1191" s="45">
        <f>IFERROR(__xludf.DUMMYFUNCTION("""COMPUTED_VALUE"""),0.4166666666678793)</f>
        <v>0.4166666667</v>
      </c>
      <c r="J1191" s="12">
        <f>IFERROR(__xludf.DUMMYFUNCTION("""COMPUTED_VALUE"""),0.42)</f>
        <v>0.42</v>
      </c>
      <c r="K1191" s="12">
        <f>IFERROR(__xludf.DUMMYFUNCTION("""COMPUTED_VALUE"""),0.26)</f>
        <v>0.26</v>
      </c>
      <c r="L1191" s="14">
        <f>IFERROR(__xludf.DUMMYFUNCTION("""COMPUTED_VALUE"""),57.017)</f>
        <v>57.017</v>
      </c>
      <c r="M1191" s="14">
        <f>IFERROR(__xludf.DUMMYFUNCTION("""COMPUTED_VALUE"""),51.22)</f>
        <v>51.22</v>
      </c>
      <c r="N1191" s="14">
        <f>IFERROR(__xludf.DUMMYFUNCTION("""COMPUTED_VALUE"""),49.029)</f>
        <v>49.029</v>
      </c>
      <c r="O1191" s="14">
        <f>IFERROR(__xludf.DUMMYFUNCTION("""COMPUTED_VALUE"""),53.994)</f>
        <v>53.994</v>
      </c>
      <c r="P1191" s="14">
        <f>IFERROR(__xludf.DUMMYFUNCTION("""COMPUTED_VALUE"""),53.085)</f>
        <v>53.085</v>
      </c>
      <c r="Q1191" s="14">
        <f>IFERROR(__xludf.DUMMYFUNCTION("""COMPUTED_VALUE"""),52.869)</f>
        <v>52.869</v>
      </c>
      <c r="R1191" s="48">
        <f>IFERROR(__xludf.DUMMYFUNCTION("""COMPUTED_VALUE"""),8.98)</f>
        <v>8.98</v>
      </c>
      <c r="S1191" s="48">
        <f>IFERROR(__xludf.DUMMYFUNCTION("""COMPUTED_VALUE"""),8.95)</f>
        <v>8.95</v>
      </c>
      <c r="T1191" s="48">
        <f>IFERROR(__xludf.DUMMYFUNCTION("""COMPUTED_VALUE"""),8.84)</f>
        <v>8.84</v>
      </c>
      <c r="U1191" s="48">
        <f>IFERROR(__xludf.DUMMYFUNCTION("""COMPUTED_VALUE"""),8.93)</f>
        <v>8.93</v>
      </c>
      <c r="V1191" s="48">
        <f>IFERROR(__xludf.DUMMYFUNCTION("""COMPUTED_VALUE"""),8.9)</f>
        <v>8.9</v>
      </c>
      <c r="W1191" s="14">
        <f>IFERROR(__xludf.DUMMYFUNCTION("""COMPUTED_VALUE"""),8.92)</f>
        <v>8.92</v>
      </c>
      <c r="X1191" s="14">
        <f>IFERROR(__xludf.DUMMYFUNCTION("""COMPUTED_VALUE"""),15.7)</f>
        <v>15.7</v>
      </c>
      <c r="Y1191" s="14">
        <f>IFERROR(__xludf.DUMMYFUNCTION("""COMPUTED_VALUE"""),16.0)</f>
        <v>16</v>
      </c>
      <c r="Z1191" s="14">
        <f>IFERROR(__xludf.DUMMYFUNCTION("""COMPUTED_VALUE"""),16.1)</f>
        <v>16.1</v>
      </c>
      <c r="AA1191" s="14">
        <f>IFERROR(__xludf.DUMMYFUNCTION("""COMPUTED_VALUE"""),16.4)</f>
        <v>16.4</v>
      </c>
      <c r="AB1191" s="14">
        <f>IFERROR(__xludf.DUMMYFUNCTION("""COMPUTED_VALUE"""),16.6)</f>
        <v>16.6</v>
      </c>
      <c r="AC1191" s="14">
        <f>IFERROR(__xludf.DUMMYFUNCTION("""COMPUTED_VALUE"""),16.159999999999997)</f>
        <v>16.16</v>
      </c>
      <c r="AD1191" s="48">
        <f>IFERROR(__xludf.DUMMYFUNCTION("""COMPUTED_VALUE"""),843.0)</f>
        <v>843</v>
      </c>
      <c r="AE1191" s="48">
        <f>IFERROR(__xludf.DUMMYFUNCTION("""COMPUTED_VALUE"""),807.0)</f>
        <v>807</v>
      </c>
      <c r="AF1191" s="48">
        <f>IFERROR(__xludf.DUMMYFUNCTION("""COMPUTED_VALUE"""),813.0)</f>
        <v>813</v>
      </c>
      <c r="AG1191" s="48">
        <f>IFERROR(__xludf.DUMMYFUNCTION("""COMPUTED_VALUE"""),834.0)</f>
        <v>834</v>
      </c>
      <c r="AH1191" s="48">
        <f>IFERROR(__xludf.DUMMYFUNCTION("""COMPUTED_VALUE"""),837.0)</f>
        <v>837</v>
      </c>
      <c r="AI1191" s="14">
        <f>IFERROR(__xludf.DUMMYFUNCTION("""COMPUTED_VALUE"""),826.8)</f>
        <v>826.8</v>
      </c>
      <c r="AJ1191" s="14">
        <f>IFERROR(__xludf.DUMMYFUNCTION("""COMPUTED_VALUE"""),3.62)</f>
        <v>3.62</v>
      </c>
      <c r="AK1191" s="14">
        <f>IFERROR(__xludf.DUMMYFUNCTION("""COMPUTED_VALUE"""),3.87)</f>
        <v>3.87</v>
      </c>
      <c r="AL1191" s="14">
        <f>IFERROR(__xludf.DUMMYFUNCTION("""COMPUTED_VALUE"""),3.81)</f>
        <v>3.81</v>
      </c>
      <c r="AM1191" s="14">
        <f>IFERROR(__xludf.DUMMYFUNCTION("""COMPUTED_VALUE"""),4.05)</f>
        <v>4.05</v>
      </c>
      <c r="AN1191" s="14">
        <f>IFERROR(__xludf.DUMMYFUNCTION("""COMPUTED_VALUE"""),3.72)</f>
        <v>3.72</v>
      </c>
      <c r="AO1191" s="14">
        <f>IFERROR(__xludf.DUMMYFUNCTION("""COMPUTED_VALUE"""),3.814)</f>
        <v>3.814</v>
      </c>
      <c r="AP1191" s="14">
        <f>IFERROR(__xludf.DUMMYFUNCTION("""COMPUTED_VALUE"""),310.0)</f>
        <v>310</v>
      </c>
      <c r="AQ1191" s="14">
        <f>IFERROR(__xludf.DUMMYFUNCTION("""COMPUTED_VALUE"""),416.0)</f>
        <v>416</v>
      </c>
      <c r="AR1191" s="14">
        <f>IFERROR(__xludf.DUMMYFUNCTION("""COMPUTED_VALUE"""),183.0)</f>
        <v>183</v>
      </c>
      <c r="AS1191" s="14">
        <f>IFERROR(__xludf.DUMMYFUNCTION("""COMPUTED_VALUE"""),40.0)</f>
        <v>40</v>
      </c>
      <c r="AT1191" s="14">
        <f>IFERROR(__xludf.DUMMYFUNCTION("""COMPUTED_VALUE"""),3.32)</f>
        <v>3.32</v>
      </c>
      <c r="AU1191" s="14">
        <f>IFERROR(__xludf.DUMMYFUNCTION("""COMPUTED_VALUE"""),1.145E8)</f>
        <v>114500000</v>
      </c>
      <c r="AV1191" s="14">
        <f>IFERROR(__xludf.DUMMYFUNCTION("""COMPUTED_VALUE"""),9.22)</f>
        <v>9.22</v>
      </c>
      <c r="AW1191" s="14">
        <f>IFERROR(__xludf.DUMMYFUNCTION("""COMPUTED_VALUE"""),91.8)</f>
        <v>91.8</v>
      </c>
      <c r="AX1191" s="14">
        <f>IFERROR(__xludf.DUMMYFUNCTION("""COMPUTED_VALUE"""),5.12E7)</f>
        <v>51200000</v>
      </c>
      <c r="AY1191" s="14">
        <f>IFERROR(__xludf.DUMMYFUNCTION("""COMPUTED_VALUE"""),1.4)</f>
        <v>1.4</v>
      </c>
      <c r="AZ1191" s="14">
        <f>IFERROR(__xludf.DUMMYFUNCTION("""COMPUTED_VALUE"""),0.007)</f>
        <v>0.007</v>
      </c>
      <c r="BA1191" s="14">
        <f t="shared" si="1"/>
        <v>93.207</v>
      </c>
    </row>
    <row r="1192" ht="14.25" customHeight="1">
      <c r="A1192" s="10" t="str">
        <f>IFERROR(__xludf.DUMMYFUNCTION("""COMPUTED_VALUE"""),"081024FE03")</f>
        <v>081024FE03</v>
      </c>
      <c r="B1192" s="12" t="str">
        <f>IFERROR(__xludf.DUMMYFUNCTION("""COMPUTED_VALUE"""),"QTR-Quiba")</f>
        <v>QTR-Quiba</v>
      </c>
      <c r="C1192" s="12"/>
      <c r="D1192" s="12"/>
      <c r="E1192" s="44">
        <f>IFERROR(__xludf.DUMMYFUNCTION("""COMPUTED_VALUE"""),45573.0)</f>
        <v>45573</v>
      </c>
      <c r="F1192" s="12" t="str">
        <f>IFERROR(__xludf.DUMMYFUNCTION("""COMPUTED_VALUE"""),"TIPO I")</f>
        <v>TIPO I</v>
      </c>
      <c r="G1192" s="12" t="str">
        <f>IFERROR(__xludf.DUMMYFUNCTION("""COMPUTED_VALUE"""),"Monitoreo realizado en canal con lecho arenoso, durante la toma de muestra se observa residuos sólidos en el cauce, color y se percibe olor. ")</f>
        <v>Monitoreo realizado en canal con lecho arenoso, durante la toma de muestra se observa residuos sólidos en el cauce, color y se percibe olor. </v>
      </c>
      <c r="H1192" s="45">
        <f>IFERROR(__xludf.DUMMYFUNCTION("""COMPUTED_VALUE"""),0.5833333333321207)</f>
        <v>0.5833333333</v>
      </c>
      <c r="I1192" s="45">
        <f>IFERROR(__xludf.DUMMYFUNCTION("""COMPUTED_VALUE"""),0.6666666666678793)</f>
        <v>0.6666666667</v>
      </c>
      <c r="J1192" s="12">
        <f>IFERROR(__xludf.DUMMYFUNCTION("""COMPUTED_VALUE"""),1.2)</f>
        <v>1.2</v>
      </c>
      <c r="K1192" s="12">
        <f>IFERROR(__xludf.DUMMYFUNCTION("""COMPUTED_VALUE"""),0.25)</f>
        <v>0.25</v>
      </c>
      <c r="L1192" s="14">
        <f>IFERROR(__xludf.DUMMYFUNCTION("""COMPUTED_VALUE"""),46.41)</f>
        <v>46.41</v>
      </c>
      <c r="M1192" s="14">
        <f>IFERROR(__xludf.DUMMYFUNCTION("""COMPUTED_VALUE"""),41.526)</f>
        <v>41.526</v>
      </c>
      <c r="N1192" s="14">
        <f>IFERROR(__xludf.DUMMYFUNCTION("""COMPUTED_VALUE"""),44.766)</f>
        <v>44.766</v>
      </c>
      <c r="O1192" s="14">
        <f>IFERROR(__xludf.DUMMYFUNCTION("""COMPUTED_VALUE"""),43.968)</f>
        <v>43.968</v>
      </c>
      <c r="P1192" s="14">
        <f>IFERROR(__xludf.DUMMYFUNCTION("""COMPUTED_VALUE"""),42.94)</f>
        <v>42.94</v>
      </c>
      <c r="Q1192" s="14">
        <f>IFERROR(__xludf.DUMMYFUNCTION("""COMPUTED_VALUE"""),43.922)</f>
        <v>43.922</v>
      </c>
      <c r="R1192" s="48">
        <f>IFERROR(__xludf.DUMMYFUNCTION("""COMPUTED_VALUE"""),10.83)</f>
        <v>10.83</v>
      </c>
      <c r="S1192" s="48">
        <f>IFERROR(__xludf.DUMMYFUNCTION("""COMPUTED_VALUE"""),10.88)</f>
        <v>10.88</v>
      </c>
      <c r="T1192" s="48">
        <f>IFERROR(__xludf.DUMMYFUNCTION("""COMPUTED_VALUE"""),10.99)</f>
        <v>10.99</v>
      </c>
      <c r="U1192" s="48">
        <f>IFERROR(__xludf.DUMMYFUNCTION("""COMPUTED_VALUE"""),10.8)</f>
        <v>10.8</v>
      </c>
      <c r="V1192" s="48">
        <f>IFERROR(__xludf.DUMMYFUNCTION("""COMPUTED_VALUE"""),10.75)</f>
        <v>10.75</v>
      </c>
      <c r="W1192" s="14">
        <f>IFERROR(__xludf.DUMMYFUNCTION("""COMPUTED_VALUE"""),10.85)</f>
        <v>10.85</v>
      </c>
      <c r="X1192" s="14">
        <f>IFERROR(__xludf.DUMMYFUNCTION("""COMPUTED_VALUE"""),16.2)</f>
        <v>16.2</v>
      </c>
      <c r="Y1192" s="14">
        <f>IFERROR(__xludf.DUMMYFUNCTION("""COMPUTED_VALUE"""),16.3)</f>
        <v>16.3</v>
      </c>
      <c r="Z1192" s="14">
        <f>IFERROR(__xludf.DUMMYFUNCTION("""COMPUTED_VALUE"""),16.2)</f>
        <v>16.2</v>
      </c>
      <c r="AA1192" s="14">
        <f>IFERROR(__xludf.DUMMYFUNCTION("""COMPUTED_VALUE"""),16.1)</f>
        <v>16.1</v>
      </c>
      <c r="AB1192" s="14">
        <f>IFERROR(__xludf.DUMMYFUNCTION("""COMPUTED_VALUE"""),16.4)</f>
        <v>16.4</v>
      </c>
      <c r="AC1192" s="14">
        <f>IFERROR(__xludf.DUMMYFUNCTION("""COMPUTED_VALUE"""),16.240000000000002)</f>
        <v>16.24</v>
      </c>
      <c r="AD1192" s="48">
        <f>IFERROR(__xludf.DUMMYFUNCTION("""COMPUTED_VALUE"""),1070.0)</f>
        <v>1070</v>
      </c>
      <c r="AE1192" s="48">
        <f>IFERROR(__xludf.DUMMYFUNCTION("""COMPUTED_VALUE"""),1163.0)</f>
        <v>1163</v>
      </c>
      <c r="AF1192" s="48">
        <f>IFERROR(__xludf.DUMMYFUNCTION("""COMPUTED_VALUE"""),1196.0)</f>
        <v>1196</v>
      </c>
      <c r="AG1192" s="48">
        <f>IFERROR(__xludf.DUMMYFUNCTION("""COMPUTED_VALUE"""),1226.0)</f>
        <v>1226</v>
      </c>
      <c r="AH1192" s="48">
        <f>IFERROR(__xludf.DUMMYFUNCTION("""COMPUTED_VALUE"""),1250.0)</f>
        <v>1250</v>
      </c>
      <c r="AI1192" s="14">
        <f>IFERROR(__xludf.DUMMYFUNCTION("""COMPUTED_VALUE"""),1181.0)</f>
        <v>1181</v>
      </c>
      <c r="AJ1192" s="14">
        <f>IFERROR(__xludf.DUMMYFUNCTION("""COMPUTED_VALUE"""),5.3)</f>
        <v>5.3</v>
      </c>
      <c r="AK1192" s="14">
        <f>IFERROR(__xludf.DUMMYFUNCTION("""COMPUTED_VALUE"""),5.4)</f>
        <v>5.4</v>
      </c>
      <c r="AL1192" s="14">
        <f>IFERROR(__xludf.DUMMYFUNCTION("""COMPUTED_VALUE"""),5.6)</f>
        <v>5.6</v>
      </c>
      <c r="AM1192" s="14">
        <f>IFERROR(__xludf.DUMMYFUNCTION("""COMPUTED_VALUE"""),5.5)</f>
        <v>5.5</v>
      </c>
      <c r="AN1192" s="14">
        <f>IFERROR(__xludf.DUMMYFUNCTION("""COMPUTED_VALUE"""),5.2)</f>
        <v>5.2</v>
      </c>
      <c r="AO1192" s="14">
        <f>IFERROR(__xludf.DUMMYFUNCTION("""COMPUTED_VALUE"""),5.3999999999999995)</f>
        <v>5.4</v>
      </c>
      <c r="AP1192" s="14">
        <f>IFERROR(__xludf.DUMMYFUNCTION("""COMPUTED_VALUE"""),92.0)</f>
        <v>92</v>
      </c>
      <c r="AQ1192" s="14">
        <f>IFERROR(__xludf.DUMMYFUNCTION("""COMPUTED_VALUE"""),971.0)</f>
        <v>971</v>
      </c>
      <c r="AR1192" s="14">
        <f>IFERROR(__xludf.DUMMYFUNCTION("""COMPUTED_VALUE"""),8390.0)</f>
        <v>8390</v>
      </c>
      <c r="AS1192" s="14">
        <f>IFERROR(__xludf.DUMMYFUNCTION("""COMPUTED_VALUE"""),16.0)</f>
        <v>16</v>
      </c>
      <c r="AT1192" s="14">
        <f>IFERROR(__xludf.DUMMYFUNCTION("""COMPUTED_VALUE"""),1.3)</f>
        <v>1.3</v>
      </c>
      <c r="AU1192" s="14">
        <f>IFERROR(__xludf.DUMMYFUNCTION("""COMPUTED_VALUE"""),1.314E7)</f>
        <v>13140000</v>
      </c>
      <c r="AV1192" s="14">
        <f>IFERROR(__xludf.DUMMYFUNCTION("""COMPUTED_VALUE"""),0.28)</f>
        <v>0.28</v>
      </c>
      <c r="AW1192" s="14">
        <f>IFERROR(__xludf.DUMMYFUNCTION("""COMPUTED_VALUE"""),10.1)</f>
        <v>10.1</v>
      </c>
      <c r="AX1192" s="14">
        <f>IFERROR(__xludf.DUMMYFUNCTION("""COMPUTED_VALUE"""),1.019E7)</f>
        <v>10190000</v>
      </c>
      <c r="AY1192" s="14">
        <f>IFERROR(__xludf.DUMMYFUNCTION("""COMPUTED_VALUE"""),1.3)</f>
        <v>1.3</v>
      </c>
      <c r="AZ1192" s="14">
        <f>IFERROR(__xludf.DUMMYFUNCTION("""COMPUTED_VALUE"""),1.529)</f>
        <v>1.529</v>
      </c>
      <c r="BA1192" s="14">
        <f t="shared" si="1"/>
        <v>12.929</v>
      </c>
    </row>
    <row r="1193" ht="14.25" customHeight="1">
      <c r="A1193" s="10" t="str">
        <f>IFERROR(__xludf.DUMMYFUNCTION("""COMPUTED_VALUE"""),"071024FE01")</f>
        <v>071024FE01</v>
      </c>
      <c r="B1193" s="12" t="str">
        <f>IFERROR(__xludf.DUMMYFUNCTION("""COMPUTED_VALUE"""),"COR-Britalia")</f>
        <v>COR-Britalia</v>
      </c>
      <c r="C1193" s="12"/>
      <c r="D1193" s="12"/>
      <c r="E1193" s="44">
        <f>IFERROR(__xludf.DUMMYFUNCTION("""COMPUTED_VALUE"""),45572.0)</f>
        <v>45572</v>
      </c>
      <c r="F1193" s="12" t="str">
        <f>IFERROR(__xludf.DUMMYFUNCTION("""COMPUTED_VALUE"""),"TIPO I")</f>
        <v>TIPO I</v>
      </c>
      <c r="G1193" s="12" t="str">
        <f>IFERROR(__xludf.DUMMYFUNCTION("""COMPUTED_VALUE"""),"Durante el monitoreo se observa color, no se percibe olor, el monitoreo se realiza en el punto con dirección KR 54 167 19 debido a obras civiles en las márgenes del cauce, en la segunda alícuota se presenta un cambio de coloración en el agua ")</f>
        <v>Durante el monitoreo se observa color, no se percibe olor, el monitoreo se realiza en el punto con dirección KR 54 167 19 debido a obras civiles en las márgenes del cauce, en la segunda alícuota se presenta un cambio de coloración en el agua </v>
      </c>
      <c r="H1193" s="45">
        <f>IFERROR(__xludf.DUMMYFUNCTION("""COMPUTED_VALUE"""),0.375)</f>
        <v>0.375</v>
      </c>
      <c r="I1193" s="45">
        <f>IFERROR(__xludf.DUMMYFUNCTION("""COMPUTED_VALUE"""),0.4583333333321207)</f>
        <v>0.4583333333</v>
      </c>
      <c r="J1193" s="12">
        <f>IFERROR(__xludf.DUMMYFUNCTION("""COMPUTED_VALUE"""),3.3)</f>
        <v>3.3</v>
      </c>
      <c r="K1193" s="12">
        <f>IFERROR(__xludf.DUMMYFUNCTION("""COMPUTED_VALUE"""),0.09)</f>
        <v>0.09</v>
      </c>
      <c r="L1193" s="14">
        <f>IFERROR(__xludf.DUMMYFUNCTION("""COMPUTED_VALUE"""),17.69)</f>
        <v>17.69</v>
      </c>
      <c r="M1193" s="14">
        <f>IFERROR(__xludf.DUMMYFUNCTION("""COMPUTED_VALUE"""),20.526)</f>
        <v>20.526</v>
      </c>
      <c r="N1193" s="14">
        <f>IFERROR(__xludf.DUMMYFUNCTION("""COMPUTED_VALUE"""),19.062)</f>
        <v>19.062</v>
      </c>
      <c r="O1193" s="14">
        <f>IFERROR(__xludf.DUMMYFUNCTION("""COMPUTED_VALUE"""),20.563)</f>
        <v>20.563</v>
      </c>
      <c r="P1193" s="14">
        <f>IFERROR(__xludf.DUMMYFUNCTION("""COMPUTED_VALUE"""),20.768)</f>
        <v>20.768</v>
      </c>
      <c r="Q1193" s="14">
        <f>IFERROR(__xludf.DUMMYFUNCTION("""COMPUTED_VALUE"""),19.722)</f>
        <v>19.722</v>
      </c>
      <c r="R1193" s="48">
        <f>IFERROR(__xludf.DUMMYFUNCTION("""COMPUTED_VALUE"""),7.66)</f>
        <v>7.66</v>
      </c>
      <c r="S1193" s="48">
        <f>IFERROR(__xludf.DUMMYFUNCTION("""COMPUTED_VALUE"""),7.59)</f>
        <v>7.59</v>
      </c>
      <c r="T1193" s="48">
        <f>IFERROR(__xludf.DUMMYFUNCTION("""COMPUTED_VALUE"""),6.96)</f>
        <v>6.96</v>
      </c>
      <c r="U1193" s="48">
        <f>IFERROR(__xludf.DUMMYFUNCTION("""COMPUTED_VALUE"""),7.18)</f>
        <v>7.18</v>
      </c>
      <c r="V1193" s="48">
        <f>IFERROR(__xludf.DUMMYFUNCTION("""COMPUTED_VALUE"""),7.2)</f>
        <v>7.2</v>
      </c>
      <c r="W1193" s="14">
        <f>IFERROR(__xludf.DUMMYFUNCTION("""COMPUTED_VALUE"""),7.3180000000000005)</f>
        <v>7.318</v>
      </c>
      <c r="X1193" s="14">
        <f>IFERROR(__xludf.DUMMYFUNCTION("""COMPUTED_VALUE"""),20.3)</f>
        <v>20.3</v>
      </c>
      <c r="Y1193" s="14">
        <f>IFERROR(__xludf.DUMMYFUNCTION("""COMPUTED_VALUE"""),20.8)</f>
        <v>20.8</v>
      </c>
      <c r="Z1193" s="14">
        <f>IFERROR(__xludf.DUMMYFUNCTION("""COMPUTED_VALUE"""),22.0)</f>
        <v>22</v>
      </c>
      <c r="AA1193" s="14">
        <f>IFERROR(__xludf.DUMMYFUNCTION("""COMPUTED_VALUE"""),23.4)</f>
        <v>23.4</v>
      </c>
      <c r="AB1193" s="14">
        <f>IFERROR(__xludf.DUMMYFUNCTION("""COMPUTED_VALUE"""),23.5)</f>
        <v>23.5</v>
      </c>
      <c r="AC1193" s="14">
        <f>IFERROR(__xludf.DUMMYFUNCTION("""COMPUTED_VALUE"""),22.0)</f>
        <v>22</v>
      </c>
      <c r="AD1193" s="48">
        <f>IFERROR(__xludf.DUMMYFUNCTION("""COMPUTED_VALUE"""),302.0)</f>
        <v>302</v>
      </c>
      <c r="AE1193" s="48">
        <f>IFERROR(__xludf.DUMMYFUNCTION("""COMPUTED_VALUE"""),337.0)</f>
        <v>337</v>
      </c>
      <c r="AF1193" s="48">
        <f>IFERROR(__xludf.DUMMYFUNCTION("""COMPUTED_VALUE"""),296.0)</f>
        <v>296</v>
      </c>
      <c r="AG1193" s="48">
        <f>IFERROR(__xludf.DUMMYFUNCTION("""COMPUTED_VALUE"""),272.0)</f>
        <v>272</v>
      </c>
      <c r="AH1193" s="48">
        <f>IFERROR(__xludf.DUMMYFUNCTION("""COMPUTED_VALUE"""),303.0)</f>
        <v>303</v>
      </c>
      <c r="AI1193" s="14">
        <f>IFERROR(__xludf.DUMMYFUNCTION("""COMPUTED_VALUE"""),302.0)</f>
        <v>302</v>
      </c>
      <c r="AJ1193" s="14">
        <f>IFERROR(__xludf.DUMMYFUNCTION("""COMPUTED_VALUE"""),7.0)</f>
        <v>7</v>
      </c>
      <c r="AK1193" s="14">
        <f>IFERROR(__xludf.DUMMYFUNCTION("""COMPUTED_VALUE"""),6.1)</f>
        <v>6.1</v>
      </c>
      <c r="AL1193" s="14">
        <f>IFERROR(__xludf.DUMMYFUNCTION("""COMPUTED_VALUE"""),6.0)</f>
        <v>6</v>
      </c>
      <c r="AM1193" s="14">
        <f>IFERROR(__xludf.DUMMYFUNCTION("""COMPUTED_VALUE"""),5.3)</f>
        <v>5.3</v>
      </c>
      <c r="AN1193" s="14">
        <f>IFERROR(__xludf.DUMMYFUNCTION("""COMPUTED_VALUE"""),4.8)</f>
        <v>4.8</v>
      </c>
      <c r="AO1193" s="14">
        <f>IFERROR(__xludf.DUMMYFUNCTION("""COMPUTED_VALUE"""),5.840000000000001)</f>
        <v>5.84</v>
      </c>
      <c r="AP1193" s="14">
        <f>IFERROR(__xludf.DUMMYFUNCTION("""COMPUTED_VALUE"""),29.0)</f>
        <v>29</v>
      </c>
      <c r="AQ1193" s="14">
        <f>IFERROR(__xludf.DUMMYFUNCTION("""COMPUTED_VALUE"""),40.0)</f>
        <v>40</v>
      </c>
      <c r="AR1193" s="14">
        <f>IFERROR(__xludf.DUMMYFUNCTION("""COMPUTED_VALUE"""),50.0)</f>
        <v>50</v>
      </c>
      <c r="AS1193" s="14">
        <f>IFERROR(__xludf.DUMMYFUNCTION("""COMPUTED_VALUE"""),10.7)</f>
        <v>10.7</v>
      </c>
      <c r="AT1193" s="14">
        <f>IFERROR(__xludf.DUMMYFUNCTION("""COMPUTED_VALUE"""),0.27)</f>
        <v>0.27</v>
      </c>
      <c r="AU1193" s="14">
        <f>IFERROR(__xludf.DUMMYFUNCTION("""COMPUTED_VALUE"""),1.25E8)</f>
        <v>125000000</v>
      </c>
      <c r="AV1193" s="14">
        <f>IFERROR(__xludf.DUMMYFUNCTION("""COMPUTED_VALUE"""),0.14)</f>
        <v>0.14</v>
      </c>
      <c r="AW1193" s="14">
        <f>IFERROR(__xludf.DUMMYFUNCTION("""COMPUTED_VALUE"""),9.0)</f>
        <v>9</v>
      </c>
      <c r="AX1193" s="14">
        <f>IFERROR(__xludf.DUMMYFUNCTION("""COMPUTED_VALUE"""),1.008E8)</f>
        <v>100800000</v>
      </c>
      <c r="AY1193" s="14">
        <f>IFERROR(__xludf.DUMMYFUNCTION("""COMPUTED_VALUE"""),1.0)</f>
        <v>1</v>
      </c>
      <c r="AZ1193" s="14">
        <f>IFERROR(__xludf.DUMMYFUNCTION("""COMPUTED_VALUE"""),0.244)</f>
        <v>0.244</v>
      </c>
      <c r="BA1193" s="14">
        <f t="shared" si="1"/>
        <v>10.244</v>
      </c>
    </row>
    <row r="1194" ht="14.25" customHeight="1">
      <c r="A1194" s="10" t="str">
        <f>IFERROR(__xludf.DUMMYFUNCTION("""COMPUTED_VALUE"""),"071024FM02")</f>
        <v>071024FM02</v>
      </c>
      <c r="B1194" s="12" t="str">
        <f>IFERROR(__xludf.DUMMYFUNCTION("""COMPUTED_VALUE"""),"QCH-La Orquídea")</f>
        <v>QCH-La Orquídea</v>
      </c>
      <c r="C1194" s="12"/>
      <c r="D1194" s="12"/>
      <c r="E1194" s="44">
        <f>IFERROR(__xludf.DUMMYFUNCTION("""COMPUTED_VALUE"""),45572.0)</f>
        <v>45572</v>
      </c>
      <c r="F1194" s="12" t="str">
        <f>IFERROR(__xludf.DUMMYFUNCTION("""COMPUTED_VALUE"""),"TIPO I")</f>
        <v>TIPO I</v>
      </c>
      <c r="G1194" s="12" t="str">
        <f>IFERROR(__xludf.DUMMYFUNCTION("""COMPUTED_VALUE"""),"Durante el desarrollo del monitoreo se observa color, residuos solidos al rededor del punto y se percibe olor. 
Altitud. 2836 msnm")</f>
        <v>Durante el desarrollo del monitoreo se observa color, residuos solidos al rededor del punto y se percibe olor. 
Altitud. 2836 msnm</v>
      </c>
      <c r="H1194" s="45">
        <f>IFERROR(__xludf.DUMMYFUNCTION("""COMPUTED_VALUE"""),0.4583333333321207)</f>
        <v>0.4583333333</v>
      </c>
      <c r="I1194" s="45">
        <f>IFERROR(__xludf.DUMMYFUNCTION("""COMPUTED_VALUE"""),0.5416666666678793)</f>
        <v>0.5416666667</v>
      </c>
      <c r="J1194" s="12"/>
      <c r="K1194" s="12"/>
      <c r="L1194" s="14">
        <f>IFERROR(__xludf.DUMMYFUNCTION("""COMPUTED_VALUE"""),0.886)</f>
        <v>0.886</v>
      </c>
      <c r="M1194" s="14">
        <f>IFERROR(__xludf.DUMMYFUNCTION("""COMPUTED_VALUE"""),0.817)</f>
        <v>0.817</v>
      </c>
      <c r="N1194" s="14">
        <f>IFERROR(__xludf.DUMMYFUNCTION("""COMPUTED_VALUE"""),1.549)</f>
        <v>1.549</v>
      </c>
      <c r="O1194" s="14">
        <f>IFERROR(__xludf.DUMMYFUNCTION("""COMPUTED_VALUE"""),0.898)</f>
        <v>0.898</v>
      </c>
      <c r="P1194" s="14">
        <f>IFERROR(__xludf.DUMMYFUNCTION("""COMPUTED_VALUE"""),1.107)</f>
        <v>1.107</v>
      </c>
      <c r="Q1194" s="14">
        <f>IFERROR(__xludf.DUMMYFUNCTION("""COMPUTED_VALUE"""),1.051)</f>
        <v>1.051</v>
      </c>
      <c r="R1194" s="48">
        <f>IFERROR(__xludf.DUMMYFUNCTION("""COMPUTED_VALUE"""),8.72)</f>
        <v>8.72</v>
      </c>
      <c r="S1194" s="48">
        <f>IFERROR(__xludf.DUMMYFUNCTION("""COMPUTED_VALUE"""),8.66)</f>
        <v>8.66</v>
      </c>
      <c r="T1194" s="48">
        <f>IFERROR(__xludf.DUMMYFUNCTION("""COMPUTED_VALUE"""),8.83)</f>
        <v>8.83</v>
      </c>
      <c r="U1194" s="48">
        <f>IFERROR(__xludf.DUMMYFUNCTION("""COMPUTED_VALUE"""),8.85)</f>
        <v>8.85</v>
      </c>
      <c r="V1194" s="48">
        <f>IFERROR(__xludf.DUMMYFUNCTION("""COMPUTED_VALUE"""),8.8)</f>
        <v>8.8</v>
      </c>
      <c r="W1194" s="14">
        <f>IFERROR(__xludf.DUMMYFUNCTION("""COMPUTED_VALUE"""),8.772)</f>
        <v>8.772</v>
      </c>
      <c r="X1194" s="14">
        <f>IFERROR(__xludf.DUMMYFUNCTION("""COMPUTED_VALUE"""),16.9)</f>
        <v>16.9</v>
      </c>
      <c r="Y1194" s="14">
        <f>IFERROR(__xludf.DUMMYFUNCTION("""COMPUTED_VALUE"""),17.0)</f>
        <v>17</v>
      </c>
      <c r="Z1194" s="14">
        <f>IFERROR(__xludf.DUMMYFUNCTION("""COMPUTED_VALUE"""),16.7)</f>
        <v>16.7</v>
      </c>
      <c r="AA1194" s="14">
        <f>IFERROR(__xludf.DUMMYFUNCTION("""COMPUTED_VALUE"""),17.7)</f>
        <v>17.7</v>
      </c>
      <c r="AB1194" s="14">
        <f>IFERROR(__xludf.DUMMYFUNCTION("""COMPUTED_VALUE"""),16.9)</f>
        <v>16.9</v>
      </c>
      <c r="AC1194" s="14">
        <f>IFERROR(__xludf.DUMMYFUNCTION("""COMPUTED_VALUE"""),17.04)</f>
        <v>17.04</v>
      </c>
      <c r="AD1194" s="48">
        <f>IFERROR(__xludf.DUMMYFUNCTION("""COMPUTED_VALUE"""),691.0)</f>
        <v>691</v>
      </c>
      <c r="AE1194" s="48">
        <f>IFERROR(__xludf.DUMMYFUNCTION("""COMPUTED_VALUE"""),700.0)</f>
        <v>700</v>
      </c>
      <c r="AF1194" s="48">
        <f>IFERROR(__xludf.DUMMYFUNCTION("""COMPUTED_VALUE"""),712.0)</f>
        <v>712</v>
      </c>
      <c r="AG1194" s="48">
        <f>IFERROR(__xludf.DUMMYFUNCTION("""COMPUTED_VALUE"""),670.0)</f>
        <v>670</v>
      </c>
      <c r="AH1194" s="48">
        <f>IFERROR(__xludf.DUMMYFUNCTION("""COMPUTED_VALUE"""),709.0)</f>
        <v>709</v>
      </c>
      <c r="AI1194" s="14">
        <f>IFERROR(__xludf.DUMMYFUNCTION("""COMPUTED_VALUE"""),696.4)</f>
        <v>696.4</v>
      </c>
      <c r="AJ1194" s="14">
        <f>IFERROR(__xludf.DUMMYFUNCTION("""COMPUTED_VALUE"""),4.97)</f>
        <v>4.97</v>
      </c>
      <c r="AK1194" s="14">
        <f>IFERROR(__xludf.DUMMYFUNCTION("""COMPUTED_VALUE"""),4.97)</f>
        <v>4.97</v>
      </c>
      <c r="AL1194" s="14">
        <f>IFERROR(__xludf.DUMMYFUNCTION("""COMPUTED_VALUE"""),4.72)</f>
        <v>4.72</v>
      </c>
      <c r="AM1194" s="14">
        <f>IFERROR(__xludf.DUMMYFUNCTION("""COMPUTED_VALUE"""),5.15)</f>
        <v>5.15</v>
      </c>
      <c r="AN1194" s="14">
        <f>IFERROR(__xludf.DUMMYFUNCTION("""COMPUTED_VALUE"""),4.96)</f>
        <v>4.96</v>
      </c>
      <c r="AO1194" s="14">
        <f>IFERROR(__xludf.DUMMYFUNCTION("""COMPUTED_VALUE"""),4.954000000000001)</f>
        <v>4.954</v>
      </c>
      <c r="AP1194" s="14">
        <f>IFERROR(__xludf.DUMMYFUNCTION("""COMPUTED_VALUE"""),52.0)</f>
        <v>52</v>
      </c>
      <c r="AQ1194" s="14">
        <f>IFERROR(__xludf.DUMMYFUNCTION("""COMPUTED_VALUE"""),114.0)</f>
        <v>114</v>
      </c>
      <c r="AR1194" s="14">
        <f>IFERROR(__xludf.DUMMYFUNCTION("""COMPUTED_VALUE"""),91.0)</f>
        <v>91</v>
      </c>
      <c r="AS1194" s="14">
        <f>IFERROR(__xludf.DUMMYFUNCTION("""COMPUTED_VALUE"""),12.9)</f>
        <v>12.9</v>
      </c>
      <c r="AT1194" s="14">
        <f>IFERROR(__xludf.DUMMYFUNCTION("""COMPUTED_VALUE"""),1.73)</f>
        <v>1.73</v>
      </c>
      <c r="AU1194" s="14">
        <f>IFERROR(__xludf.DUMMYFUNCTION("""COMPUTED_VALUE"""),1.576E8)</f>
        <v>157600000</v>
      </c>
      <c r="AV1194" s="14">
        <f>IFERROR(__xludf.DUMMYFUNCTION("""COMPUTED_VALUE"""),0.2)</f>
        <v>0.2</v>
      </c>
      <c r="AW1194" s="14">
        <f>IFERROR(__xludf.DUMMYFUNCTION("""COMPUTED_VALUE"""),2.8)</f>
        <v>2.8</v>
      </c>
      <c r="AX1194" s="14">
        <f>IFERROR(__xludf.DUMMYFUNCTION("""COMPUTED_VALUE"""),1.379E8)</f>
        <v>137900000</v>
      </c>
      <c r="AY1194" s="14">
        <f>IFERROR(__xludf.DUMMYFUNCTION("""COMPUTED_VALUE"""),3.7)</f>
        <v>3.7</v>
      </c>
      <c r="AZ1194" s="14">
        <f>IFERROR(__xludf.DUMMYFUNCTION("""COMPUTED_VALUE"""),0.376)</f>
        <v>0.376</v>
      </c>
      <c r="BA1194" s="14">
        <f t="shared" si="1"/>
        <v>6.876</v>
      </c>
    </row>
    <row r="1195" ht="14.25" customHeight="1">
      <c r="A1195" s="10" t="str">
        <f>IFERROR(__xludf.DUMMYFUNCTION("""COMPUTED_VALUE"""),"071024FM03")</f>
        <v>071024FM03</v>
      </c>
      <c r="B1195" s="12" t="str">
        <f>IFERROR(__xludf.DUMMYFUNCTION("""COMPUTED_VALUE"""),"QLI-El Satélite")</f>
        <v>QLI-El Satélite</v>
      </c>
      <c r="C1195" s="12"/>
      <c r="D1195" s="12"/>
      <c r="E1195" s="44">
        <f>IFERROR(__xludf.DUMMYFUNCTION("""COMPUTED_VALUE"""),45572.0)</f>
        <v>45572</v>
      </c>
      <c r="F1195" s="12" t="str">
        <f>IFERROR(__xludf.DUMMYFUNCTION("""COMPUTED_VALUE"""),"TIPO I")</f>
        <v>TIPO I</v>
      </c>
      <c r="G1195" s="12" t="str">
        <f>IFERROR(__xludf.DUMMYFUNCTION("""COMPUTED_VALUE"""),"Durante el monitoreo se observa color, residuos en ambas márgenes del canal y se percibe olor.
")</f>
        <v>Durante el monitoreo se observa color, residuos en ambas márgenes del canal y se percibe olor.
</v>
      </c>
      <c r="H1195" s="45">
        <f>IFERROR(__xludf.DUMMYFUNCTION("""COMPUTED_VALUE"""),0.6666666666678793)</f>
        <v>0.6666666667</v>
      </c>
      <c r="I1195" s="45">
        <f>IFERROR(__xludf.DUMMYFUNCTION("""COMPUTED_VALUE"""),0.75)</f>
        <v>0.75</v>
      </c>
      <c r="J1195" s="12">
        <f>IFERROR(__xludf.DUMMYFUNCTION("""COMPUTED_VALUE"""),3.0)</f>
        <v>3</v>
      </c>
      <c r="K1195" s="12">
        <f>IFERROR(__xludf.DUMMYFUNCTION("""COMPUTED_VALUE"""),0.24)</f>
        <v>0.24</v>
      </c>
      <c r="L1195" s="14">
        <f>IFERROR(__xludf.DUMMYFUNCTION("""COMPUTED_VALUE"""),139.654)</f>
        <v>139.654</v>
      </c>
      <c r="M1195" s="14">
        <f>IFERROR(__xludf.DUMMYFUNCTION("""COMPUTED_VALUE"""),141.789)</f>
        <v>141.789</v>
      </c>
      <c r="N1195" s="14">
        <f>IFERROR(__xludf.DUMMYFUNCTION("""COMPUTED_VALUE"""),141.477)</f>
        <v>141.477</v>
      </c>
      <c r="O1195" s="14">
        <f>IFERROR(__xludf.DUMMYFUNCTION("""COMPUTED_VALUE"""),143.238)</f>
        <v>143.238</v>
      </c>
      <c r="P1195" s="14">
        <f>IFERROR(__xludf.DUMMYFUNCTION("""COMPUTED_VALUE"""),144.469)</f>
        <v>144.469</v>
      </c>
      <c r="Q1195" s="14">
        <f>IFERROR(__xludf.DUMMYFUNCTION("""COMPUTED_VALUE"""),142.125)</f>
        <v>142.125</v>
      </c>
      <c r="R1195" s="48">
        <f>IFERROR(__xludf.DUMMYFUNCTION("""COMPUTED_VALUE"""),8.5)</f>
        <v>8.5</v>
      </c>
      <c r="S1195" s="48">
        <f>IFERROR(__xludf.DUMMYFUNCTION("""COMPUTED_VALUE"""),8.47)</f>
        <v>8.47</v>
      </c>
      <c r="T1195" s="48">
        <f>IFERROR(__xludf.DUMMYFUNCTION("""COMPUTED_VALUE"""),8.45)</f>
        <v>8.45</v>
      </c>
      <c r="U1195" s="48">
        <f>IFERROR(__xludf.DUMMYFUNCTION("""COMPUTED_VALUE"""),8.49)</f>
        <v>8.49</v>
      </c>
      <c r="V1195" s="48">
        <f>IFERROR(__xludf.DUMMYFUNCTION("""COMPUTED_VALUE"""),8.42)</f>
        <v>8.42</v>
      </c>
      <c r="W1195" s="14">
        <f>IFERROR(__xludf.DUMMYFUNCTION("""COMPUTED_VALUE"""),8.466)</f>
        <v>8.466</v>
      </c>
      <c r="X1195" s="14">
        <f>IFERROR(__xludf.DUMMYFUNCTION("""COMPUTED_VALUE"""),18.4)</f>
        <v>18.4</v>
      </c>
      <c r="Y1195" s="14">
        <f>IFERROR(__xludf.DUMMYFUNCTION("""COMPUTED_VALUE"""),18.0)</f>
        <v>18</v>
      </c>
      <c r="Z1195" s="14">
        <f>IFERROR(__xludf.DUMMYFUNCTION("""COMPUTED_VALUE"""),17.9)</f>
        <v>17.9</v>
      </c>
      <c r="AA1195" s="14">
        <f>IFERROR(__xludf.DUMMYFUNCTION("""COMPUTED_VALUE"""),17.5)</f>
        <v>17.5</v>
      </c>
      <c r="AB1195" s="14">
        <f>IFERROR(__xludf.DUMMYFUNCTION("""COMPUTED_VALUE"""),17.4)</f>
        <v>17.4</v>
      </c>
      <c r="AC1195" s="14">
        <f>IFERROR(__xludf.DUMMYFUNCTION("""COMPUTED_VALUE"""),17.839999999999996)</f>
        <v>17.84</v>
      </c>
      <c r="AD1195" s="48">
        <f>IFERROR(__xludf.DUMMYFUNCTION("""COMPUTED_VALUE"""),603.0)</f>
        <v>603</v>
      </c>
      <c r="AE1195" s="48">
        <f>IFERROR(__xludf.DUMMYFUNCTION("""COMPUTED_VALUE"""),544.0)</f>
        <v>544</v>
      </c>
      <c r="AF1195" s="48">
        <f>IFERROR(__xludf.DUMMYFUNCTION("""COMPUTED_VALUE"""),586.0)</f>
        <v>586</v>
      </c>
      <c r="AG1195" s="48">
        <f>IFERROR(__xludf.DUMMYFUNCTION("""COMPUTED_VALUE"""),589.0)</f>
        <v>589</v>
      </c>
      <c r="AH1195" s="48">
        <f>IFERROR(__xludf.DUMMYFUNCTION("""COMPUTED_VALUE"""),579.0)</f>
        <v>579</v>
      </c>
      <c r="AI1195" s="14">
        <f>IFERROR(__xludf.DUMMYFUNCTION("""COMPUTED_VALUE"""),580.2)</f>
        <v>580.2</v>
      </c>
      <c r="AJ1195" s="14">
        <f>IFERROR(__xludf.DUMMYFUNCTION("""COMPUTED_VALUE"""),3.24)</f>
        <v>3.24</v>
      </c>
      <c r="AK1195" s="14">
        <f>IFERROR(__xludf.DUMMYFUNCTION("""COMPUTED_VALUE"""),3.37)</f>
        <v>3.37</v>
      </c>
      <c r="AL1195" s="14">
        <f>IFERROR(__xludf.DUMMYFUNCTION("""COMPUTED_VALUE"""),3.14)</f>
        <v>3.14</v>
      </c>
      <c r="AM1195" s="14">
        <f>IFERROR(__xludf.DUMMYFUNCTION("""COMPUTED_VALUE"""),3.02)</f>
        <v>3.02</v>
      </c>
      <c r="AN1195" s="14">
        <f>IFERROR(__xludf.DUMMYFUNCTION("""COMPUTED_VALUE"""),3.18)</f>
        <v>3.18</v>
      </c>
      <c r="AO1195" s="14">
        <f>IFERROR(__xludf.DUMMYFUNCTION("""COMPUTED_VALUE"""),3.19)</f>
        <v>3.19</v>
      </c>
      <c r="AP1195" s="14">
        <f>IFERROR(__xludf.DUMMYFUNCTION("""COMPUTED_VALUE"""),62.0)</f>
        <v>62</v>
      </c>
      <c r="AQ1195" s="14">
        <f>IFERROR(__xludf.DUMMYFUNCTION("""COMPUTED_VALUE"""),159.0)</f>
        <v>159</v>
      </c>
      <c r="AR1195" s="14">
        <f>IFERROR(__xludf.DUMMYFUNCTION("""COMPUTED_VALUE"""),117.0)</f>
        <v>117</v>
      </c>
      <c r="AS1195" s="14">
        <f>IFERROR(__xludf.DUMMYFUNCTION("""COMPUTED_VALUE"""),10.3)</f>
        <v>10.3</v>
      </c>
      <c r="AT1195" s="14">
        <f>IFERROR(__xludf.DUMMYFUNCTION("""COMPUTED_VALUE"""),1.83)</f>
        <v>1.83</v>
      </c>
      <c r="AU1195" s="14">
        <f>IFERROR(__xludf.DUMMYFUNCTION("""COMPUTED_VALUE"""),8.8E7)</f>
        <v>88000000</v>
      </c>
      <c r="AV1195" s="14">
        <f>IFERROR(__xludf.DUMMYFUNCTION("""COMPUTED_VALUE"""),2.53)</f>
        <v>2.53</v>
      </c>
      <c r="AW1195" s="14">
        <f>IFERROR(__xludf.DUMMYFUNCTION("""COMPUTED_VALUE"""),29.7)</f>
        <v>29.7</v>
      </c>
      <c r="AX1195" s="14">
        <f>IFERROR(__xludf.DUMMYFUNCTION("""COMPUTED_VALUE"""),420000.0)</f>
        <v>420000</v>
      </c>
      <c r="AY1195" s="14">
        <f>IFERROR(__xludf.DUMMYFUNCTION("""COMPUTED_VALUE"""),1.0)</f>
        <v>1</v>
      </c>
      <c r="AZ1195" s="14">
        <f>IFERROR(__xludf.DUMMYFUNCTION("""COMPUTED_VALUE"""),0.007)</f>
        <v>0.007</v>
      </c>
      <c r="BA1195" s="14">
        <f t="shared" si="1"/>
        <v>30.707</v>
      </c>
    </row>
    <row r="1196" ht="14.25" customHeight="1">
      <c r="A1196" s="10" t="str">
        <f>IFERROR(__xludf.DUMMYFUNCTION("""COMPUTED_VALUE"""),"081024FE01")</f>
        <v>081024FE01</v>
      </c>
      <c r="B1196" s="12" t="str">
        <f>IFERROR(__xludf.DUMMYFUNCTION("""COMPUTED_VALUE"""),"QTR-Acapulco")</f>
        <v>QTR-Acapulco</v>
      </c>
      <c r="C1196" s="12"/>
      <c r="D1196" s="12"/>
      <c r="E1196" s="44">
        <f>IFERROR(__xludf.DUMMYFUNCTION("""COMPUTED_VALUE"""),45573.0)</f>
        <v>45573</v>
      </c>
      <c r="F1196" s="12" t="str">
        <f>IFERROR(__xludf.DUMMYFUNCTION("""COMPUTED_VALUE"""),"TIPO I")</f>
        <v>TIPO I</v>
      </c>
      <c r="G1196" s="12" t="str">
        <f>IFERROR(__xludf.DUMMYFUNCTION("""COMPUTED_VALUE"""),"Durante el monitoreo se observa color, presencia de residuos solidos en el cauce y se percibe olor.
En la ultima alícuota se presentan fuertes precipitaciones por lo cual no es posible tomar parámetros.
Altitud 2587 msnm ")</f>
        <v>Durante el monitoreo se observa color, presencia de residuos solidos en el cauce y se percibe olor.
En la ultima alícuota se presentan fuertes precipitaciones por lo cual no es posible tomar parámetros.
Altitud 2587 msnm </v>
      </c>
      <c r="H1196" s="45">
        <f>IFERROR(__xludf.DUMMYFUNCTION("""COMPUTED_VALUE"""),0.25)</f>
        <v>0.25</v>
      </c>
      <c r="I1196" s="45">
        <f>IFERROR(__xludf.DUMMYFUNCTION("""COMPUTED_VALUE"""),0.3333333333321207)</f>
        <v>0.3333333333</v>
      </c>
      <c r="J1196" s="12">
        <f>IFERROR(__xludf.DUMMYFUNCTION("""COMPUTED_VALUE"""),1.6)</f>
        <v>1.6</v>
      </c>
      <c r="K1196" s="12">
        <f>IFERROR(__xludf.DUMMYFUNCTION("""COMPUTED_VALUE"""),0.22)</f>
        <v>0.22</v>
      </c>
      <c r="L1196" s="14">
        <f>IFERROR(__xludf.DUMMYFUNCTION("""COMPUTED_VALUE"""),78.229)</f>
        <v>78.229</v>
      </c>
      <c r="M1196" s="14">
        <f>IFERROR(__xludf.DUMMYFUNCTION("""COMPUTED_VALUE"""),78.539)</f>
        <v>78.539</v>
      </c>
      <c r="N1196" s="14">
        <f>IFERROR(__xludf.DUMMYFUNCTION("""COMPUTED_VALUE"""),79.35)</f>
        <v>79.35</v>
      </c>
      <c r="O1196" s="14">
        <f>IFERROR(__xludf.DUMMYFUNCTION("""COMPUTED_VALUE"""),84.172)</f>
        <v>84.172</v>
      </c>
      <c r="P1196" s="14"/>
      <c r="Q1196" s="14">
        <f>IFERROR(__xludf.DUMMYFUNCTION("""COMPUTED_VALUE"""),80.072)</f>
        <v>80.072</v>
      </c>
      <c r="R1196" s="48">
        <f>IFERROR(__xludf.DUMMYFUNCTION("""COMPUTED_VALUE"""),8.18)</f>
        <v>8.18</v>
      </c>
      <c r="S1196" s="48">
        <f>IFERROR(__xludf.DUMMYFUNCTION("""COMPUTED_VALUE"""),8.13)</f>
        <v>8.13</v>
      </c>
      <c r="T1196" s="48">
        <f>IFERROR(__xludf.DUMMYFUNCTION("""COMPUTED_VALUE"""),8.2)</f>
        <v>8.2</v>
      </c>
      <c r="U1196" s="48">
        <f>IFERROR(__xludf.DUMMYFUNCTION("""COMPUTED_VALUE"""),8.25)</f>
        <v>8.25</v>
      </c>
      <c r="V1196" s="48"/>
      <c r="W1196" s="14">
        <f>IFERROR(__xludf.DUMMYFUNCTION("""COMPUTED_VALUE"""),8.190000000000001)</f>
        <v>8.19</v>
      </c>
      <c r="X1196" s="14">
        <f>IFERROR(__xludf.DUMMYFUNCTION("""COMPUTED_VALUE"""),15.0)</f>
        <v>15</v>
      </c>
      <c r="Y1196" s="14">
        <f>IFERROR(__xludf.DUMMYFUNCTION("""COMPUTED_VALUE"""),14.8)</f>
        <v>14.8</v>
      </c>
      <c r="Z1196" s="14">
        <f>IFERROR(__xludf.DUMMYFUNCTION("""COMPUTED_VALUE"""),15.0)</f>
        <v>15</v>
      </c>
      <c r="AA1196" s="14">
        <f>IFERROR(__xludf.DUMMYFUNCTION("""COMPUTED_VALUE"""),14.8)</f>
        <v>14.8</v>
      </c>
      <c r="AB1196" s="14"/>
      <c r="AC1196" s="14">
        <f>IFERROR(__xludf.DUMMYFUNCTION("""COMPUTED_VALUE"""),14.899999999999999)</f>
        <v>14.9</v>
      </c>
      <c r="AD1196" s="48">
        <f>IFERROR(__xludf.DUMMYFUNCTION("""COMPUTED_VALUE"""),378.0)</f>
        <v>378</v>
      </c>
      <c r="AE1196" s="48">
        <f>IFERROR(__xludf.DUMMYFUNCTION("""COMPUTED_VALUE"""),416.0)</f>
        <v>416</v>
      </c>
      <c r="AF1196" s="48">
        <f>IFERROR(__xludf.DUMMYFUNCTION("""COMPUTED_VALUE"""),423.0)</f>
        <v>423</v>
      </c>
      <c r="AG1196" s="48">
        <f>IFERROR(__xludf.DUMMYFUNCTION("""COMPUTED_VALUE"""),286.0)</f>
        <v>286</v>
      </c>
      <c r="AH1196" s="48"/>
      <c r="AI1196" s="14">
        <f>IFERROR(__xludf.DUMMYFUNCTION("""COMPUTED_VALUE"""),375.75)</f>
        <v>375.75</v>
      </c>
      <c r="AJ1196" s="14">
        <f>IFERROR(__xludf.DUMMYFUNCTION("""COMPUTED_VALUE"""),6.2)</f>
        <v>6.2</v>
      </c>
      <c r="AK1196" s="14">
        <f>IFERROR(__xludf.DUMMYFUNCTION("""COMPUTED_VALUE"""),6.1)</f>
        <v>6.1</v>
      </c>
      <c r="AL1196" s="14">
        <f>IFERROR(__xludf.DUMMYFUNCTION("""COMPUTED_VALUE"""),6.3)</f>
        <v>6.3</v>
      </c>
      <c r="AM1196" s="14">
        <f>IFERROR(__xludf.DUMMYFUNCTION("""COMPUTED_VALUE"""),6.2)</f>
        <v>6.2</v>
      </c>
      <c r="AN1196" s="14"/>
      <c r="AO1196" s="14">
        <f>IFERROR(__xludf.DUMMYFUNCTION("""COMPUTED_VALUE"""),6.2)</f>
        <v>6.2</v>
      </c>
      <c r="AP1196" s="14">
        <f>IFERROR(__xludf.DUMMYFUNCTION("""COMPUTED_VALUE"""),18.0)</f>
        <v>18</v>
      </c>
      <c r="AQ1196" s="14">
        <f>IFERROR(__xludf.DUMMYFUNCTION("""COMPUTED_VALUE"""),29.0)</f>
        <v>29</v>
      </c>
      <c r="AR1196" s="14">
        <f>IFERROR(__xludf.DUMMYFUNCTION("""COMPUTED_VALUE"""),25.0)</f>
        <v>25</v>
      </c>
      <c r="AS1196" s="14">
        <f>IFERROR(__xludf.DUMMYFUNCTION("""COMPUTED_VALUE"""),6.8)</f>
        <v>6.8</v>
      </c>
      <c r="AT1196" s="14">
        <f>IFERROR(__xludf.DUMMYFUNCTION("""COMPUTED_VALUE"""),0.26)</f>
        <v>0.26</v>
      </c>
      <c r="AU1196" s="14">
        <f>IFERROR(__xludf.DUMMYFUNCTION("""COMPUTED_VALUE"""),1.106E7)</f>
        <v>11060000</v>
      </c>
      <c r="AV1196" s="14">
        <f>IFERROR(__xludf.DUMMYFUNCTION("""COMPUTED_VALUE"""),1.3)</f>
        <v>1.3</v>
      </c>
      <c r="AW1196" s="14">
        <f>IFERROR(__xludf.DUMMYFUNCTION("""COMPUTED_VALUE"""),1.4)</f>
        <v>1.4</v>
      </c>
      <c r="AX1196" s="14">
        <f>IFERROR(__xludf.DUMMYFUNCTION("""COMPUTED_VALUE"""),9600000.0)</f>
        <v>9600000</v>
      </c>
      <c r="AY1196" s="14">
        <f>IFERROR(__xludf.DUMMYFUNCTION("""COMPUTED_VALUE"""),0.4)</f>
        <v>0.4</v>
      </c>
      <c r="AZ1196" s="14">
        <f>IFERROR(__xludf.DUMMYFUNCTION("""COMPUTED_VALUE"""),0.106)</f>
        <v>0.106</v>
      </c>
      <c r="BA1196" s="14">
        <f t="shared" si="1"/>
        <v>1.906</v>
      </c>
    </row>
    <row r="1197" ht="14.25" customHeight="1">
      <c r="A1197" s="10" t="str">
        <f>IFERROR(__xludf.DUMMYFUNCTION("""COMPUTED_VALUE"""),"081024FM01")</f>
        <v>081024FM01</v>
      </c>
      <c r="B1197" s="12" t="str">
        <f>IFERROR(__xludf.DUMMYFUNCTION("""COMPUTED_VALUE"""),"CMO-Pepe Sierra")</f>
        <v>CMO-Pepe Sierra</v>
      </c>
      <c r="C1197" s="12"/>
      <c r="D1197" s="12"/>
      <c r="E1197" s="44">
        <f>IFERROR(__xludf.DUMMYFUNCTION("""COMPUTED_VALUE"""),45573.0)</f>
        <v>45573</v>
      </c>
      <c r="F1197" s="12" t="str">
        <f>IFERROR(__xludf.DUMMYFUNCTION("""COMPUTED_VALUE"""),"TIPO I")</f>
        <v>TIPO I</v>
      </c>
      <c r="G1197" s="12" t="str">
        <f>IFERROR(__xludf.DUMMYFUNCTION("""COMPUTED_VALUE"""),"Se percibe olor, se observa color, arrastre de material flotante y en suspensión, se observan trazas de grasa, altitud 2576 msnm, canal en concreto.")</f>
        <v>Se percibe olor, se observa color, arrastre de material flotante y en suspensión, se observan trazas de grasa, altitud 2576 msnm, canal en concreto.</v>
      </c>
      <c r="H1197" s="45">
        <f>IFERROR(__xludf.DUMMYFUNCTION("""COMPUTED_VALUE"""),0.25)</f>
        <v>0.25</v>
      </c>
      <c r="I1197" s="45">
        <f>IFERROR(__xludf.DUMMYFUNCTION("""COMPUTED_VALUE"""),0.3333333333321207)</f>
        <v>0.3333333333</v>
      </c>
      <c r="J1197" s="12">
        <f>IFERROR(__xludf.DUMMYFUNCTION("""COMPUTED_VALUE"""),5.6)</f>
        <v>5.6</v>
      </c>
      <c r="K1197" s="12">
        <f>IFERROR(__xludf.DUMMYFUNCTION("""COMPUTED_VALUE"""),0.15)</f>
        <v>0.15</v>
      </c>
      <c r="L1197" s="14">
        <f>IFERROR(__xludf.DUMMYFUNCTION("""COMPUTED_VALUE"""),161.741)</f>
        <v>161.741</v>
      </c>
      <c r="M1197" s="14">
        <f>IFERROR(__xludf.DUMMYFUNCTION("""COMPUTED_VALUE"""),168.399)</f>
        <v>168.399</v>
      </c>
      <c r="N1197" s="14">
        <f>IFERROR(__xludf.DUMMYFUNCTION("""COMPUTED_VALUE"""),196.234)</f>
        <v>196.234</v>
      </c>
      <c r="O1197" s="14">
        <f>IFERROR(__xludf.DUMMYFUNCTION("""COMPUTED_VALUE"""),202.068)</f>
        <v>202.068</v>
      </c>
      <c r="P1197" s="14">
        <f>IFERROR(__xludf.DUMMYFUNCTION("""COMPUTED_VALUE"""),204.439)</f>
        <v>204.439</v>
      </c>
      <c r="Q1197" s="14">
        <f>IFERROR(__xludf.DUMMYFUNCTION("""COMPUTED_VALUE"""),186.576)</f>
        <v>186.576</v>
      </c>
      <c r="R1197" s="48">
        <f>IFERROR(__xludf.DUMMYFUNCTION("""COMPUTED_VALUE"""),7.98)</f>
        <v>7.98</v>
      </c>
      <c r="S1197" s="48">
        <f>IFERROR(__xludf.DUMMYFUNCTION("""COMPUTED_VALUE"""),8.09)</f>
        <v>8.09</v>
      </c>
      <c r="T1197" s="48">
        <f>IFERROR(__xludf.DUMMYFUNCTION("""COMPUTED_VALUE"""),8.16)</f>
        <v>8.16</v>
      </c>
      <c r="U1197" s="48">
        <f>IFERROR(__xludf.DUMMYFUNCTION("""COMPUTED_VALUE"""),8.22)</f>
        <v>8.22</v>
      </c>
      <c r="V1197" s="48">
        <f>IFERROR(__xludf.DUMMYFUNCTION("""COMPUTED_VALUE"""),8.31)</f>
        <v>8.31</v>
      </c>
      <c r="W1197" s="14">
        <f>IFERROR(__xludf.DUMMYFUNCTION("""COMPUTED_VALUE"""),8.152000000000001)</f>
        <v>8.152</v>
      </c>
      <c r="X1197" s="14">
        <f>IFERROR(__xludf.DUMMYFUNCTION("""COMPUTED_VALUE"""),15.8)</f>
        <v>15.8</v>
      </c>
      <c r="Y1197" s="14">
        <f>IFERROR(__xludf.DUMMYFUNCTION("""COMPUTED_VALUE"""),15.8)</f>
        <v>15.8</v>
      </c>
      <c r="Z1197" s="14">
        <f>IFERROR(__xludf.DUMMYFUNCTION("""COMPUTED_VALUE"""),16.0)</f>
        <v>16</v>
      </c>
      <c r="AA1197" s="14">
        <f>IFERROR(__xludf.DUMMYFUNCTION("""COMPUTED_VALUE"""),16.3)</f>
        <v>16.3</v>
      </c>
      <c r="AB1197" s="14">
        <f>IFERROR(__xludf.DUMMYFUNCTION("""COMPUTED_VALUE"""),16.6)</f>
        <v>16.6</v>
      </c>
      <c r="AC1197" s="14">
        <f>IFERROR(__xludf.DUMMYFUNCTION("""COMPUTED_VALUE"""),16.1)</f>
        <v>16.1</v>
      </c>
      <c r="AD1197" s="48">
        <f>IFERROR(__xludf.DUMMYFUNCTION("""COMPUTED_VALUE"""),394.0)</f>
        <v>394</v>
      </c>
      <c r="AE1197" s="48">
        <f>IFERROR(__xludf.DUMMYFUNCTION("""COMPUTED_VALUE"""),410.0)</f>
        <v>410</v>
      </c>
      <c r="AF1197" s="48">
        <f>IFERROR(__xludf.DUMMYFUNCTION("""COMPUTED_VALUE"""),401.0)</f>
        <v>401</v>
      </c>
      <c r="AG1197" s="48">
        <f>IFERROR(__xludf.DUMMYFUNCTION("""COMPUTED_VALUE"""),412.0)</f>
        <v>412</v>
      </c>
      <c r="AH1197" s="48">
        <f>IFERROR(__xludf.DUMMYFUNCTION("""COMPUTED_VALUE"""),406.0)</f>
        <v>406</v>
      </c>
      <c r="AI1197" s="14">
        <f>IFERROR(__xludf.DUMMYFUNCTION("""COMPUTED_VALUE"""),404.6)</f>
        <v>404.6</v>
      </c>
      <c r="AJ1197" s="14">
        <f>IFERROR(__xludf.DUMMYFUNCTION("""COMPUTED_VALUE"""),1.16)</f>
        <v>1.16</v>
      </c>
      <c r="AK1197" s="14">
        <f>IFERROR(__xludf.DUMMYFUNCTION("""COMPUTED_VALUE"""),1.29)</f>
        <v>1.29</v>
      </c>
      <c r="AL1197" s="14">
        <f>IFERROR(__xludf.DUMMYFUNCTION("""COMPUTED_VALUE"""),1.09)</f>
        <v>1.09</v>
      </c>
      <c r="AM1197" s="14">
        <f>IFERROR(__xludf.DUMMYFUNCTION("""COMPUTED_VALUE"""),0.98)</f>
        <v>0.98</v>
      </c>
      <c r="AN1197" s="14">
        <f>IFERROR(__xludf.DUMMYFUNCTION("""COMPUTED_VALUE"""),1.16)</f>
        <v>1.16</v>
      </c>
      <c r="AO1197" s="14">
        <f>IFERROR(__xludf.DUMMYFUNCTION("""COMPUTED_VALUE"""),1.136)</f>
        <v>1.136</v>
      </c>
      <c r="AP1197" s="14">
        <f>IFERROR(__xludf.DUMMYFUNCTION("""COMPUTED_VALUE"""),34.0)</f>
        <v>34</v>
      </c>
      <c r="AQ1197" s="14">
        <f>IFERROR(__xludf.DUMMYFUNCTION("""COMPUTED_VALUE"""),69.0)</f>
        <v>69</v>
      </c>
      <c r="AR1197" s="14">
        <f>IFERROR(__xludf.DUMMYFUNCTION("""COMPUTED_VALUE"""),26.0)</f>
        <v>26</v>
      </c>
      <c r="AS1197" s="14">
        <f>IFERROR(__xludf.DUMMYFUNCTION("""COMPUTED_VALUE"""),15.6)</f>
        <v>15.6</v>
      </c>
      <c r="AT1197" s="14">
        <f>IFERROR(__xludf.DUMMYFUNCTION("""COMPUTED_VALUE"""),2.08)</f>
        <v>2.08</v>
      </c>
      <c r="AU1197" s="14">
        <f>IFERROR(__xludf.DUMMYFUNCTION("""COMPUTED_VALUE"""),1.081E7)</f>
        <v>10810000</v>
      </c>
      <c r="AV1197" s="14">
        <f>IFERROR(__xludf.DUMMYFUNCTION("""COMPUTED_VALUE"""),2.38)</f>
        <v>2.38</v>
      </c>
      <c r="AW1197" s="14">
        <f>IFERROR(__xludf.DUMMYFUNCTION("""COMPUTED_VALUE"""),28.0)</f>
        <v>28</v>
      </c>
      <c r="AX1197" s="14">
        <f>IFERROR(__xludf.DUMMYFUNCTION("""COMPUTED_VALUE"""),6130000.0)</f>
        <v>6130000</v>
      </c>
      <c r="AY1197" s="14">
        <f>IFERROR(__xludf.DUMMYFUNCTION("""COMPUTED_VALUE"""),0.5)</f>
        <v>0.5</v>
      </c>
      <c r="AZ1197" s="14">
        <f>IFERROR(__xludf.DUMMYFUNCTION("""COMPUTED_VALUE"""),0.007)</f>
        <v>0.007</v>
      </c>
      <c r="BA1197" s="14">
        <f t="shared" si="1"/>
        <v>28.507</v>
      </c>
    </row>
    <row r="1198" ht="14.25" customHeight="1">
      <c r="A1198" s="10" t="str">
        <f>IFERROR(__xludf.DUMMYFUNCTION("""COMPUTED_VALUE"""),"081024FM02")</f>
        <v>081024FM02</v>
      </c>
      <c r="B1198" s="12" t="str">
        <f>IFERROR(__xludf.DUMMYFUNCTION("""COMPUTED_VALUE"""),"CMO-Alhambra")</f>
        <v>CMO-Alhambra</v>
      </c>
      <c r="C1198" s="12"/>
      <c r="D1198" s="12"/>
      <c r="E1198" s="44">
        <f>IFERROR(__xludf.DUMMYFUNCTION("""COMPUTED_VALUE"""),45573.0)</f>
        <v>45573</v>
      </c>
      <c r="F1198" s="12" t="str">
        <f>IFERROR(__xludf.DUMMYFUNCTION("""COMPUTED_VALUE"""),"TIPO I")</f>
        <v>TIPO I</v>
      </c>
      <c r="G1198" s="12" t="str">
        <f>IFERROR(__xludf.DUMMYFUNCTION("""COMPUTED_VALUE"""),"Durante el monitoreo se percibe olor y se observa color, presencia de material flotante y en suspensión. 
Altitud: 2573 msnm")</f>
        <v>Durante el monitoreo se percibe olor y se observa color, presencia de material flotante y en suspensión. 
Altitud: 2573 msnm</v>
      </c>
      <c r="H1198" s="45">
        <f>IFERROR(__xludf.DUMMYFUNCTION("""COMPUTED_VALUE"""),0.375)</f>
        <v>0.375</v>
      </c>
      <c r="I1198" s="45">
        <f>IFERROR(__xludf.DUMMYFUNCTION("""COMPUTED_VALUE"""),0.4583333333321207)</f>
        <v>0.4583333333</v>
      </c>
      <c r="J1198" s="12">
        <f>IFERROR(__xludf.DUMMYFUNCTION("""COMPUTED_VALUE"""),6.7)</f>
        <v>6.7</v>
      </c>
      <c r="K1198" s="12">
        <f>IFERROR(__xludf.DUMMYFUNCTION("""COMPUTED_VALUE"""),0.16)</f>
        <v>0.16</v>
      </c>
      <c r="L1198" s="14">
        <f>IFERROR(__xludf.DUMMYFUNCTION("""COMPUTED_VALUE"""),265.459)</f>
        <v>265.459</v>
      </c>
      <c r="M1198" s="14">
        <f>IFERROR(__xludf.DUMMYFUNCTION("""COMPUTED_VALUE"""),272.217)</f>
        <v>272.217</v>
      </c>
      <c r="N1198" s="14">
        <f>IFERROR(__xludf.DUMMYFUNCTION("""COMPUTED_VALUE"""),267.129)</f>
        <v>267.129</v>
      </c>
      <c r="O1198" s="14">
        <f>IFERROR(__xludf.DUMMYFUNCTION("""COMPUTED_VALUE"""),255.539)</f>
        <v>255.539</v>
      </c>
      <c r="P1198" s="14">
        <f>IFERROR(__xludf.DUMMYFUNCTION("""COMPUTED_VALUE"""),257.156)</f>
        <v>257.156</v>
      </c>
      <c r="Q1198" s="14">
        <f>IFERROR(__xludf.DUMMYFUNCTION("""COMPUTED_VALUE"""),263.5)</f>
        <v>263.5</v>
      </c>
      <c r="R1198" s="48">
        <f>IFERROR(__xludf.DUMMYFUNCTION("""COMPUTED_VALUE"""),8.36)</f>
        <v>8.36</v>
      </c>
      <c r="S1198" s="48">
        <f>IFERROR(__xludf.DUMMYFUNCTION("""COMPUTED_VALUE"""),8.52)</f>
        <v>8.52</v>
      </c>
      <c r="T1198" s="48">
        <f>IFERROR(__xludf.DUMMYFUNCTION("""COMPUTED_VALUE"""),8.55)</f>
        <v>8.55</v>
      </c>
      <c r="U1198" s="48">
        <f>IFERROR(__xludf.DUMMYFUNCTION("""COMPUTED_VALUE"""),8.53)</f>
        <v>8.53</v>
      </c>
      <c r="V1198" s="48">
        <f>IFERROR(__xludf.DUMMYFUNCTION("""COMPUTED_VALUE"""),8.46)</f>
        <v>8.46</v>
      </c>
      <c r="W1198" s="14">
        <f>IFERROR(__xludf.DUMMYFUNCTION("""COMPUTED_VALUE"""),8.484)</f>
        <v>8.484</v>
      </c>
      <c r="X1198" s="14">
        <f>IFERROR(__xludf.DUMMYFUNCTION("""COMPUTED_VALUE"""),17.5)</f>
        <v>17.5</v>
      </c>
      <c r="Y1198" s="14">
        <f>IFERROR(__xludf.DUMMYFUNCTION("""COMPUTED_VALUE"""),18.3)</f>
        <v>18.3</v>
      </c>
      <c r="Z1198" s="14">
        <f>IFERROR(__xludf.DUMMYFUNCTION("""COMPUTED_VALUE"""),19.0)</f>
        <v>19</v>
      </c>
      <c r="AA1198" s="14">
        <f>IFERROR(__xludf.DUMMYFUNCTION("""COMPUTED_VALUE"""),19.3)</f>
        <v>19.3</v>
      </c>
      <c r="AB1198" s="14">
        <f>IFERROR(__xludf.DUMMYFUNCTION("""COMPUTED_VALUE"""),19.8)</f>
        <v>19.8</v>
      </c>
      <c r="AC1198" s="14">
        <f>IFERROR(__xludf.DUMMYFUNCTION("""COMPUTED_VALUE"""),18.779999999999998)</f>
        <v>18.78</v>
      </c>
      <c r="AD1198" s="48">
        <f>IFERROR(__xludf.DUMMYFUNCTION("""COMPUTED_VALUE"""),452.0)</f>
        <v>452</v>
      </c>
      <c r="AE1198" s="48">
        <f>IFERROR(__xludf.DUMMYFUNCTION("""COMPUTED_VALUE"""),472.0)</f>
        <v>472</v>
      </c>
      <c r="AF1198" s="48">
        <f>IFERROR(__xludf.DUMMYFUNCTION("""COMPUTED_VALUE"""),470.0)</f>
        <v>470</v>
      </c>
      <c r="AG1198" s="48">
        <f>IFERROR(__xludf.DUMMYFUNCTION("""COMPUTED_VALUE"""),463.0)</f>
        <v>463</v>
      </c>
      <c r="AH1198" s="48">
        <f>IFERROR(__xludf.DUMMYFUNCTION("""COMPUTED_VALUE"""),454.0)</f>
        <v>454</v>
      </c>
      <c r="AI1198" s="14">
        <f>IFERROR(__xludf.DUMMYFUNCTION("""COMPUTED_VALUE"""),462.2)</f>
        <v>462.2</v>
      </c>
      <c r="AJ1198" s="14">
        <f>IFERROR(__xludf.DUMMYFUNCTION("""COMPUTED_VALUE"""),0.86)</f>
        <v>0.86</v>
      </c>
      <c r="AK1198" s="14">
        <f>IFERROR(__xludf.DUMMYFUNCTION("""COMPUTED_VALUE"""),0.88)</f>
        <v>0.88</v>
      </c>
      <c r="AL1198" s="14">
        <f>IFERROR(__xludf.DUMMYFUNCTION("""COMPUTED_VALUE"""),0.93)</f>
        <v>0.93</v>
      </c>
      <c r="AM1198" s="14">
        <f>IFERROR(__xludf.DUMMYFUNCTION("""COMPUTED_VALUE"""),0.85)</f>
        <v>0.85</v>
      </c>
      <c r="AN1198" s="14">
        <f>IFERROR(__xludf.DUMMYFUNCTION("""COMPUTED_VALUE"""),0.78)</f>
        <v>0.78</v>
      </c>
      <c r="AO1198" s="14">
        <f>IFERROR(__xludf.DUMMYFUNCTION("""COMPUTED_VALUE"""),0.86)</f>
        <v>0.86</v>
      </c>
      <c r="AP1198" s="14">
        <f>IFERROR(__xludf.DUMMYFUNCTION("""COMPUTED_VALUE"""),16.0)</f>
        <v>16</v>
      </c>
      <c r="AQ1198" s="14">
        <f>IFERROR(__xludf.DUMMYFUNCTION("""COMPUTED_VALUE"""),28.0)</f>
        <v>28</v>
      </c>
      <c r="AR1198" s="14">
        <f>IFERROR(__xludf.DUMMYFUNCTION("""COMPUTED_VALUE"""),68.0)</f>
        <v>68</v>
      </c>
      <c r="AS1198" s="14">
        <f>IFERROR(__xludf.DUMMYFUNCTION("""COMPUTED_VALUE"""),23.0)</f>
        <v>23</v>
      </c>
      <c r="AT1198" s="14">
        <f>IFERROR(__xludf.DUMMYFUNCTION("""COMPUTED_VALUE"""),2.57)</f>
        <v>2.57</v>
      </c>
      <c r="AU1198" s="14">
        <f>IFERROR(__xludf.DUMMYFUNCTION("""COMPUTED_VALUE"""),1.259E7)</f>
        <v>12590000</v>
      </c>
      <c r="AV1198" s="14">
        <f>IFERROR(__xludf.DUMMYFUNCTION("""COMPUTED_VALUE"""),4.34)</f>
        <v>4.34</v>
      </c>
      <c r="AW1198" s="14">
        <f>IFERROR(__xludf.DUMMYFUNCTION("""COMPUTED_VALUE"""),37.5)</f>
        <v>37.5</v>
      </c>
      <c r="AX1198" s="14">
        <f>IFERROR(__xludf.DUMMYFUNCTION("""COMPUTED_VALUE"""),7330000.0)</f>
        <v>7330000</v>
      </c>
      <c r="AY1198" s="14">
        <f>IFERROR(__xludf.DUMMYFUNCTION("""COMPUTED_VALUE"""),1.0)</f>
        <v>1</v>
      </c>
      <c r="AZ1198" s="14">
        <f>IFERROR(__xludf.DUMMYFUNCTION("""COMPUTED_VALUE"""),0.007)</f>
        <v>0.007</v>
      </c>
      <c r="BA1198" s="14">
        <f t="shared" si="1"/>
        <v>38.507</v>
      </c>
    </row>
    <row r="1199" ht="14.25" customHeight="1">
      <c r="A1199" s="10" t="str">
        <f>IFERROR(__xludf.DUMMYFUNCTION("""COMPUTED_VALUE"""),"091024FM01")</f>
        <v>091024FM01</v>
      </c>
      <c r="B1199" s="12" t="str">
        <f>IFERROR(__xludf.DUMMYFUNCTION("""COMPUTED_VALUE"""),"QZA-Quindío")</f>
        <v>QZA-Quindío</v>
      </c>
      <c r="C1199" s="12"/>
      <c r="D1199" s="12"/>
      <c r="E1199" s="44">
        <f>IFERROR(__xludf.DUMMYFUNCTION("""COMPUTED_VALUE"""),45574.0)</f>
        <v>45574</v>
      </c>
      <c r="F1199" s="12" t="str">
        <f>IFERROR(__xludf.DUMMYFUNCTION("""COMPUTED_VALUE"""),"TIPO I")</f>
        <v>TIPO I</v>
      </c>
      <c r="G1199" s="12" t="str">
        <f>IFERROR(__xludf.DUMMYFUNCTION("""COMPUTED_VALUE"""),"Lecho natural rocoso, no se percibe olor y se observa color, arrastre de residuos, solidos en sus márgenes, se presenta un aumento considerable de caudal al reportado normalmente. A partir de la tercera alícuota se presenta un cambio en la coloración del "&amp;"agua y se percibe olor.")</f>
        <v>Lecho natural rocoso, no se percibe olor y se observa color, arrastre de residuos, solidos en sus márgenes, se presenta un aumento considerable de caudal al reportado normalmente. A partir de la tercera alícuota se presenta un cambio en la coloración del agua y se percibe olor.</v>
      </c>
      <c r="H1199" s="45">
        <f>IFERROR(__xludf.DUMMYFUNCTION("""COMPUTED_VALUE"""),0.2916666666678793)</f>
        <v>0.2916666667</v>
      </c>
      <c r="I1199" s="45">
        <f>IFERROR(__xludf.DUMMYFUNCTION("""COMPUTED_VALUE"""),0.375)</f>
        <v>0.375</v>
      </c>
      <c r="J1199" s="12">
        <f>IFERROR(__xludf.DUMMYFUNCTION("""COMPUTED_VALUE"""),1.4)</f>
        <v>1.4</v>
      </c>
      <c r="K1199" s="12">
        <f>IFERROR(__xludf.DUMMYFUNCTION("""COMPUTED_VALUE"""),0.24)</f>
        <v>0.24</v>
      </c>
      <c r="L1199" s="14">
        <f>IFERROR(__xludf.DUMMYFUNCTION("""COMPUTED_VALUE"""),168.407)</f>
        <v>168.407</v>
      </c>
      <c r="M1199" s="14">
        <f>IFERROR(__xludf.DUMMYFUNCTION("""COMPUTED_VALUE"""),164.014)</f>
        <v>164.014</v>
      </c>
      <c r="N1199" s="14">
        <f>IFERROR(__xludf.DUMMYFUNCTION("""COMPUTED_VALUE"""),130.615)</f>
        <v>130.615</v>
      </c>
      <c r="O1199" s="14">
        <f>IFERROR(__xludf.DUMMYFUNCTION("""COMPUTED_VALUE"""),126.796)</f>
        <v>126.796</v>
      </c>
      <c r="P1199" s="14">
        <f>IFERROR(__xludf.DUMMYFUNCTION("""COMPUTED_VALUE"""),124.971)</f>
        <v>124.971</v>
      </c>
      <c r="Q1199" s="14">
        <f>IFERROR(__xludf.DUMMYFUNCTION("""COMPUTED_VALUE"""),142.961)</f>
        <v>142.961</v>
      </c>
      <c r="R1199" s="48">
        <f>IFERROR(__xludf.DUMMYFUNCTION("""COMPUTED_VALUE"""),7.1)</f>
        <v>7.1</v>
      </c>
      <c r="S1199" s="48">
        <f>IFERROR(__xludf.DUMMYFUNCTION("""COMPUTED_VALUE"""),7.37)</f>
        <v>7.37</v>
      </c>
      <c r="T1199" s="48">
        <f>IFERROR(__xludf.DUMMYFUNCTION("""COMPUTED_VALUE"""),7.0)</f>
        <v>7</v>
      </c>
      <c r="U1199" s="48">
        <f>IFERROR(__xludf.DUMMYFUNCTION("""COMPUTED_VALUE"""),7.12)</f>
        <v>7.12</v>
      </c>
      <c r="V1199" s="48">
        <f>IFERROR(__xludf.DUMMYFUNCTION("""COMPUTED_VALUE"""),7.12)</f>
        <v>7.12</v>
      </c>
      <c r="W1199" s="14">
        <f>IFERROR(__xludf.DUMMYFUNCTION("""COMPUTED_VALUE"""),7.142)</f>
        <v>7.142</v>
      </c>
      <c r="X1199" s="14">
        <f>IFERROR(__xludf.DUMMYFUNCTION("""COMPUTED_VALUE"""),10.2)</f>
        <v>10.2</v>
      </c>
      <c r="Y1199" s="14">
        <f>IFERROR(__xludf.DUMMYFUNCTION("""COMPUTED_VALUE"""),10.0)</f>
        <v>10</v>
      </c>
      <c r="Z1199" s="14">
        <f>IFERROR(__xludf.DUMMYFUNCTION("""COMPUTED_VALUE"""),10.2)</f>
        <v>10.2</v>
      </c>
      <c r="AA1199" s="14">
        <f>IFERROR(__xludf.DUMMYFUNCTION("""COMPUTED_VALUE"""),10.2)</f>
        <v>10.2</v>
      </c>
      <c r="AB1199" s="14">
        <f>IFERROR(__xludf.DUMMYFUNCTION("""COMPUTED_VALUE"""),10.4)</f>
        <v>10.4</v>
      </c>
      <c r="AC1199" s="14">
        <f>IFERROR(__xludf.DUMMYFUNCTION("""COMPUTED_VALUE"""),10.2)</f>
        <v>10.2</v>
      </c>
      <c r="AD1199" s="48">
        <f>IFERROR(__xludf.DUMMYFUNCTION("""COMPUTED_VALUE"""),21.9)</f>
        <v>21.9</v>
      </c>
      <c r="AE1199" s="48">
        <f>IFERROR(__xludf.DUMMYFUNCTION("""COMPUTED_VALUE"""),21.7)</f>
        <v>21.7</v>
      </c>
      <c r="AF1199" s="48">
        <f>IFERROR(__xludf.DUMMYFUNCTION("""COMPUTED_VALUE"""),22.7)</f>
        <v>22.7</v>
      </c>
      <c r="AG1199" s="48">
        <f>IFERROR(__xludf.DUMMYFUNCTION("""COMPUTED_VALUE"""),26.7)</f>
        <v>26.7</v>
      </c>
      <c r="AH1199" s="48">
        <f>IFERROR(__xludf.DUMMYFUNCTION("""COMPUTED_VALUE"""),26.7)</f>
        <v>26.7</v>
      </c>
      <c r="AI1199" s="14">
        <f>IFERROR(__xludf.DUMMYFUNCTION("""COMPUTED_VALUE"""),23.94)</f>
        <v>23.94</v>
      </c>
      <c r="AJ1199" s="14">
        <f>IFERROR(__xludf.DUMMYFUNCTION("""COMPUTED_VALUE"""),6.62)</f>
        <v>6.62</v>
      </c>
      <c r="AK1199" s="14">
        <f>IFERROR(__xludf.DUMMYFUNCTION("""COMPUTED_VALUE"""),6.96)</f>
        <v>6.96</v>
      </c>
      <c r="AL1199" s="14">
        <f>IFERROR(__xludf.DUMMYFUNCTION("""COMPUTED_VALUE"""),6.88)</f>
        <v>6.88</v>
      </c>
      <c r="AM1199" s="14">
        <f>IFERROR(__xludf.DUMMYFUNCTION("""COMPUTED_VALUE"""),6.97)</f>
        <v>6.97</v>
      </c>
      <c r="AN1199" s="14">
        <f>IFERROR(__xludf.DUMMYFUNCTION("""COMPUTED_VALUE"""),6.99)</f>
        <v>6.99</v>
      </c>
      <c r="AO1199" s="14">
        <f>IFERROR(__xludf.DUMMYFUNCTION("""COMPUTED_VALUE"""),6.884)</f>
        <v>6.884</v>
      </c>
      <c r="AP1199" s="14">
        <f>IFERROR(__xludf.DUMMYFUNCTION("""COMPUTED_VALUE"""),4.0)</f>
        <v>4</v>
      </c>
      <c r="AQ1199" s="14">
        <f>IFERROR(__xludf.DUMMYFUNCTION("""COMPUTED_VALUE"""),28.0)</f>
        <v>28</v>
      </c>
      <c r="AR1199" s="14">
        <f>IFERROR(__xludf.DUMMYFUNCTION("""COMPUTED_VALUE"""),66.0)</f>
        <v>66</v>
      </c>
      <c r="AS1199" s="14">
        <f>IFERROR(__xludf.DUMMYFUNCTION("""COMPUTED_VALUE"""),9.5)</f>
        <v>9.5</v>
      </c>
      <c r="AT1199" s="14">
        <f>IFERROR(__xludf.DUMMYFUNCTION("""COMPUTED_VALUE"""),0.24)</f>
        <v>0.24</v>
      </c>
      <c r="AU1199" s="14">
        <f>IFERROR(__xludf.DUMMYFUNCTION("""COMPUTED_VALUE"""),7830.0)</f>
        <v>7830</v>
      </c>
      <c r="AV1199" s="14">
        <f>IFERROR(__xludf.DUMMYFUNCTION("""COMPUTED_VALUE"""),0.05)</f>
        <v>0.05</v>
      </c>
      <c r="AW1199" s="14">
        <f>IFERROR(__xludf.DUMMYFUNCTION("""COMPUTED_VALUE"""),1.1)</f>
        <v>1.1</v>
      </c>
      <c r="AX1199" s="14">
        <f>IFERROR(__xludf.DUMMYFUNCTION("""COMPUTED_VALUE"""),6050.0)</f>
        <v>6050</v>
      </c>
      <c r="AY1199" s="14">
        <f>IFERROR(__xludf.DUMMYFUNCTION("""COMPUTED_VALUE"""),0.6)</f>
        <v>0.6</v>
      </c>
      <c r="AZ1199" s="14">
        <f>IFERROR(__xludf.DUMMYFUNCTION("""COMPUTED_VALUE"""),0.007)</f>
        <v>0.007</v>
      </c>
      <c r="BA1199" s="14">
        <f t="shared" si="1"/>
        <v>1.707</v>
      </c>
    </row>
    <row r="1200" ht="14.25" customHeight="1">
      <c r="A1200" s="10" t="str">
        <f>IFERROR(__xludf.DUMMYFUNCTION("""COMPUTED_VALUE"""),"091024FM03")</f>
        <v>091024FM03</v>
      </c>
      <c r="B1200" s="12" t="str">
        <f>IFERROR(__xludf.DUMMYFUNCTION("""COMPUTED_VALUE"""),"QZA-Molinos")</f>
        <v>QZA-Molinos</v>
      </c>
      <c r="C1200" s="12"/>
      <c r="D1200" s="12"/>
      <c r="E1200" s="44">
        <f>IFERROR(__xludf.DUMMYFUNCTION("""COMPUTED_VALUE"""),45574.0)</f>
        <v>45574</v>
      </c>
      <c r="F1200" s="12" t="str">
        <f>IFERROR(__xludf.DUMMYFUNCTION("""COMPUTED_VALUE"""),"TIPO I")</f>
        <v>TIPO I</v>
      </c>
      <c r="G1200" s="12" t="str">
        <f>IFERROR(__xludf.DUMMYFUNCTION("""COMPUTED_VALUE"""),"Durante el monitoreo se percibe olor, se observa color, presencia de espuma en la lámina de agua, arrastre de residuos sólidos y material flotante. 
Altitud: 2585 msnm")</f>
        <v>Durante el monitoreo se percibe olor, se observa color, presencia de espuma en la lámina de agua, arrastre de residuos sólidos y material flotante. 
Altitud: 2585 msnm</v>
      </c>
      <c r="H1200" s="45">
        <f>IFERROR(__xludf.DUMMYFUNCTION("""COMPUTED_VALUE"""),0.5416666666678793)</f>
        <v>0.5416666667</v>
      </c>
      <c r="I1200" s="45">
        <f>IFERROR(__xludf.DUMMYFUNCTION("""COMPUTED_VALUE"""),0.625)</f>
        <v>0.625</v>
      </c>
      <c r="J1200" s="12">
        <f>IFERROR(__xludf.DUMMYFUNCTION("""COMPUTED_VALUE"""),5.2)</f>
        <v>5.2</v>
      </c>
      <c r="K1200" s="12">
        <f>IFERROR(__xludf.DUMMYFUNCTION("""COMPUTED_VALUE"""),0.31)</f>
        <v>0.31</v>
      </c>
      <c r="L1200" s="14">
        <f>IFERROR(__xludf.DUMMYFUNCTION("""COMPUTED_VALUE"""),721.936)</f>
        <v>721.936</v>
      </c>
      <c r="M1200" s="14">
        <f>IFERROR(__xludf.DUMMYFUNCTION("""COMPUTED_VALUE"""),726.962)</f>
        <v>726.962</v>
      </c>
      <c r="N1200" s="14">
        <f>IFERROR(__xludf.DUMMYFUNCTION("""COMPUTED_VALUE"""),733.066)</f>
        <v>733.066</v>
      </c>
      <c r="O1200" s="14">
        <f>IFERROR(__xludf.DUMMYFUNCTION("""COMPUTED_VALUE"""),717.157)</f>
        <v>717.157</v>
      </c>
      <c r="P1200" s="14">
        <f>IFERROR(__xludf.DUMMYFUNCTION("""COMPUTED_VALUE"""),720.346)</f>
        <v>720.346</v>
      </c>
      <c r="Q1200" s="14">
        <f>IFERROR(__xludf.DUMMYFUNCTION("""COMPUTED_VALUE"""),723.893)</f>
        <v>723.893</v>
      </c>
      <c r="R1200" s="48">
        <f>IFERROR(__xludf.DUMMYFUNCTION("""COMPUTED_VALUE"""),8.53)</f>
        <v>8.53</v>
      </c>
      <c r="S1200" s="48">
        <f>IFERROR(__xludf.DUMMYFUNCTION("""COMPUTED_VALUE"""),8.54)</f>
        <v>8.54</v>
      </c>
      <c r="T1200" s="48">
        <f>IFERROR(__xludf.DUMMYFUNCTION("""COMPUTED_VALUE"""),8.52)</f>
        <v>8.52</v>
      </c>
      <c r="U1200" s="48">
        <f>IFERROR(__xludf.DUMMYFUNCTION("""COMPUTED_VALUE"""),8.48)</f>
        <v>8.48</v>
      </c>
      <c r="V1200" s="48">
        <f>IFERROR(__xludf.DUMMYFUNCTION("""COMPUTED_VALUE"""),8.49)</f>
        <v>8.49</v>
      </c>
      <c r="W1200" s="14">
        <f>IFERROR(__xludf.DUMMYFUNCTION("""COMPUTED_VALUE"""),8.512)</f>
        <v>8.512</v>
      </c>
      <c r="X1200" s="14">
        <f>IFERROR(__xludf.DUMMYFUNCTION("""COMPUTED_VALUE"""),16.3)</f>
        <v>16.3</v>
      </c>
      <c r="Y1200" s="14">
        <f>IFERROR(__xludf.DUMMYFUNCTION("""COMPUTED_VALUE"""),16.0)</f>
        <v>16</v>
      </c>
      <c r="Z1200" s="14">
        <f>IFERROR(__xludf.DUMMYFUNCTION("""COMPUTED_VALUE"""),15.7)</f>
        <v>15.7</v>
      </c>
      <c r="AA1200" s="14">
        <f>IFERROR(__xludf.DUMMYFUNCTION("""COMPUTED_VALUE"""),16.2)</f>
        <v>16.2</v>
      </c>
      <c r="AB1200" s="14">
        <f>IFERROR(__xludf.DUMMYFUNCTION("""COMPUTED_VALUE"""),16.0)</f>
        <v>16</v>
      </c>
      <c r="AC1200" s="14">
        <f>IFERROR(__xludf.DUMMYFUNCTION("""COMPUTED_VALUE"""),16.04)</f>
        <v>16.04</v>
      </c>
      <c r="AD1200" s="48">
        <f>IFERROR(__xludf.DUMMYFUNCTION("""COMPUTED_VALUE"""),372.0)</f>
        <v>372</v>
      </c>
      <c r="AE1200" s="48">
        <f>IFERROR(__xludf.DUMMYFUNCTION("""COMPUTED_VALUE"""),374.0)</f>
        <v>374</v>
      </c>
      <c r="AF1200" s="48">
        <f>IFERROR(__xludf.DUMMYFUNCTION("""COMPUTED_VALUE"""),376.0)</f>
        <v>376</v>
      </c>
      <c r="AG1200" s="48">
        <f>IFERROR(__xludf.DUMMYFUNCTION("""COMPUTED_VALUE"""),381.0)</f>
        <v>381</v>
      </c>
      <c r="AH1200" s="48">
        <f>IFERROR(__xludf.DUMMYFUNCTION("""COMPUTED_VALUE"""),381.0)</f>
        <v>381</v>
      </c>
      <c r="AI1200" s="14">
        <f>IFERROR(__xludf.DUMMYFUNCTION("""COMPUTED_VALUE"""),376.8)</f>
        <v>376.8</v>
      </c>
      <c r="AJ1200" s="14">
        <f>IFERROR(__xludf.DUMMYFUNCTION("""COMPUTED_VALUE"""),5.33)</f>
        <v>5.33</v>
      </c>
      <c r="AK1200" s="14">
        <f>IFERROR(__xludf.DUMMYFUNCTION("""COMPUTED_VALUE"""),5.06)</f>
        <v>5.06</v>
      </c>
      <c r="AL1200" s="14">
        <f>IFERROR(__xludf.DUMMYFUNCTION("""COMPUTED_VALUE"""),4.72)</f>
        <v>4.72</v>
      </c>
      <c r="AM1200" s="14">
        <f>IFERROR(__xludf.DUMMYFUNCTION("""COMPUTED_VALUE"""),5.59)</f>
        <v>5.59</v>
      </c>
      <c r="AN1200" s="14">
        <f>IFERROR(__xludf.DUMMYFUNCTION("""COMPUTED_VALUE"""),4.99)</f>
        <v>4.99</v>
      </c>
      <c r="AO1200" s="14">
        <f>IFERROR(__xludf.DUMMYFUNCTION("""COMPUTED_VALUE"""),5.138)</f>
        <v>5.138</v>
      </c>
      <c r="AP1200" s="14">
        <f>IFERROR(__xludf.DUMMYFUNCTION("""COMPUTED_VALUE"""),72.0)</f>
        <v>72</v>
      </c>
      <c r="AQ1200" s="14">
        <f>IFERROR(__xludf.DUMMYFUNCTION("""COMPUTED_VALUE"""),126.0)</f>
        <v>126</v>
      </c>
      <c r="AR1200" s="14">
        <f>IFERROR(__xludf.DUMMYFUNCTION("""COMPUTED_VALUE"""),78.0)</f>
        <v>78</v>
      </c>
      <c r="AS1200" s="14">
        <f>IFERROR(__xludf.DUMMYFUNCTION("""COMPUTED_VALUE"""),20.0)</f>
        <v>20</v>
      </c>
      <c r="AT1200" s="14">
        <f>IFERROR(__xludf.DUMMYFUNCTION("""COMPUTED_VALUE"""),2.63)</f>
        <v>2.63</v>
      </c>
      <c r="AU1200" s="14">
        <f>IFERROR(__xludf.DUMMYFUNCTION("""COMPUTED_VALUE"""),1.459E7)</f>
        <v>14590000</v>
      </c>
      <c r="AV1200" s="14">
        <f>IFERROR(__xludf.DUMMYFUNCTION("""COMPUTED_VALUE"""),0.98)</f>
        <v>0.98</v>
      </c>
      <c r="AW1200" s="14">
        <f>IFERROR(__xludf.DUMMYFUNCTION("""COMPUTED_VALUE"""),18.5)</f>
        <v>18.5</v>
      </c>
      <c r="AX1200" s="14">
        <f>IFERROR(__xludf.DUMMYFUNCTION("""COMPUTED_VALUE"""),7800000.0)</f>
        <v>7800000</v>
      </c>
      <c r="AY1200" s="14">
        <f>IFERROR(__xludf.DUMMYFUNCTION("""COMPUTED_VALUE"""),0.7)</f>
        <v>0.7</v>
      </c>
      <c r="AZ1200" s="14">
        <f>IFERROR(__xludf.DUMMYFUNCTION("""COMPUTED_VALUE"""),0.007)</f>
        <v>0.007</v>
      </c>
      <c r="BA1200" s="14">
        <f t="shared" si="1"/>
        <v>19.207</v>
      </c>
    </row>
    <row r="1201" ht="14.25" customHeight="1">
      <c r="A1201" s="10" t="str">
        <f>IFERROR(__xludf.DUMMYFUNCTION("""COMPUTED_VALUE"""),"091024LA03")</f>
        <v>091024LA03</v>
      </c>
      <c r="B1201" s="12" t="str">
        <f>IFERROR(__xludf.DUMMYFUNCTION("""COMPUTED_VALUE"""),"QLI-Villa del Diamante")</f>
        <v>QLI-Villa del Diamante</v>
      </c>
      <c r="C1201" s="12"/>
      <c r="D1201" s="12"/>
      <c r="E1201" s="44">
        <f>IFERROR(__xludf.DUMMYFUNCTION("""COMPUTED_VALUE"""),45574.0)</f>
        <v>45574</v>
      </c>
      <c r="F1201" s="12" t="str">
        <f>IFERROR(__xludf.DUMMYFUNCTION("""COMPUTED_VALUE"""),"TIPO I")</f>
        <v>TIPO I</v>
      </c>
      <c r="G1201" s="12" t="str">
        <f>IFERROR(__xludf.DUMMYFUNCTION("""COMPUTED_VALUE"""),"Durante el desarrollo del monitoreo se percibe olor, se observa color y espumas.
Se presentan fuertes precipitaciones previo al inicio del monitoreo, por lo cual, el primer caudal da un resultado elevado con respecto al resto.
En el aforo del segundo caud"&amp;"al, se presenta una disminución significativa en el mismo.
Altitud: 2619 msnm.")</f>
        <v>Durante el desarrollo del monitoreo se percibe olor, se observa color y espumas.
Se presentan fuertes precipitaciones previo al inicio del monitoreo, por lo cual, el primer caudal da un resultado elevado con respecto al resto.
En el aforo del segundo caudal, se presenta una disminución significativa en el mismo.
Altitud: 2619 msnm.</v>
      </c>
      <c r="H1201" s="45">
        <f>IFERROR(__xludf.DUMMYFUNCTION("""COMPUTED_VALUE"""),0.625)</f>
        <v>0.625</v>
      </c>
      <c r="I1201" s="45">
        <f>IFERROR(__xludf.DUMMYFUNCTION("""COMPUTED_VALUE"""),0.7083333333321207)</f>
        <v>0.7083333333</v>
      </c>
      <c r="J1201" s="12">
        <f>IFERROR(__xludf.DUMMYFUNCTION("""COMPUTED_VALUE"""),1.4)</f>
        <v>1.4</v>
      </c>
      <c r="K1201" s="12">
        <f>IFERROR(__xludf.DUMMYFUNCTION("""COMPUTED_VALUE"""),0.45)</f>
        <v>0.45</v>
      </c>
      <c r="L1201" s="14">
        <f>IFERROR(__xludf.DUMMYFUNCTION("""COMPUTED_VALUE"""),280.403)</f>
        <v>280.403</v>
      </c>
      <c r="M1201" s="14">
        <f>IFERROR(__xludf.DUMMYFUNCTION("""COMPUTED_VALUE"""),226.901)</f>
        <v>226.901</v>
      </c>
      <c r="N1201" s="14">
        <f>IFERROR(__xludf.DUMMYFUNCTION("""COMPUTED_VALUE"""),206.627)</f>
        <v>206.627</v>
      </c>
      <c r="O1201" s="14">
        <f>IFERROR(__xludf.DUMMYFUNCTION("""COMPUTED_VALUE"""),198.146)</f>
        <v>198.146</v>
      </c>
      <c r="P1201" s="14">
        <f>IFERROR(__xludf.DUMMYFUNCTION("""COMPUTED_VALUE"""),179.473)</f>
        <v>179.473</v>
      </c>
      <c r="Q1201" s="14">
        <f>IFERROR(__xludf.DUMMYFUNCTION("""COMPUTED_VALUE"""),218.31)</f>
        <v>218.31</v>
      </c>
      <c r="R1201" s="48">
        <f>IFERROR(__xludf.DUMMYFUNCTION("""COMPUTED_VALUE"""),8.12)</f>
        <v>8.12</v>
      </c>
      <c r="S1201" s="48">
        <f>IFERROR(__xludf.DUMMYFUNCTION("""COMPUTED_VALUE"""),8.23)</f>
        <v>8.23</v>
      </c>
      <c r="T1201" s="48">
        <f>IFERROR(__xludf.DUMMYFUNCTION("""COMPUTED_VALUE"""),8.28)</f>
        <v>8.28</v>
      </c>
      <c r="U1201" s="48">
        <f>IFERROR(__xludf.DUMMYFUNCTION("""COMPUTED_VALUE"""),8.26)</f>
        <v>8.26</v>
      </c>
      <c r="V1201" s="48">
        <f>IFERROR(__xludf.DUMMYFUNCTION("""COMPUTED_VALUE"""),8.24)</f>
        <v>8.24</v>
      </c>
      <c r="W1201" s="14">
        <f>IFERROR(__xludf.DUMMYFUNCTION("""COMPUTED_VALUE"""),8.226)</f>
        <v>8.226</v>
      </c>
      <c r="X1201" s="14">
        <f>IFERROR(__xludf.DUMMYFUNCTION("""COMPUTED_VALUE"""),16.8)</f>
        <v>16.8</v>
      </c>
      <c r="Y1201" s="14">
        <f>IFERROR(__xludf.DUMMYFUNCTION("""COMPUTED_VALUE"""),15.7)</f>
        <v>15.7</v>
      </c>
      <c r="Z1201" s="14">
        <f>IFERROR(__xludf.DUMMYFUNCTION("""COMPUTED_VALUE"""),16.0)</f>
        <v>16</v>
      </c>
      <c r="AA1201" s="14">
        <f>IFERROR(__xludf.DUMMYFUNCTION("""COMPUTED_VALUE"""),16.0)</f>
        <v>16</v>
      </c>
      <c r="AB1201" s="14">
        <f>IFERROR(__xludf.DUMMYFUNCTION("""COMPUTED_VALUE"""),15.9)</f>
        <v>15.9</v>
      </c>
      <c r="AC1201" s="14">
        <f>IFERROR(__xludf.DUMMYFUNCTION("""COMPUTED_VALUE"""),16.080000000000002)</f>
        <v>16.08</v>
      </c>
      <c r="AD1201" s="48">
        <f>IFERROR(__xludf.DUMMYFUNCTION("""COMPUTED_VALUE"""),244.0)</f>
        <v>244</v>
      </c>
      <c r="AE1201" s="48">
        <f>IFERROR(__xludf.DUMMYFUNCTION("""COMPUTED_VALUE"""),284.0)</f>
        <v>284</v>
      </c>
      <c r="AF1201" s="48">
        <f>IFERROR(__xludf.DUMMYFUNCTION("""COMPUTED_VALUE"""),285.0)</f>
        <v>285</v>
      </c>
      <c r="AG1201" s="48">
        <f>IFERROR(__xludf.DUMMYFUNCTION("""COMPUTED_VALUE"""),288.0)</f>
        <v>288</v>
      </c>
      <c r="AH1201" s="48">
        <f>IFERROR(__xludf.DUMMYFUNCTION("""COMPUTED_VALUE"""),289.0)</f>
        <v>289</v>
      </c>
      <c r="AI1201" s="14">
        <f>IFERROR(__xludf.DUMMYFUNCTION("""COMPUTED_VALUE"""),278.0)</f>
        <v>278</v>
      </c>
      <c r="AJ1201" s="14">
        <f>IFERROR(__xludf.DUMMYFUNCTION("""COMPUTED_VALUE"""),6.2)</f>
        <v>6.2</v>
      </c>
      <c r="AK1201" s="14">
        <f>IFERROR(__xludf.DUMMYFUNCTION("""COMPUTED_VALUE"""),5.9)</f>
        <v>5.9</v>
      </c>
      <c r="AL1201" s="14">
        <f>IFERROR(__xludf.DUMMYFUNCTION("""COMPUTED_VALUE"""),5.8)</f>
        <v>5.8</v>
      </c>
      <c r="AM1201" s="14">
        <f>IFERROR(__xludf.DUMMYFUNCTION("""COMPUTED_VALUE"""),5.7)</f>
        <v>5.7</v>
      </c>
      <c r="AN1201" s="14">
        <f>IFERROR(__xludf.DUMMYFUNCTION("""COMPUTED_VALUE"""),5.9)</f>
        <v>5.9</v>
      </c>
      <c r="AO1201" s="14">
        <f>IFERROR(__xludf.DUMMYFUNCTION("""COMPUTED_VALUE"""),5.9)</f>
        <v>5.9</v>
      </c>
      <c r="AP1201" s="14">
        <f>IFERROR(__xludf.DUMMYFUNCTION("""COMPUTED_VALUE"""),18.0)</f>
        <v>18</v>
      </c>
      <c r="AQ1201" s="14">
        <f>IFERROR(__xludf.DUMMYFUNCTION("""COMPUTED_VALUE"""),118.0)</f>
        <v>118</v>
      </c>
      <c r="AR1201" s="14">
        <f>IFERROR(__xludf.DUMMYFUNCTION("""COMPUTED_VALUE"""),570.0)</f>
        <v>570</v>
      </c>
      <c r="AS1201" s="14">
        <f>IFERROR(__xludf.DUMMYFUNCTION("""COMPUTED_VALUE"""),16.5)</f>
        <v>16.5</v>
      </c>
      <c r="AT1201" s="14">
        <f>IFERROR(__xludf.DUMMYFUNCTION("""COMPUTED_VALUE"""),0.44)</f>
        <v>0.44</v>
      </c>
      <c r="AU1201" s="14">
        <f>IFERROR(__xludf.DUMMYFUNCTION("""COMPUTED_VALUE"""),8600000.0)</f>
        <v>8600000</v>
      </c>
      <c r="AV1201" s="14">
        <f>IFERROR(__xludf.DUMMYFUNCTION("""COMPUTED_VALUE"""),0.22)</f>
        <v>0.22</v>
      </c>
      <c r="AW1201" s="14">
        <f>IFERROR(__xludf.DUMMYFUNCTION("""COMPUTED_VALUE"""),10.6)</f>
        <v>10.6</v>
      </c>
      <c r="AX1201" s="14">
        <f>IFERROR(__xludf.DUMMYFUNCTION("""COMPUTED_VALUE"""),41000.0)</f>
        <v>41000</v>
      </c>
      <c r="AY1201" s="14">
        <f>IFERROR(__xludf.DUMMYFUNCTION("""COMPUTED_VALUE"""),0.9)</f>
        <v>0.9</v>
      </c>
      <c r="AZ1201" s="14">
        <f>IFERROR(__xludf.DUMMYFUNCTION("""COMPUTED_VALUE"""),0.272)</f>
        <v>0.272</v>
      </c>
      <c r="BA1201" s="14">
        <f t="shared" si="1"/>
        <v>11.772</v>
      </c>
    </row>
    <row r="1202" ht="14.25" customHeight="1">
      <c r="A1202" s="10" t="str">
        <f>IFERROR(__xludf.DUMMYFUNCTION("""COMPUTED_VALUE"""),"111024DU01")</f>
        <v>111024DU01</v>
      </c>
      <c r="B1202" s="12" t="str">
        <f>IFERROR(__xludf.DUMMYFUNCTION("""COMPUTED_VALUE"""),"QLI-Bella Flor")</f>
        <v>QLI-Bella Flor</v>
      </c>
      <c r="C1202" s="12"/>
      <c r="D1202" s="12"/>
      <c r="E1202" s="44">
        <f>IFERROR(__xludf.DUMMYFUNCTION("""COMPUTED_VALUE"""),45576.0)</f>
        <v>45576</v>
      </c>
      <c r="F1202" s="12" t="str">
        <f>IFERROR(__xludf.DUMMYFUNCTION("""COMPUTED_VALUE"""),"TIPO I")</f>
        <v>TIPO I</v>
      </c>
      <c r="G1202" s="12" t="str">
        <f>IFERROR(__xludf.DUMMYFUNCTION("""COMPUTED_VALUE"""),"Durante el monitoreo se observa color, espuma y arrastre de residuos solidos en el lecho natural, adicional se percibe olor.
A partir de la alícuota 3 se observa un aumento de material flotante.
Altitud 2793 msnm")</f>
        <v>Durante el monitoreo se observa color, espuma y arrastre de residuos solidos en el lecho natural, adicional se percibe olor.
A partir de la alícuota 3 se observa un aumento de material flotante.
Altitud 2793 msnm</v>
      </c>
      <c r="H1202" s="45">
        <f>IFERROR(__xludf.DUMMYFUNCTION("""COMPUTED_VALUE"""),0.3333333333321207)</f>
        <v>0.3333333333</v>
      </c>
      <c r="I1202" s="45">
        <f>IFERROR(__xludf.DUMMYFUNCTION("""COMPUTED_VALUE"""),0.4166666666678793)</f>
        <v>0.4166666667</v>
      </c>
      <c r="J1202" s="12">
        <f>IFERROR(__xludf.DUMMYFUNCTION("""COMPUTED_VALUE"""),1.0)</f>
        <v>1</v>
      </c>
      <c r="K1202" s="12">
        <f>IFERROR(__xludf.DUMMYFUNCTION("""COMPUTED_VALUE"""),0.17)</f>
        <v>0.17</v>
      </c>
      <c r="L1202" s="14">
        <f>IFERROR(__xludf.DUMMYFUNCTION("""COMPUTED_VALUE"""),63.689)</f>
        <v>63.689</v>
      </c>
      <c r="M1202" s="14">
        <f>IFERROR(__xludf.DUMMYFUNCTION("""COMPUTED_VALUE"""),63.522)</f>
        <v>63.522</v>
      </c>
      <c r="N1202" s="14">
        <f>IFERROR(__xludf.DUMMYFUNCTION("""COMPUTED_VALUE"""),62.81)</f>
        <v>62.81</v>
      </c>
      <c r="O1202" s="14">
        <f>IFERROR(__xludf.DUMMYFUNCTION("""COMPUTED_VALUE"""),63.016)</f>
        <v>63.016</v>
      </c>
      <c r="P1202" s="14">
        <f>IFERROR(__xludf.DUMMYFUNCTION("""COMPUTED_VALUE"""),63.118)</f>
        <v>63.118</v>
      </c>
      <c r="Q1202" s="14">
        <f>IFERROR(__xludf.DUMMYFUNCTION("""COMPUTED_VALUE"""),63.231)</f>
        <v>63.231</v>
      </c>
      <c r="R1202" s="48">
        <f>IFERROR(__xludf.DUMMYFUNCTION("""COMPUTED_VALUE"""),8.3)</f>
        <v>8.3</v>
      </c>
      <c r="S1202" s="48">
        <f>IFERROR(__xludf.DUMMYFUNCTION("""COMPUTED_VALUE"""),8.31)</f>
        <v>8.31</v>
      </c>
      <c r="T1202" s="48">
        <f>IFERROR(__xludf.DUMMYFUNCTION("""COMPUTED_VALUE"""),8.33)</f>
        <v>8.33</v>
      </c>
      <c r="U1202" s="48">
        <f>IFERROR(__xludf.DUMMYFUNCTION("""COMPUTED_VALUE"""),8.35)</f>
        <v>8.35</v>
      </c>
      <c r="V1202" s="48">
        <f>IFERROR(__xludf.DUMMYFUNCTION("""COMPUTED_VALUE"""),8.35)</f>
        <v>8.35</v>
      </c>
      <c r="W1202" s="14">
        <f>IFERROR(__xludf.DUMMYFUNCTION("""COMPUTED_VALUE"""),8.328)</f>
        <v>8.328</v>
      </c>
      <c r="X1202" s="14">
        <f>IFERROR(__xludf.DUMMYFUNCTION("""COMPUTED_VALUE"""),11.9)</f>
        <v>11.9</v>
      </c>
      <c r="Y1202" s="14">
        <f>IFERROR(__xludf.DUMMYFUNCTION("""COMPUTED_VALUE"""),11.8)</f>
        <v>11.8</v>
      </c>
      <c r="Z1202" s="14">
        <f>IFERROR(__xludf.DUMMYFUNCTION("""COMPUTED_VALUE"""),12.0)</f>
        <v>12</v>
      </c>
      <c r="AA1202" s="14">
        <f>IFERROR(__xludf.DUMMYFUNCTION("""COMPUTED_VALUE"""),12.0)</f>
        <v>12</v>
      </c>
      <c r="AB1202" s="14">
        <f>IFERROR(__xludf.DUMMYFUNCTION("""COMPUTED_VALUE"""),12.2)</f>
        <v>12.2</v>
      </c>
      <c r="AC1202" s="14">
        <f>IFERROR(__xludf.DUMMYFUNCTION("""COMPUTED_VALUE"""),11.98)</f>
        <v>11.98</v>
      </c>
      <c r="AD1202" s="48">
        <f>IFERROR(__xludf.DUMMYFUNCTION("""COMPUTED_VALUE"""),269.0)</f>
        <v>269</v>
      </c>
      <c r="AE1202" s="48">
        <f>IFERROR(__xludf.DUMMYFUNCTION("""COMPUTED_VALUE"""),272.0)</f>
        <v>272</v>
      </c>
      <c r="AF1202" s="48">
        <f>IFERROR(__xludf.DUMMYFUNCTION("""COMPUTED_VALUE"""),277.0)</f>
        <v>277</v>
      </c>
      <c r="AG1202" s="48">
        <f>IFERROR(__xludf.DUMMYFUNCTION("""COMPUTED_VALUE"""),282.0)</f>
        <v>282</v>
      </c>
      <c r="AH1202" s="48">
        <f>IFERROR(__xludf.DUMMYFUNCTION("""COMPUTED_VALUE"""),285.0)</f>
        <v>285</v>
      </c>
      <c r="AI1202" s="14">
        <f>IFERROR(__xludf.DUMMYFUNCTION("""COMPUTED_VALUE"""),277.0)</f>
        <v>277</v>
      </c>
      <c r="AJ1202" s="14">
        <f>IFERROR(__xludf.DUMMYFUNCTION("""COMPUTED_VALUE"""),6.57)</f>
        <v>6.57</v>
      </c>
      <c r="AK1202" s="14">
        <f>IFERROR(__xludf.DUMMYFUNCTION("""COMPUTED_VALUE"""),6.74)</f>
        <v>6.74</v>
      </c>
      <c r="AL1202" s="14">
        <f>IFERROR(__xludf.DUMMYFUNCTION("""COMPUTED_VALUE"""),6.46)</f>
        <v>6.46</v>
      </c>
      <c r="AM1202" s="14">
        <f>IFERROR(__xludf.DUMMYFUNCTION("""COMPUTED_VALUE"""),6.6)</f>
        <v>6.6</v>
      </c>
      <c r="AN1202" s="14">
        <f>IFERROR(__xludf.DUMMYFUNCTION("""COMPUTED_VALUE"""),6.68)</f>
        <v>6.68</v>
      </c>
      <c r="AO1202" s="14">
        <f>IFERROR(__xludf.DUMMYFUNCTION("""COMPUTED_VALUE"""),6.609999999999999)</f>
        <v>6.61</v>
      </c>
      <c r="AP1202" s="14">
        <f>IFERROR(__xludf.DUMMYFUNCTION("""COMPUTED_VALUE"""),10.0)</f>
        <v>10</v>
      </c>
      <c r="AQ1202" s="14">
        <f>IFERROR(__xludf.DUMMYFUNCTION("""COMPUTED_VALUE"""),45.0)</f>
        <v>45</v>
      </c>
      <c r="AR1202" s="14">
        <f>IFERROR(__xludf.DUMMYFUNCTION("""COMPUTED_VALUE"""),162.0)</f>
        <v>162</v>
      </c>
      <c r="AS1202" s="14">
        <f>IFERROR(__xludf.DUMMYFUNCTION("""COMPUTED_VALUE"""),16.7)</f>
        <v>16.7</v>
      </c>
      <c r="AT1202" s="14">
        <f>IFERROR(__xludf.DUMMYFUNCTION("""COMPUTED_VALUE"""),0.07)</f>
        <v>0.07</v>
      </c>
      <c r="AU1202" s="14">
        <f>IFERROR(__xludf.DUMMYFUNCTION("""COMPUTED_VALUE"""),1.086E8)</f>
        <v>108600000</v>
      </c>
      <c r="AV1202" s="14">
        <f>IFERROR(__xludf.DUMMYFUNCTION("""COMPUTED_VALUE"""),0.66)</f>
        <v>0.66</v>
      </c>
      <c r="AW1202" s="14">
        <f>IFERROR(__xludf.DUMMYFUNCTION("""COMPUTED_VALUE"""),9.5)</f>
        <v>9.5</v>
      </c>
      <c r="AX1202" s="14">
        <f>IFERROR(__xludf.DUMMYFUNCTION("""COMPUTED_VALUE"""),9.79E7)</f>
        <v>97900000</v>
      </c>
      <c r="AY1202" s="14">
        <f>IFERROR(__xludf.DUMMYFUNCTION("""COMPUTED_VALUE"""),0.8)</f>
        <v>0.8</v>
      </c>
      <c r="AZ1202" s="14">
        <f>IFERROR(__xludf.DUMMYFUNCTION("""COMPUTED_VALUE"""),0.084)</f>
        <v>0.084</v>
      </c>
      <c r="BA1202" s="14">
        <f t="shared" si="1"/>
        <v>10.384</v>
      </c>
    </row>
    <row r="1203" ht="14.25" customHeight="1">
      <c r="A1203" s="10" t="str">
        <f>IFERROR(__xludf.DUMMYFUNCTION("""COMPUTED_VALUE"""),"091024LA02")</f>
        <v>091024LA02</v>
      </c>
      <c r="B1203" s="12" t="str">
        <f>IFERROR(__xludf.DUMMYFUNCTION("""COMPUTED_VALUE"""),"QSL-Barranquillita")</f>
        <v>QSL-Barranquillita</v>
      </c>
      <c r="C1203" s="12"/>
      <c r="D1203" s="12"/>
      <c r="E1203" s="44">
        <f>IFERROR(__xludf.DUMMYFUNCTION("""COMPUTED_VALUE"""),45574.0)</f>
        <v>45574</v>
      </c>
      <c r="F1203" s="12" t="str">
        <f>IFERROR(__xludf.DUMMYFUNCTION("""COMPUTED_VALUE"""),"TIPO I")</f>
        <v>TIPO I</v>
      </c>
      <c r="G1203" s="12" t="str">
        <f>IFERROR(__xludf.DUMMYFUNCTION("""COMPUTED_VALUE"""),"Durante el desarrollo del monitoreo se percibe olor y se observa color. 
Altitud. 2633 msnm")</f>
        <v>Durante el desarrollo del monitoreo se percibe olor y se observa color. 
Altitud. 2633 msnm</v>
      </c>
      <c r="H1203" s="45">
        <f>IFERROR(__xludf.DUMMYFUNCTION("""COMPUTED_VALUE"""),0.5)</f>
        <v>0.5</v>
      </c>
      <c r="I1203" s="45">
        <f>IFERROR(__xludf.DUMMYFUNCTION("""COMPUTED_VALUE"""),0.5833333333321207)</f>
        <v>0.5833333333</v>
      </c>
      <c r="J1203" s="12">
        <f>IFERROR(__xludf.DUMMYFUNCTION("""COMPUTED_VALUE"""),1.6)</f>
        <v>1.6</v>
      </c>
      <c r="K1203" s="12">
        <f>IFERROR(__xludf.DUMMYFUNCTION("""COMPUTED_VALUE"""),0.11)</f>
        <v>0.11</v>
      </c>
      <c r="L1203" s="14">
        <f>IFERROR(__xludf.DUMMYFUNCTION("""COMPUTED_VALUE"""),91.711)</f>
        <v>91.711</v>
      </c>
      <c r="M1203" s="14">
        <f>IFERROR(__xludf.DUMMYFUNCTION("""COMPUTED_VALUE"""),95.179)</f>
        <v>95.179</v>
      </c>
      <c r="N1203" s="14">
        <f>IFERROR(__xludf.DUMMYFUNCTION("""COMPUTED_VALUE"""),96.67)</f>
        <v>96.67</v>
      </c>
      <c r="O1203" s="14">
        <f>IFERROR(__xludf.DUMMYFUNCTION("""COMPUTED_VALUE"""),98.218)</f>
        <v>98.218</v>
      </c>
      <c r="P1203" s="14">
        <f>IFERROR(__xludf.DUMMYFUNCTION("""COMPUTED_VALUE"""),97.015)</f>
        <v>97.015</v>
      </c>
      <c r="Q1203" s="14">
        <f>IFERROR(__xludf.DUMMYFUNCTION("""COMPUTED_VALUE"""),95.759)</f>
        <v>95.759</v>
      </c>
      <c r="R1203" s="48">
        <f>IFERROR(__xludf.DUMMYFUNCTION("""COMPUTED_VALUE"""),8.21)</f>
        <v>8.21</v>
      </c>
      <c r="S1203" s="48">
        <f>IFERROR(__xludf.DUMMYFUNCTION("""COMPUTED_VALUE"""),8.29)</f>
        <v>8.29</v>
      </c>
      <c r="T1203" s="48">
        <f>IFERROR(__xludf.DUMMYFUNCTION("""COMPUTED_VALUE"""),8.15)</f>
        <v>8.15</v>
      </c>
      <c r="U1203" s="48">
        <f>IFERROR(__xludf.DUMMYFUNCTION("""COMPUTED_VALUE"""),8.11)</f>
        <v>8.11</v>
      </c>
      <c r="V1203" s="48">
        <f>IFERROR(__xludf.DUMMYFUNCTION("""COMPUTED_VALUE"""),8.09)</f>
        <v>8.09</v>
      </c>
      <c r="W1203" s="14">
        <f>IFERROR(__xludf.DUMMYFUNCTION("""COMPUTED_VALUE"""),8.169999999999998)</f>
        <v>8.17</v>
      </c>
      <c r="X1203" s="14">
        <f>IFERROR(__xludf.DUMMYFUNCTION("""COMPUTED_VALUE"""),14.8)</f>
        <v>14.8</v>
      </c>
      <c r="Y1203" s="14">
        <f>IFERROR(__xludf.DUMMYFUNCTION("""COMPUTED_VALUE"""),14.6)</f>
        <v>14.6</v>
      </c>
      <c r="Z1203" s="14">
        <f>IFERROR(__xludf.DUMMYFUNCTION("""COMPUTED_VALUE"""),14.5)</f>
        <v>14.5</v>
      </c>
      <c r="AA1203" s="14">
        <f>IFERROR(__xludf.DUMMYFUNCTION("""COMPUTED_VALUE"""),14.7)</f>
        <v>14.7</v>
      </c>
      <c r="AB1203" s="14">
        <f>IFERROR(__xludf.DUMMYFUNCTION("""COMPUTED_VALUE"""),14.8)</f>
        <v>14.8</v>
      </c>
      <c r="AC1203" s="14">
        <f>IFERROR(__xludf.DUMMYFUNCTION("""COMPUTED_VALUE"""),14.679999999999998)</f>
        <v>14.68</v>
      </c>
      <c r="AD1203" s="48">
        <f>IFERROR(__xludf.DUMMYFUNCTION("""COMPUTED_VALUE"""),164.4)</f>
        <v>164.4</v>
      </c>
      <c r="AE1203" s="48">
        <f>IFERROR(__xludf.DUMMYFUNCTION("""COMPUTED_VALUE"""),200.0)</f>
        <v>200</v>
      </c>
      <c r="AF1203" s="48">
        <f>IFERROR(__xludf.DUMMYFUNCTION("""COMPUTED_VALUE"""),180.8)</f>
        <v>180.8</v>
      </c>
      <c r="AG1203" s="48">
        <f>IFERROR(__xludf.DUMMYFUNCTION("""COMPUTED_VALUE"""),174.2)</f>
        <v>174.2</v>
      </c>
      <c r="AH1203" s="48">
        <f>IFERROR(__xludf.DUMMYFUNCTION("""COMPUTED_VALUE"""),180.0)</f>
        <v>180</v>
      </c>
      <c r="AI1203" s="14">
        <f>IFERROR(__xludf.DUMMYFUNCTION("""COMPUTED_VALUE"""),179.88000000000002)</f>
        <v>179.88</v>
      </c>
      <c r="AJ1203" s="14">
        <f>IFERROR(__xludf.DUMMYFUNCTION("""COMPUTED_VALUE"""),6.6)</f>
        <v>6.6</v>
      </c>
      <c r="AK1203" s="14">
        <f>IFERROR(__xludf.DUMMYFUNCTION("""COMPUTED_VALUE"""),6.7)</f>
        <v>6.7</v>
      </c>
      <c r="AL1203" s="14">
        <f>IFERROR(__xludf.DUMMYFUNCTION("""COMPUTED_VALUE"""),6.2)</f>
        <v>6.2</v>
      </c>
      <c r="AM1203" s="14">
        <f>IFERROR(__xludf.DUMMYFUNCTION("""COMPUTED_VALUE"""),6.6)</f>
        <v>6.6</v>
      </c>
      <c r="AN1203" s="14">
        <f>IFERROR(__xludf.DUMMYFUNCTION("""COMPUTED_VALUE"""),6.3)</f>
        <v>6.3</v>
      </c>
      <c r="AO1203" s="14">
        <f>IFERROR(__xludf.DUMMYFUNCTION("""COMPUTED_VALUE"""),6.4799999999999995)</f>
        <v>6.48</v>
      </c>
      <c r="AP1203" s="14">
        <f>IFERROR(__xludf.DUMMYFUNCTION("""COMPUTED_VALUE"""),14.0)</f>
        <v>14</v>
      </c>
      <c r="AQ1203" s="14">
        <f>IFERROR(__xludf.DUMMYFUNCTION("""COMPUTED_VALUE"""),39.0)</f>
        <v>39</v>
      </c>
      <c r="AR1203" s="14">
        <f>IFERROR(__xludf.DUMMYFUNCTION("""COMPUTED_VALUE"""),211.0)</f>
        <v>211</v>
      </c>
      <c r="AS1203" s="14">
        <f>IFERROR(__xludf.DUMMYFUNCTION("""COMPUTED_VALUE"""),11.9)</f>
        <v>11.9</v>
      </c>
      <c r="AT1203" s="14">
        <f>IFERROR(__xludf.DUMMYFUNCTION("""COMPUTED_VALUE"""),0.67)</f>
        <v>0.67</v>
      </c>
      <c r="AU1203" s="14">
        <f>IFERROR(__xludf.DUMMYFUNCTION("""COMPUTED_VALUE"""),1.698E7)</f>
        <v>16980000</v>
      </c>
      <c r="AV1203" s="14">
        <f>IFERROR(__xludf.DUMMYFUNCTION("""COMPUTED_VALUE"""),0.43)</f>
        <v>0.43</v>
      </c>
      <c r="AW1203" s="14">
        <f>IFERROR(__xludf.DUMMYFUNCTION("""COMPUTED_VALUE"""),9.0)</f>
        <v>9</v>
      </c>
      <c r="AX1203" s="14">
        <f>IFERROR(__xludf.DUMMYFUNCTION("""COMPUTED_VALUE"""),1.34E7)</f>
        <v>13400000</v>
      </c>
      <c r="AY1203" s="14">
        <f>IFERROR(__xludf.DUMMYFUNCTION("""COMPUTED_VALUE"""),2.0)</f>
        <v>2</v>
      </c>
      <c r="AZ1203" s="14">
        <f>IFERROR(__xludf.DUMMYFUNCTION("""COMPUTED_VALUE"""),0.379)</f>
        <v>0.379</v>
      </c>
      <c r="BA1203" s="14">
        <f t="shared" si="1"/>
        <v>11.379</v>
      </c>
    </row>
    <row r="1204" ht="14.25" customHeight="1">
      <c r="A1204" s="10" t="str">
        <f>IFERROR(__xludf.DUMMYFUNCTION("""COMPUTED_VALUE"""),"101024FM02")</f>
        <v>101024FM02</v>
      </c>
      <c r="B1204" s="12" t="str">
        <f>IFERROR(__xludf.DUMMYFUNCTION("""COMPUTED_VALUE"""),"CON-Callejas")</f>
        <v>CON-Callejas</v>
      </c>
      <c r="C1204" s="12"/>
      <c r="D1204" s="12"/>
      <c r="E1204" s="44">
        <f>IFERROR(__xludf.DUMMYFUNCTION("""COMPUTED_VALUE"""),45575.0)</f>
        <v>45575</v>
      </c>
      <c r="F1204" s="12" t="str">
        <f>IFERROR(__xludf.DUMMYFUNCTION("""COMPUTED_VALUE"""),"TIPO I")</f>
        <v>TIPO I</v>
      </c>
      <c r="G1204" s="12" t="str">
        <f>IFERROR(__xludf.DUMMYFUNCTION("""COMPUTED_VALUE"""),"Durante el desarrollo del monitoreo se observa color y se percibe olor. 
Altitud. 2550 msnm")</f>
        <v>Durante el desarrollo del monitoreo se observa color y se percibe olor. 
Altitud. 2550 msnm</v>
      </c>
      <c r="H1204" s="45">
        <f>IFERROR(__xludf.DUMMYFUNCTION("""COMPUTED_VALUE"""),0.4166666666678793)</f>
        <v>0.4166666667</v>
      </c>
      <c r="I1204" s="45">
        <f>IFERROR(__xludf.DUMMYFUNCTION("""COMPUTED_VALUE"""),0.5)</f>
        <v>0.5</v>
      </c>
      <c r="J1204" s="12">
        <f>IFERROR(__xludf.DUMMYFUNCTION("""COMPUTED_VALUE"""),2.4)</f>
        <v>2.4</v>
      </c>
      <c r="K1204" s="12">
        <f>IFERROR(__xludf.DUMMYFUNCTION("""COMPUTED_VALUE"""),0.05)</f>
        <v>0.05</v>
      </c>
      <c r="L1204" s="14">
        <f>IFERROR(__xludf.DUMMYFUNCTION("""COMPUTED_VALUE"""),9.832)</f>
        <v>9.832</v>
      </c>
      <c r="M1204" s="14">
        <f>IFERROR(__xludf.DUMMYFUNCTION("""COMPUTED_VALUE"""),9.559)</f>
        <v>9.559</v>
      </c>
      <c r="N1204" s="14">
        <f>IFERROR(__xludf.DUMMYFUNCTION("""COMPUTED_VALUE"""),9.159)</f>
        <v>9.159</v>
      </c>
      <c r="O1204" s="14">
        <f>IFERROR(__xludf.DUMMYFUNCTION("""COMPUTED_VALUE"""),9.083)</f>
        <v>9.083</v>
      </c>
      <c r="P1204" s="14">
        <f>IFERROR(__xludf.DUMMYFUNCTION("""COMPUTED_VALUE"""),9.103)</f>
        <v>9.103</v>
      </c>
      <c r="Q1204" s="14">
        <f>IFERROR(__xludf.DUMMYFUNCTION("""COMPUTED_VALUE"""),9.347)</f>
        <v>9.347</v>
      </c>
      <c r="R1204" s="48">
        <f>IFERROR(__xludf.DUMMYFUNCTION("""COMPUTED_VALUE"""),9.25)</f>
        <v>9.25</v>
      </c>
      <c r="S1204" s="48">
        <f>IFERROR(__xludf.DUMMYFUNCTION("""COMPUTED_VALUE"""),9.33)</f>
        <v>9.33</v>
      </c>
      <c r="T1204" s="48">
        <f>IFERROR(__xludf.DUMMYFUNCTION("""COMPUTED_VALUE"""),9.37)</f>
        <v>9.37</v>
      </c>
      <c r="U1204" s="48">
        <f>IFERROR(__xludf.DUMMYFUNCTION("""COMPUTED_VALUE"""),9.46)</f>
        <v>9.46</v>
      </c>
      <c r="V1204" s="48">
        <f>IFERROR(__xludf.DUMMYFUNCTION("""COMPUTED_VALUE"""),9.46)</f>
        <v>9.46</v>
      </c>
      <c r="W1204" s="14">
        <f>IFERROR(__xludf.DUMMYFUNCTION("""COMPUTED_VALUE"""),9.373999999999999)</f>
        <v>9.374</v>
      </c>
      <c r="X1204" s="14">
        <f>IFERROR(__xludf.DUMMYFUNCTION("""COMPUTED_VALUE"""),19.0)</f>
        <v>19</v>
      </c>
      <c r="Y1204" s="14">
        <f>IFERROR(__xludf.DUMMYFUNCTION("""COMPUTED_VALUE"""),19.4)</f>
        <v>19.4</v>
      </c>
      <c r="Z1204" s="14">
        <f>IFERROR(__xludf.DUMMYFUNCTION("""COMPUTED_VALUE"""),18.8)</f>
        <v>18.8</v>
      </c>
      <c r="AA1204" s="14">
        <f>IFERROR(__xludf.DUMMYFUNCTION("""COMPUTED_VALUE"""),20.0)</f>
        <v>20</v>
      </c>
      <c r="AB1204" s="14">
        <f>IFERROR(__xludf.DUMMYFUNCTION("""COMPUTED_VALUE"""),20.2)</f>
        <v>20.2</v>
      </c>
      <c r="AC1204" s="14">
        <f>IFERROR(__xludf.DUMMYFUNCTION("""COMPUTED_VALUE"""),19.48)</f>
        <v>19.48</v>
      </c>
      <c r="AD1204" s="48">
        <f>IFERROR(__xludf.DUMMYFUNCTION("""COMPUTED_VALUE"""),478.0)</f>
        <v>478</v>
      </c>
      <c r="AE1204" s="48">
        <f>IFERROR(__xludf.DUMMYFUNCTION("""COMPUTED_VALUE"""),497.0)</f>
        <v>497</v>
      </c>
      <c r="AF1204" s="48">
        <f>IFERROR(__xludf.DUMMYFUNCTION("""COMPUTED_VALUE"""),502.0)</f>
        <v>502</v>
      </c>
      <c r="AG1204" s="48">
        <f>IFERROR(__xludf.DUMMYFUNCTION("""COMPUTED_VALUE"""),476.0)</f>
        <v>476</v>
      </c>
      <c r="AH1204" s="48">
        <f>IFERROR(__xludf.DUMMYFUNCTION("""COMPUTED_VALUE"""),455.0)</f>
        <v>455</v>
      </c>
      <c r="AI1204" s="14">
        <f>IFERROR(__xludf.DUMMYFUNCTION("""COMPUTED_VALUE"""),481.6)</f>
        <v>481.6</v>
      </c>
      <c r="AJ1204" s="14">
        <f>IFERROR(__xludf.DUMMYFUNCTION("""COMPUTED_VALUE"""),9.37)</f>
        <v>9.37</v>
      </c>
      <c r="AK1204" s="14">
        <f>IFERROR(__xludf.DUMMYFUNCTION("""COMPUTED_VALUE"""),9.72)</f>
        <v>9.72</v>
      </c>
      <c r="AL1204" s="14">
        <f>IFERROR(__xludf.DUMMYFUNCTION("""COMPUTED_VALUE"""),9.57)</f>
        <v>9.57</v>
      </c>
      <c r="AM1204" s="14">
        <f>IFERROR(__xludf.DUMMYFUNCTION("""COMPUTED_VALUE"""),9.49)</f>
        <v>9.49</v>
      </c>
      <c r="AN1204" s="14">
        <f>IFERROR(__xludf.DUMMYFUNCTION("""COMPUTED_VALUE"""),9.6)</f>
        <v>9.6</v>
      </c>
      <c r="AO1204" s="14">
        <f>IFERROR(__xludf.DUMMYFUNCTION("""COMPUTED_VALUE"""),9.55)</f>
        <v>9.55</v>
      </c>
      <c r="AP1204" s="14">
        <f>IFERROR(__xludf.DUMMYFUNCTION("""COMPUTED_VALUE"""),22.0)</f>
        <v>22</v>
      </c>
      <c r="AQ1204" s="14">
        <f>IFERROR(__xludf.DUMMYFUNCTION("""COMPUTED_VALUE"""),50.0)</f>
        <v>50</v>
      </c>
      <c r="AR1204" s="14">
        <f>IFERROR(__xludf.DUMMYFUNCTION("""COMPUTED_VALUE"""),15.0)</f>
        <v>15</v>
      </c>
      <c r="AS1204" s="14">
        <f>IFERROR(__xludf.DUMMYFUNCTION("""COMPUTED_VALUE"""),12.6)</f>
        <v>12.6</v>
      </c>
      <c r="AT1204" s="14">
        <f>IFERROR(__xludf.DUMMYFUNCTION("""COMPUTED_VALUE"""),3.05)</f>
        <v>3.05</v>
      </c>
      <c r="AU1204" s="14">
        <f>IFERROR(__xludf.DUMMYFUNCTION("""COMPUTED_VALUE"""),1291000.0)</f>
        <v>1291000</v>
      </c>
      <c r="AV1204" s="14">
        <f>IFERROR(__xludf.DUMMYFUNCTION("""COMPUTED_VALUE"""),1.76)</f>
        <v>1.76</v>
      </c>
      <c r="AW1204" s="14">
        <f>IFERROR(__xludf.DUMMYFUNCTION("""COMPUTED_VALUE"""),16.8)</f>
        <v>16.8</v>
      </c>
      <c r="AX1204" s="14">
        <f>IFERROR(__xludf.DUMMYFUNCTION("""COMPUTED_VALUE"""),1086000.0)</f>
        <v>1086000</v>
      </c>
      <c r="AY1204" s="14">
        <f>IFERROR(__xludf.DUMMYFUNCTION("""COMPUTED_VALUE"""),1.8)</f>
        <v>1.8</v>
      </c>
      <c r="AZ1204" s="14">
        <f>IFERROR(__xludf.DUMMYFUNCTION("""COMPUTED_VALUE"""),0.217)</f>
        <v>0.217</v>
      </c>
      <c r="BA1204" s="14">
        <f t="shared" si="1"/>
        <v>18.817</v>
      </c>
    </row>
    <row r="1205" ht="14.25" customHeight="1">
      <c r="A1205" s="10" t="str">
        <f>IFERROR(__xludf.DUMMYFUNCTION("""COMPUTED_VALUE"""),"101024DU01")</f>
        <v>101024DU01</v>
      </c>
      <c r="B1205" s="12" t="str">
        <f>IFERROR(__xludf.DUMMYFUNCTION("""COMPUTED_VALUE"""),"CRN-El Virrey")</f>
        <v>CRN-El Virrey</v>
      </c>
      <c r="C1205" s="12"/>
      <c r="D1205" s="12"/>
      <c r="E1205" s="44">
        <f>IFERROR(__xludf.DUMMYFUNCTION("""COMPUTED_VALUE"""),45575.0)</f>
        <v>45575</v>
      </c>
      <c r="F1205" s="12" t="str">
        <f>IFERROR(__xludf.DUMMYFUNCTION("""COMPUTED_VALUE"""),"TIPO I")</f>
        <v>TIPO I</v>
      </c>
      <c r="G1205" s="12" t="str">
        <f>IFERROR(__xludf.DUMMYFUNCTION("""COMPUTED_VALUE"""),"Durante el desarrollo del monitoreo se observa color y no se percibe olor.
Altitud. 2558 msnm")</f>
        <v>Durante el desarrollo del monitoreo se observa color y no se percibe olor.
Altitud. 2558 msnm</v>
      </c>
      <c r="H1205" s="45">
        <f>IFERROR(__xludf.DUMMYFUNCTION("""COMPUTED_VALUE"""),0.2916666666678793)</f>
        <v>0.2916666667</v>
      </c>
      <c r="I1205" s="45">
        <f>IFERROR(__xludf.DUMMYFUNCTION("""COMPUTED_VALUE"""),0.375)</f>
        <v>0.375</v>
      </c>
      <c r="J1205" s="12">
        <f>IFERROR(__xludf.DUMMYFUNCTION("""COMPUTED_VALUE"""),2.1)</f>
        <v>2.1</v>
      </c>
      <c r="K1205" s="12">
        <f>IFERROR(__xludf.DUMMYFUNCTION("""COMPUTED_VALUE"""),0.23)</f>
        <v>0.23</v>
      </c>
      <c r="L1205" s="14">
        <f>IFERROR(__xludf.DUMMYFUNCTION("""COMPUTED_VALUE"""),56.557)</f>
        <v>56.557</v>
      </c>
      <c r="M1205" s="14">
        <f>IFERROR(__xludf.DUMMYFUNCTION("""COMPUTED_VALUE"""),58.283)</f>
        <v>58.283</v>
      </c>
      <c r="N1205" s="14">
        <f>IFERROR(__xludf.DUMMYFUNCTION("""COMPUTED_VALUE"""),56.683)</f>
        <v>56.683</v>
      </c>
      <c r="O1205" s="14">
        <f>IFERROR(__xludf.DUMMYFUNCTION("""COMPUTED_VALUE"""),60.063)</f>
        <v>60.063</v>
      </c>
      <c r="P1205" s="14">
        <f>IFERROR(__xludf.DUMMYFUNCTION("""COMPUTED_VALUE"""),60.538)</f>
        <v>60.538</v>
      </c>
      <c r="Q1205" s="14">
        <f>IFERROR(__xludf.DUMMYFUNCTION("""COMPUTED_VALUE"""),58.425)</f>
        <v>58.425</v>
      </c>
      <c r="R1205" s="48">
        <f>IFERROR(__xludf.DUMMYFUNCTION("""COMPUTED_VALUE"""),8.21)</f>
        <v>8.21</v>
      </c>
      <c r="S1205" s="48">
        <f>IFERROR(__xludf.DUMMYFUNCTION("""COMPUTED_VALUE"""),8.19)</f>
        <v>8.19</v>
      </c>
      <c r="T1205" s="48">
        <f>IFERROR(__xludf.DUMMYFUNCTION("""COMPUTED_VALUE"""),8.25)</f>
        <v>8.25</v>
      </c>
      <c r="U1205" s="48">
        <f>IFERROR(__xludf.DUMMYFUNCTION("""COMPUTED_VALUE"""),8.15)</f>
        <v>8.15</v>
      </c>
      <c r="V1205" s="48">
        <f>IFERROR(__xludf.DUMMYFUNCTION("""COMPUTED_VALUE"""),8.1)</f>
        <v>8.1</v>
      </c>
      <c r="W1205" s="14">
        <f>IFERROR(__xludf.DUMMYFUNCTION("""COMPUTED_VALUE"""),8.18)</f>
        <v>8.18</v>
      </c>
      <c r="X1205" s="14">
        <f>IFERROR(__xludf.DUMMYFUNCTION("""COMPUTED_VALUE"""),16.3)</f>
        <v>16.3</v>
      </c>
      <c r="Y1205" s="14">
        <f>IFERROR(__xludf.DUMMYFUNCTION("""COMPUTED_VALUE"""),16.2)</f>
        <v>16.2</v>
      </c>
      <c r="Z1205" s="14">
        <f>IFERROR(__xludf.DUMMYFUNCTION("""COMPUTED_VALUE"""),17.2)</f>
        <v>17.2</v>
      </c>
      <c r="AA1205" s="14">
        <f>IFERROR(__xludf.DUMMYFUNCTION("""COMPUTED_VALUE"""),17.1)</f>
        <v>17.1</v>
      </c>
      <c r="AB1205" s="14">
        <f>IFERROR(__xludf.DUMMYFUNCTION("""COMPUTED_VALUE"""),16.8)</f>
        <v>16.8</v>
      </c>
      <c r="AC1205" s="14">
        <f>IFERROR(__xludf.DUMMYFUNCTION("""COMPUTED_VALUE"""),16.720000000000002)</f>
        <v>16.72</v>
      </c>
      <c r="AD1205" s="48">
        <f>IFERROR(__xludf.DUMMYFUNCTION("""COMPUTED_VALUE"""),255.0)</f>
        <v>255</v>
      </c>
      <c r="AE1205" s="48">
        <f>IFERROR(__xludf.DUMMYFUNCTION("""COMPUTED_VALUE"""),290.0)</f>
        <v>290</v>
      </c>
      <c r="AF1205" s="48">
        <f>IFERROR(__xludf.DUMMYFUNCTION("""COMPUTED_VALUE"""),300.0)</f>
        <v>300</v>
      </c>
      <c r="AG1205" s="48">
        <f>IFERROR(__xludf.DUMMYFUNCTION("""COMPUTED_VALUE"""),303.0)</f>
        <v>303</v>
      </c>
      <c r="AH1205" s="48">
        <f>IFERROR(__xludf.DUMMYFUNCTION("""COMPUTED_VALUE"""),302.0)</f>
        <v>302</v>
      </c>
      <c r="AI1205" s="14">
        <f>IFERROR(__xludf.DUMMYFUNCTION("""COMPUTED_VALUE"""),290.0)</f>
        <v>290</v>
      </c>
      <c r="AJ1205" s="14">
        <f>IFERROR(__xludf.DUMMYFUNCTION("""COMPUTED_VALUE"""),4.9)</f>
        <v>4.9</v>
      </c>
      <c r="AK1205" s="14">
        <f>IFERROR(__xludf.DUMMYFUNCTION("""COMPUTED_VALUE"""),5.1)</f>
        <v>5.1</v>
      </c>
      <c r="AL1205" s="14">
        <f>IFERROR(__xludf.DUMMYFUNCTION("""COMPUTED_VALUE"""),4.8)</f>
        <v>4.8</v>
      </c>
      <c r="AM1205" s="14">
        <f>IFERROR(__xludf.DUMMYFUNCTION("""COMPUTED_VALUE"""),4.5)</f>
        <v>4.5</v>
      </c>
      <c r="AN1205" s="14">
        <f>IFERROR(__xludf.DUMMYFUNCTION("""COMPUTED_VALUE"""),4.7)</f>
        <v>4.7</v>
      </c>
      <c r="AO1205" s="14">
        <f>IFERROR(__xludf.DUMMYFUNCTION("""COMPUTED_VALUE"""),4.8)</f>
        <v>4.8</v>
      </c>
      <c r="AP1205" s="14">
        <f>IFERROR(__xludf.DUMMYFUNCTION("""COMPUTED_VALUE"""),66.0)</f>
        <v>66</v>
      </c>
      <c r="AQ1205" s="14">
        <f>IFERROR(__xludf.DUMMYFUNCTION("""COMPUTED_VALUE"""),325.0)</f>
        <v>325</v>
      </c>
      <c r="AR1205" s="14">
        <f>IFERROR(__xludf.DUMMYFUNCTION("""COMPUTED_VALUE"""),53.0)</f>
        <v>53</v>
      </c>
      <c r="AS1205" s="14">
        <f>IFERROR(__xludf.DUMMYFUNCTION("""COMPUTED_VALUE"""),47.0)</f>
        <v>47</v>
      </c>
      <c r="AT1205" s="14">
        <f>IFERROR(__xludf.DUMMYFUNCTION("""COMPUTED_VALUE"""),1.46)</f>
        <v>1.46</v>
      </c>
      <c r="AU1205" s="14">
        <f>IFERROR(__xludf.DUMMYFUNCTION("""COMPUTED_VALUE"""),1.513E8)</f>
        <v>151300000</v>
      </c>
      <c r="AV1205" s="14">
        <f>IFERROR(__xludf.DUMMYFUNCTION("""COMPUTED_VALUE"""),4.29)</f>
        <v>4.29</v>
      </c>
      <c r="AW1205" s="14">
        <f>IFERROR(__xludf.DUMMYFUNCTION("""COMPUTED_VALUE"""),48.7)</f>
        <v>48.7</v>
      </c>
      <c r="AX1205" s="14">
        <f>IFERROR(__xludf.DUMMYFUNCTION("""COMPUTED_VALUE"""),1.082E8)</f>
        <v>108200000</v>
      </c>
      <c r="AY1205" s="14">
        <f>IFERROR(__xludf.DUMMYFUNCTION("""COMPUTED_VALUE"""),0.8)</f>
        <v>0.8</v>
      </c>
      <c r="AZ1205" s="14">
        <f>IFERROR(__xludf.DUMMYFUNCTION("""COMPUTED_VALUE"""),0.007)</f>
        <v>0.007</v>
      </c>
      <c r="BA1205" s="14">
        <f t="shared" si="1"/>
        <v>49.507</v>
      </c>
    </row>
    <row r="1206" ht="14.25" customHeight="1">
      <c r="A1206" s="10" t="str">
        <f>IFERROR(__xludf.DUMMYFUNCTION("""COMPUTED_VALUE"""),"091024FM02")</f>
        <v>091024FM02</v>
      </c>
      <c r="B1206" s="12" t="str">
        <f>IFERROR(__xludf.DUMMYFUNCTION("""COMPUTED_VALUE"""),"QZA-Entre Nubes")</f>
        <v>QZA-Entre Nubes</v>
      </c>
      <c r="C1206" s="12"/>
      <c r="D1206" s="12"/>
      <c r="E1206" s="44">
        <f>IFERROR(__xludf.DUMMYFUNCTION("""COMPUTED_VALUE"""),45574.0)</f>
        <v>45574</v>
      </c>
      <c r="F1206" s="12" t="str">
        <f>IFERROR(__xludf.DUMMYFUNCTION("""COMPUTED_VALUE"""),"TIPO I")</f>
        <v>TIPO I</v>
      </c>
      <c r="G1206" s="12" t="str">
        <f>IFERROR(__xludf.DUMMYFUNCTION("""COMPUTED_VALUE"""),"Durante el monitoreo se percibe olor, se observa color y espuma en el cuerpo de agua y en las márgenes se observan residuos sólidos. 
Altitud: 2657 msnm")</f>
        <v>Durante el monitoreo se percibe olor, se observa color y espuma en el cuerpo de agua y en las márgenes se observan residuos sólidos. 
Altitud: 2657 msnm</v>
      </c>
      <c r="H1206" s="45">
        <f>IFERROR(__xludf.DUMMYFUNCTION("""COMPUTED_VALUE"""),0.4166666666678793)</f>
        <v>0.4166666667</v>
      </c>
      <c r="I1206" s="45">
        <f>IFERROR(__xludf.DUMMYFUNCTION("""COMPUTED_VALUE"""),0.5)</f>
        <v>0.5</v>
      </c>
      <c r="J1206" s="12">
        <f>IFERROR(__xludf.DUMMYFUNCTION("""COMPUTED_VALUE"""),5.6)</f>
        <v>5.6</v>
      </c>
      <c r="K1206" s="12">
        <f>IFERROR(__xludf.DUMMYFUNCTION("""COMPUTED_VALUE"""),0.1)</f>
        <v>0.1</v>
      </c>
      <c r="L1206" s="14">
        <f>IFERROR(__xludf.DUMMYFUNCTION("""COMPUTED_VALUE"""),281.29)</f>
        <v>281.29</v>
      </c>
      <c r="M1206" s="14">
        <f>IFERROR(__xludf.DUMMYFUNCTION("""COMPUTED_VALUE"""),255.08)</f>
        <v>255.08</v>
      </c>
      <c r="N1206" s="14">
        <f>IFERROR(__xludf.DUMMYFUNCTION("""COMPUTED_VALUE"""),216.478)</f>
        <v>216.478</v>
      </c>
      <c r="O1206" s="14">
        <f>IFERROR(__xludf.DUMMYFUNCTION("""COMPUTED_VALUE"""),202.027)</f>
        <v>202.027</v>
      </c>
      <c r="P1206" s="14">
        <f>IFERROR(__xludf.DUMMYFUNCTION("""COMPUTED_VALUE"""),206.161)</f>
        <v>206.161</v>
      </c>
      <c r="Q1206" s="14">
        <f>IFERROR(__xludf.DUMMYFUNCTION("""COMPUTED_VALUE"""),232.207)</f>
        <v>232.207</v>
      </c>
      <c r="R1206" s="48">
        <f>IFERROR(__xludf.DUMMYFUNCTION("""COMPUTED_VALUE"""),8.63)</f>
        <v>8.63</v>
      </c>
      <c r="S1206" s="48">
        <f>IFERROR(__xludf.DUMMYFUNCTION("""COMPUTED_VALUE"""),8.65)</f>
        <v>8.65</v>
      </c>
      <c r="T1206" s="48">
        <f>IFERROR(__xludf.DUMMYFUNCTION("""COMPUTED_VALUE"""),8.66)</f>
        <v>8.66</v>
      </c>
      <c r="U1206" s="48">
        <f>IFERROR(__xludf.DUMMYFUNCTION("""COMPUTED_VALUE"""),8.65)</f>
        <v>8.65</v>
      </c>
      <c r="V1206" s="48">
        <f>IFERROR(__xludf.DUMMYFUNCTION("""COMPUTED_VALUE"""),8.64)</f>
        <v>8.64</v>
      </c>
      <c r="W1206" s="14">
        <f>IFERROR(__xludf.DUMMYFUNCTION("""COMPUTED_VALUE"""),8.646)</f>
        <v>8.646</v>
      </c>
      <c r="X1206" s="14">
        <f>IFERROR(__xludf.DUMMYFUNCTION("""COMPUTED_VALUE"""),13.9)</f>
        <v>13.9</v>
      </c>
      <c r="Y1206" s="14">
        <f>IFERROR(__xludf.DUMMYFUNCTION("""COMPUTED_VALUE"""),14.0)</f>
        <v>14</v>
      </c>
      <c r="Z1206" s="14">
        <f>IFERROR(__xludf.DUMMYFUNCTION("""COMPUTED_VALUE"""),14.4)</f>
        <v>14.4</v>
      </c>
      <c r="AA1206" s="14">
        <f>IFERROR(__xludf.DUMMYFUNCTION("""COMPUTED_VALUE"""),14.5)</f>
        <v>14.5</v>
      </c>
      <c r="AB1206" s="14">
        <f>IFERROR(__xludf.DUMMYFUNCTION("""COMPUTED_VALUE"""),14.5)</f>
        <v>14.5</v>
      </c>
      <c r="AC1206" s="14">
        <f>IFERROR(__xludf.DUMMYFUNCTION("""COMPUTED_VALUE"""),14.26)</f>
        <v>14.26</v>
      </c>
      <c r="AD1206" s="48">
        <f>IFERROR(__xludf.DUMMYFUNCTION("""COMPUTED_VALUE"""),306.0)</f>
        <v>306</v>
      </c>
      <c r="AE1206" s="48">
        <f>IFERROR(__xludf.DUMMYFUNCTION("""COMPUTED_VALUE"""),318.0)</f>
        <v>318</v>
      </c>
      <c r="AF1206" s="48">
        <f>IFERROR(__xludf.DUMMYFUNCTION("""COMPUTED_VALUE"""),334.0)</f>
        <v>334</v>
      </c>
      <c r="AG1206" s="48">
        <f>IFERROR(__xludf.DUMMYFUNCTION("""COMPUTED_VALUE"""),342.0)</f>
        <v>342</v>
      </c>
      <c r="AH1206" s="48">
        <f>IFERROR(__xludf.DUMMYFUNCTION("""COMPUTED_VALUE"""),348.0)</f>
        <v>348</v>
      </c>
      <c r="AI1206" s="14">
        <f>IFERROR(__xludf.DUMMYFUNCTION("""COMPUTED_VALUE"""),329.6)</f>
        <v>329.6</v>
      </c>
      <c r="AJ1206" s="14">
        <f>IFERROR(__xludf.DUMMYFUNCTION("""COMPUTED_VALUE"""),5.82)</f>
        <v>5.82</v>
      </c>
      <c r="AK1206" s="14">
        <f>IFERROR(__xludf.DUMMYFUNCTION("""COMPUTED_VALUE"""),5.59)</f>
        <v>5.59</v>
      </c>
      <c r="AL1206" s="14">
        <f>IFERROR(__xludf.DUMMYFUNCTION("""COMPUTED_VALUE"""),5.66)</f>
        <v>5.66</v>
      </c>
      <c r="AM1206" s="14">
        <f>IFERROR(__xludf.DUMMYFUNCTION("""COMPUTED_VALUE"""),5.56)</f>
        <v>5.56</v>
      </c>
      <c r="AN1206" s="14">
        <f>IFERROR(__xludf.DUMMYFUNCTION("""COMPUTED_VALUE"""),5.71)</f>
        <v>5.71</v>
      </c>
      <c r="AO1206" s="14">
        <f>IFERROR(__xludf.DUMMYFUNCTION("""COMPUTED_VALUE"""),5.668)</f>
        <v>5.668</v>
      </c>
      <c r="AP1206" s="14">
        <f>IFERROR(__xludf.DUMMYFUNCTION("""COMPUTED_VALUE"""),40.0)</f>
        <v>40</v>
      </c>
      <c r="AQ1206" s="14">
        <f>IFERROR(__xludf.DUMMYFUNCTION("""COMPUTED_VALUE"""),118.0)</f>
        <v>118</v>
      </c>
      <c r="AR1206" s="14">
        <f>IFERROR(__xludf.DUMMYFUNCTION("""COMPUTED_VALUE"""),74.0)</f>
        <v>74</v>
      </c>
      <c r="AS1206" s="14">
        <f>IFERROR(__xludf.DUMMYFUNCTION("""COMPUTED_VALUE"""),15.6)</f>
        <v>15.6</v>
      </c>
      <c r="AT1206" s="14">
        <f>IFERROR(__xludf.DUMMYFUNCTION("""COMPUTED_VALUE"""),2.7)</f>
        <v>2.7</v>
      </c>
      <c r="AU1206" s="14">
        <f>IFERROR(__xludf.DUMMYFUNCTION("""COMPUTED_VALUE"""),1.638E8)</f>
        <v>163800000</v>
      </c>
      <c r="AV1206" s="14">
        <f>IFERROR(__xludf.DUMMYFUNCTION("""COMPUTED_VALUE"""),1.15)</f>
        <v>1.15</v>
      </c>
      <c r="AW1206" s="14">
        <f>IFERROR(__xludf.DUMMYFUNCTION("""COMPUTED_VALUE"""),22.4)</f>
        <v>22.4</v>
      </c>
      <c r="AX1206" s="14">
        <f>IFERROR(__xludf.DUMMYFUNCTION("""COMPUTED_VALUE"""),1.388E8)</f>
        <v>138800000</v>
      </c>
      <c r="AY1206" s="14">
        <f>IFERROR(__xludf.DUMMYFUNCTION("""COMPUTED_VALUE"""),0.8)</f>
        <v>0.8</v>
      </c>
      <c r="AZ1206" s="14">
        <f>IFERROR(__xludf.DUMMYFUNCTION("""COMPUTED_VALUE"""),0.007)</f>
        <v>0.007</v>
      </c>
      <c r="BA1206" s="14">
        <f t="shared" si="1"/>
        <v>23.207</v>
      </c>
    </row>
    <row r="1207" ht="14.25" customHeight="1">
      <c r="A1207" s="10" t="str">
        <f>IFERROR(__xludf.DUMMYFUNCTION("""COMPUTED_VALUE"""),"101024FM04")</f>
        <v>101024FM04</v>
      </c>
      <c r="B1207" s="12" t="str">
        <f>IFERROR(__xludf.DUMMYFUNCTION("""COMPUTED_VALUE"""),"CON-Bella Suiza")</f>
        <v>CON-Bella Suiza</v>
      </c>
      <c r="C1207" s="12"/>
      <c r="D1207" s="12"/>
      <c r="E1207" s="44">
        <f>IFERROR(__xludf.DUMMYFUNCTION("""COMPUTED_VALUE"""),45575.0)</f>
        <v>45575</v>
      </c>
      <c r="F1207" s="12" t="str">
        <f>IFERROR(__xludf.DUMMYFUNCTION("""COMPUTED_VALUE"""),"TIPO I")</f>
        <v>TIPO I</v>
      </c>
      <c r="G1207" s="12" t="str">
        <f>IFERROR(__xludf.DUMMYFUNCTION("""COMPUTED_VALUE"""),"Durante el desarrollo del monitoreo se percibe olor y se observa color y lama en el fondo del cauce.")</f>
        <v>Durante el desarrollo del monitoreo se percibe olor y se observa color y lama en el fondo del cauce.</v>
      </c>
      <c r="H1207" s="45">
        <f>IFERROR(__xludf.DUMMYFUNCTION("""COMPUTED_VALUE"""),0.6666666666678793)</f>
        <v>0.6666666667</v>
      </c>
      <c r="I1207" s="45">
        <f>IFERROR(__xludf.DUMMYFUNCTION("""COMPUTED_VALUE"""),0.75)</f>
        <v>0.75</v>
      </c>
      <c r="J1207" s="12">
        <f>IFERROR(__xludf.DUMMYFUNCTION("""COMPUTED_VALUE"""),0.8)</f>
        <v>0.8</v>
      </c>
      <c r="K1207" s="12">
        <f>IFERROR(__xludf.DUMMYFUNCTION("""COMPUTED_VALUE"""),0.06)</f>
        <v>0.06</v>
      </c>
      <c r="L1207" s="14">
        <f>IFERROR(__xludf.DUMMYFUNCTION("""COMPUTED_VALUE"""),5.972)</f>
        <v>5.972</v>
      </c>
      <c r="M1207" s="14">
        <f>IFERROR(__xludf.DUMMYFUNCTION("""COMPUTED_VALUE"""),6.106)</f>
        <v>6.106</v>
      </c>
      <c r="N1207" s="14">
        <f>IFERROR(__xludf.DUMMYFUNCTION("""COMPUTED_VALUE"""),6.028)</f>
        <v>6.028</v>
      </c>
      <c r="O1207" s="14">
        <f>IFERROR(__xludf.DUMMYFUNCTION("""COMPUTED_VALUE"""),6.057)</f>
        <v>6.057</v>
      </c>
      <c r="P1207" s="14">
        <f>IFERROR(__xludf.DUMMYFUNCTION("""COMPUTED_VALUE"""),6.203)</f>
        <v>6.203</v>
      </c>
      <c r="Q1207" s="14">
        <f>IFERROR(__xludf.DUMMYFUNCTION("""COMPUTED_VALUE"""),6.0731)</f>
        <v>6.0731</v>
      </c>
      <c r="R1207" s="48">
        <f>IFERROR(__xludf.DUMMYFUNCTION("""COMPUTED_VALUE"""),8.32)</f>
        <v>8.32</v>
      </c>
      <c r="S1207" s="48">
        <f>IFERROR(__xludf.DUMMYFUNCTION("""COMPUTED_VALUE"""),8.38)</f>
        <v>8.38</v>
      </c>
      <c r="T1207" s="48">
        <f>IFERROR(__xludf.DUMMYFUNCTION("""COMPUTED_VALUE"""),8.34)</f>
        <v>8.34</v>
      </c>
      <c r="U1207" s="48">
        <f>IFERROR(__xludf.DUMMYFUNCTION("""COMPUTED_VALUE"""),8.36)</f>
        <v>8.36</v>
      </c>
      <c r="V1207" s="48">
        <f>IFERROR(__xludf.DUMMYFUNCTION("""COMPUTED_VALUE"""),8.34)</f>
        <v>8.34</v>
      </c>
      <c r="W1207" s="14">
        <f>IFERROR(__xludf.DUMMYFUNCTION("""COMPUTED_VALUE"""),8.348000000000003)</f>
        <v>8.348</v>
      </c>
      <c r="X1207" s="14">
        <f>IFERROR(__xludf.DUMMYFUNCTION("""COMPUTED_VALUE"""),17.8)</f>
        <v>17.8</v>
      </c>
      <c r="Y1207" s="14">
        <f>IFERROR(__xludf.DUMMYFUNCTION("""COMPUTED_VALUE"""),17.6)</f>
        <v>17.6</v>
      </c>
      <c r="Z1207" s="14">
        <f>IFERROR(__xludf.DUMMYFUNCTION("""COMPUTED_VALUE"""),17.5)</f>
        <v>17.5</v>
      </c>
      <c r="AA1207" s="14">
        <f>IFERROR(__xludf.DUMMYFUNCTION("""COMPUTED_VALUE"""),17.3)</f>
        <v>17.3</v>
      </c>
      <c r="AB1207" s="14">
        <f>IFERROR(__xludf.DUMMYFUNCTION("""COMPUTED_VALUE"""),17.4)</f>
        <v>17.4</v>
      </c>
      <c r="AC1207" s="14">
        <f>IFERROR(__xludf.DUMMYFUNCTION("""COMPUTED_VALUE"""),17.52)</f>
        <v>17.52</v>
      </c>
      <c r="AD1207" s="48">
        <f>IFERROR(__xludf.DUMMYFUNCTION("""COMPUTED_VALUE"""),463.0)</f>
        <v>463</v>
      </c>
      <c r="AE1207" s="48">
        <f>IFERROR(__xludf.DUMMYFUNCTION("""COMPUTED_VALUE"""),448.0)</f>
        <v>448</v>
      </c>
      <c r="AF1207" s="48">
        <f>IFERROR(__xludf.DUMMYFUNCTION("""COMPUTED_VALUE"""),452.0)</f>
        <v>452</v>
      </c>
      <c r="AG1207" s="48">
        <f>IFERROR(__xludf.DUMMYFUNCTION("""COMPUTED_VALUE"""),455.0)</f>
        <v>455</v>
      </c>
      <c r="AH1207" s="48">
        <f>IFERROR(__xludf.DUMMYFUNCTION("""COMPUTED_VALUE"""),449.0)</f>
        <v>449</v>
      </c>
      <c r="AI1207" s="14">
        <f>IFERROR(__xludf.DUMMYFUNCTION("""COMPUTED_VALUE"""),453.4)</f>
        <v>453.4</v>
      </c>
      <c r="AJ1207" s="14">
        <f>IFERROR(__xludf.DUMMYFUNCTION("""COMPUTED_VALUE"""),1.19)</f>
        <v>1.19</v>
      </c>
      <c r="AK1207" s="14">
        <f>IFERROR(__xludf.DUMMYFUNCTION("""COMPUTED_VALUE"""),1.62)</f>
        <v>1.62</v>
      </c>
      <c r="AL1207" s="14">
        <f>IFERROR(__xludf.DUMMYFUNCTION("""COMPUTED_VALUE"""),1.83)</f>
        <v>1.83</v>
      </c>
      <c r="AM1207" s="14">
        <f>IFERROR(__xludf.DUMMYFUNCTION("""COMPUTED_VALUE"""),1.64)</f>
        <v>1.64</v>
      </c>
      <c r="AN1207" s="14">
        <f>IFERROR(__xludf.DUMMYFUNCTION("""COMPUTED_VALUE"""),1.53)</f>
        <v>1.53</v>
      </c>
      <c r="AO1207" s="14">
        <f>IFERROR(__xludf.DUMMYFUNCTION("""COMPUTED_VALUE"""),1.562)</f>
        <v>1.562</v>
      </c>
      <c r="AP1207" s="14">
        <f>IFERROR(__xludf.DUMMYFUNCTION("""COMPUTED_VALUE"""),44.0)</f>
        <v>44</v>
      </c>
      <c r="AQ1207" s="14">
        <f>IFERROR(__xludf.DUMMYFUNCTION("""COMPUTED_VALUE"""),65.0)</f>
        <v>65</v>
      </c>
      <c r="AR1207" s="14">
        <f>IFERROR(__xludf.DUMMYFUNCTION("""COMPUTED_VALUE"""),18.0)</f>
        <v>18</v>
      </c>
      <c r="AS1207" s="14">
        <f>IFERROR(__xludf.DUMMYFUNCTION("""COMPUTED_VALUE"""),27.0)</f>
        <v>27</v>
      </c>
      <c r="AT1207" s="14">
        <f>IFERROR(__xludf.DUMMYFUNCTION("""COMPUTED_VALUE"""),2.92)</f>
        <v>2.92</v>
      </c>
      <c r="AU1207" s="14">
        <f>IFERROR(__xludf.DUMMYFUNCTION("""COMPUTED_VALUE"""),1.696E8)</f>
        <v>169600000</v>
      </c>
      <c r="AV1207" s="14">
        <f>IFERROR(__xludf.DUMMYFUNCTION("""COMPUTED_VALUE"""),1.55)</f>
        <v>1.55</v>
      </c>
      <c r="AW1207" s="14">
        <f>IFERROR(__xludf.DUMMYFUNCTION("""COMPUTED_VALUE"""),11.8)</f>
        <v>11.8</v>
      </c>
      <c r="AX1207" s="14">
        <f>IFERROR(__xludf.DUMMYFUNCTION("""COMPUTED_VALUE"""),1.314E8)</f>
        <v>131400000</v>
      </c>
      <c r="AY1207" s="14">
        <f>IFERROR(__xludf.DUMMYFUNCTION("""COMPUTED_VALUE"""),0.7)</f>
        <v>0.7</v>
      </c>
      <c r="AZ1207" s="14">
        <f>IFERROR(__xludf.DUMMYFUNCTION("""COMPUTED_VALUE"""),0.007)</f>
        <v>0.007</v>
      </c>
      <c r="BA1207" s="14">
        <f t="shared" si="1"/>
        <v>12.507</v>
      </c>
    </row>
    <row r="1208" ht="14.25" customHeight="1">
      <c r="A1208" s="10" t="str">
        <f>IFERROR(__xludf.DUMMYFUNCTION("""COMPUTED_VALUE"""),"091024LA01")</f>
        <v>091024LA01</v>
      </c>
      <c r="B1208" s="12" t="str">
        <f>IFERROR(__xludf.DUMMYFUNCTION("""COMPUTED_VALUE"""),"QSL-Alfonso López")</f>
        <v>QSL-Alfonso López</v>
      </c>
      <c r="C1208" s="12"/>
      <c r="D1208" s="12"/>
      <c r="E1208" s="44">
        <f>IFERROR(__xludf.DUMMYFUNCTION("""COMPUTED_VALUE"""),45574.0)</f>
        <v>45574</v>
      </c>
      <c r="F1208" s="12" t="str">
        <f>IFERROR(__xludf.DUMMYFUNCTION("""COMPUTED_VALUE"""),"TIPO I")</f>
        <v>TIPO I</v>
      </c>
      <c r="G1208" s="12" t="str">
        <f>IFERROR(__xludf.DUMMYFUNCTION("""COMPUTED_VALUE"""),"Durante el monitoreo se percibe olor y se observa color. 
Altitud: 2750 msnm")</f>
        <v>Durante el monitoreo se percibe olor y se observa color. 
Altitud: 2750 msnm</v>
      </c>
      <c r="H1208" s="45">
        <f>IFERROR(__xludf.DUMMYFUNCTION("""COMPUTED_VALUE"""),0.3333333333321207)</f>
        <v>0.3333333333</v>
      </c>
      <c r="I1208" s="45">
        <f>IFERROR(__xludf.DUMMYFUNCTION("""COMPUTED_VALUE"""),0.4166666666678793)</f>
        <v>0.4166666667</v>
      </c>
      <c r="J1208" s="12">
        <f>IFERROR(__xludf.DUMMYFUNCTION("""COMPUTED_VALUE"""),1.5)</f>
        <v>1.5</v>
      </c>
      <c r="K1208" s="12">
        <f>IFERROR(__xludf.DUMMYFUNCTION("""COMPUTED_VALUE"""),0.23)</f>
        <v>0.23</v>
      </c>
      <c r="L1208" s="14">
        <f>IFERROR(__xludf.DUMMYFUNCTION("""COMPUTED_VALUE"""),90.667)</f>
        <v>90.667</v>
      </c>
      <c r="M1208" s="14">
        <f>IFERROR(__xludf.DUMMYFUNCTION("""COMPUTED_VALUE"""),94.372)</f>
        <v>94.372</v>
      </c>
      <c r="N1208" s="14">
        <f>IFERROR(__xludf.DUMMYFUNCTION("""COMPUTED_VALUE"""),95.317)</f>
        <v>95.317</v>
      </c>
      <c r="O1208" s="14">
        <f>IFERROR(__xludf.DUMMYFUNCTION("""COMPUTED_VALUE"""),101.917)</f>
        <v>101.917</v>
      </c>
      <c r="P1208" s="14">
        <f>IFERROR(__xludf.DUMMYFUNCTION("""COMPUTED_VALUE"""),102.852)</f>
        <v>102.852</v>
      </c>
      <c r="Q1208" s="14">
        <f>IFERROR(__xludf.DUMMYFUNCTION("""COMPUTED_VALUE"""),97.025)</f>
        <v>97.025</v>
      </c>
      <c r="R1208" s="48">
        <f>IFERROR(__xludf.DUMMYFUNCTION("""COMPUTED_VALUE"""),8.6)</f>
        <v>8.6</v>
      </c>
      <c r="S1208" s="48">
        <f>IFERROR(__xludf.DUMMYFUNCTION("""COMPUTED_VALUE"""),8.45)</f>
        <v>8.45</v>
      </c>
      <c r="T1208" s="48">
        <f>IFERROR(__xludf.DUMMYFUNCTION("""COMPUTED_VALUE"""),8.35)</f>
        <v>8.35</v>
      </c>
      <c r="U1208" s="48">
        <f>IFERROR(__xludf.DUMMYFUNCTION("""COMPUTED_VALUE"""),8.5)</f>
        <v>8.5</v>
      </c>
      <c r="V1208" s="48">
        <f>IFERROR(__xludf.DUMMYFUNCTION("""COMPUTED_VALUE"""),8.43)</f>
        <v>8.43</v>
      </c>
      <c r="W1208" s="14">
        <f>IFERROR(__xludf.DUMMYFUNCTION("""COMPUTED_VALUE"""),8.466)</f>
        <v>8.466</v>
      </c>
      <c r="X1208" s="14">
        <f>IFERROR(__xludf.DUMMYFUNCTION("""COMPUTED_VALUE"""),12.5)</f>
        <v>12.5</v>
      </c>
      <c r="Y1208" s="14">
        <f>IFERROR(__xludf.DUMMYFUNCTION("""COMPUTED_VALUE"""),12.4)</f>
        <v>12.4</v>
      </c>
      <c r="Z1208" s="14">
        <f>IFERROR(__xludf.DUMMYFUNCTION("""COMPUTED_VALUE"""),12.2)</f>
        <v>12.2</v>
      </c>
      <c r="AA1208" s="14">
        <f>IFERROR(__xludf.DUMMYFUNCTION("""COMPUTED_VALUE"""),12.2)</f>
        <v>12.2</v>
      </c>
      <c r="AB1208" s="14">
        <f>IFERROR(__xludf.DUMMYFUNCTION("""COMPUTED_VALUE"""),12.3)</f>
        <v>12.3</v>
      </c>
      <c r="AC1208" s="14">
        <f>IFERROR(__xludf.DUMMYFUNCTION("""COMPUTED_VALUE"""),12.319999999999999)</f>
        <v>12.32</v>
      </c>
      <c r="AD1208" s="48">
        <f>IFERROR(__xludf.DUMMYFUNCTION("""COMPUTED_VALUE"""),149.3)</f>
        <v>149.3</v>
      </c>
      <c r="AE1208" s="48">
        <f>IFERROR(__xludf.DUMMYFUNCTION("""COMPUTED_VALUE"""),156.2)</f>
        <v>156.2</v>
      </c>
      <c r="AF1208" s="48">
        <f>IFERROR(__xludf.DUMMYFUNCTION("""COMPUTED_VALUE"""),141.0)</f>
        <v>141</v>
      </c>
      <c r="AG1208" s="48">
        <f>IFERROR(__xludf.DUMMYFUNCTION("""COMPUTED_VALUE"""),141.8)</f>
        <v>141.8</v>
      </c>
      <c r="AH1208" s="48">
        <f>IFERROR(__xludf.DUMMYFUNCTION("""COMPUTED_VALUE"""),138.0)</f>
        <v>138</v>
      </c>
      <c r="AI1208" s="14">
        <f>IFERROR(__xludf.DUMMYFUNCTION("""COMPUTED_VALUE"""),145.26)</f>
        <v>145.26</v>
      </c>
      <c r="AJ1208" s="14">
        <f>IFERROR(__xludf.DUMMYFUNCTION("""COMPUTED_VALUE"""),6.6)</f>
        <v>6.6</v>
      </c>
      <c r="AK1208" s="14">
        <f>IFERROR(__xludf.DUMMYFUNCTION("""COMPUTED_VALUE"""),6.7)</f>
        <v>6.7</v>
      </c>
      <c r="AL1208" s="14">
        <f>IFERROR(__xludf.DUMMYFUNCTION("""COMPUTED_VALUE"""),6.5)</f>
        <v>6.5</v>
      </c>
      <c r="AM1208" s="14">
        <f>IFERROR(__xludf.DUMMYFUNCTION("""COMPUTED_VALUE"""),6.6)</f>
        <v>6.6</v>
      </c>
      <c r="AN1208" s="14">
        <f>IFERROR(__xludf.DUMMYFUNCTION("""COMPUTED_VALUE"""),6.4)</f>
        <v>6.4</v>
      </c>
      <c r="AO1208" s="14">
        <f>IFERROR(__xludf.DUMMYFUNCTION("""COMPUTED_VALUE"""),6.56)</f>
        <v>6.56</v>
      </c>
      <c r="AP1208" s="14">
        <f>IFERROR(__xludf.DUMMYFUNCTION("""COMPUTED_VALUE"""),10.0)</f>
        <v>10</v>
      </c>
      <c r="AQ1208" s="14">
        <f>IFERROR(__xludf.DUMMYFUNCTION("""COMPUTED_VALUE"""),23.0)</f>
        <v>23</v>
      </c>
      <c r="AR1208" s="14">
        <f>IFERROR(__xludf.DUMMYFUNCTION("""COMPUTED_VALUE"""),309.0)</f>
        <v>309</v>
      </c>
      <c r="AS1208" s="14">
        <f>IFERROR(__xludf.DUMMYFUNCTION("""COMPUTED_VALUE"""),10.5)</f>
        <v>10.5</v>
      </c>
      <c r="AT1208" s="14">
        <f>IFERROR(__xludf.DUMMYFUNCTION("""COMPUTED_VALUE"""),1.14)</f>
        <v>1.14</v>
      </c>
      <c r="AU1208" s="14">
        <f>IFERROR(__xludf.DUMMYFUNCTION("""COMPUTED_VALUE"""),85700.0)</f>
        <v>85700</v>
      </c>
      <c r="AV1208" s="14">
        <f>IFERROR(__xludf.DUMMYFUNCTION("""COMPUTED_VALUE"""),0.24)</f>
        <v>0.24</v>
      </c>
      <c r="AW1208" s="14">
        <f>IFERROR(__xludf.DUMMYFUNCTION("""COMPUTED_VALUE"""),2.8)</f>
        <v>2.8</v>
      </c>
      <c r="AX1208" s="14">
        <f>IFERROR(__xludf.DUMMYFUNCTION("""COMPUTED_VALUE"""),49500.0)</f>
        <v>49500</v>
      </c>
      <c r="AY1208" s="14">
        <f>IFERROR(__xludf.DUMMYFUNCTION("""COMPUTED_VALUE"""),3.2)</f>
        <v>3.2</v>
      </c>
      <c r="AZ1208" s="14">
        <f>IFERROR(__xludf.DUMMYFUNCTION("""COMPUTED_VALUE"""),0.073)</f>
        <v>0.073</v>
      </c>
      <c r="BA1208" s="14">
        <f t="shared" si="1"/>
        <v>6.073</v>
      </c>
    </row>
    <row r="1209" ht="14.25" customHeight="1">
      <c r="A1209" s="10" t="str">
        <f>IFERROR(__xludf.DUMMYFUNCTION("""COMPUTED_VALUE"""),"101024DU03")</f>
        <v>101024DU03</v>
      </c>
      <c r="B1209" s="12" t="str">
        <f>IFERROR(__xludf.DUMMYFUNCTION("""COMPUTED_VALUE"""),"CRN-La Castellana")</f>
        <v>CRN-La Castellana</v>
      </c>
      <c r="C1209" s="12"/>
      <c r="D1209" s="12"/>
      <c r="E1209" s="44">
        <f>IFERROR(__xludf.DUMMYFUNCTION("""COMPUTED_VALUE"""),45575.0)</f>
        <v>45575</v>
      </c>
      <c r="F1209" s="12" t="str">
        <f>IFERROR(__xludf.DUMMYFUNCTION("""COMPUTED_VALUE"""),"TIPO I")</f>
        <v>TIPO I</v>
      </c>
      <c r="G1209" s="12" t="str">
        <f>IFERROR(__xludf.DUMMYFUNCTION("""COMPUTED_VALUE"""),"Durante el desarrollo del monitoreo se percibe olor, se observa color.
Altitud: 2570 msnm.")</f>
        <v>Durante el desarrollo del monitoreo se percibe olor, se observa color.
Altitud: 2570 msnm.</v>
      </c>
      <c r="H1209" s="45">
        <f>IFERROR(__xludf.DUMMYFUNCTION("""COMPUTED_VALUE"""),0.5416666666678793)</f>
        <v>0.5416666667</v>
      </c>
      <c r="I1209" s="45">
        <f>IFERROR(__xludf.DUMMYFUNCTION("""COMPUTED_VALUE"""),0.625)</f>
        <v>0.625</v>
      </c>
      <c r="J1209" s="12">
        <f>IFERROR(__xludf.DUMMYFUNCTION("""COMPUTED_VALUE"""),5.6)</f>
        <v>5.6</v>
      </c>
      <c r="K1209" s="12">
        <f>IFERROR(__xludf.DUMMYFUNCTION("""COMPUTED_VALUE"""),0.21)</f>
        <v>0.21</v>
      </c>
      <c r="L1209" s="14">
        <f>IFERROR(__xludf.DUMMYFUNCTION("""COMPUTED_VALUE"""),360.499)</f>
        <v>360.499</v>
      </c>
      <c r="M1209" s="14">
        <f>IFERROR(__xludf.DUMMYFUNCTION("""COMPUTED_VALUE"""),356.51)</f>
        <v>356.51</v>
      </c>
      <c r="N1209" s="14">
        <f>IFERROR(__xludf.DUMMYFUNCTION("""COMPUTED_VALUE"""),354.477)</f>
        <v>354.477</v>
      </c>
      <c r="O1209" s="14">
        <f>IFERROR(__xludf.DUMMYFUNCTION("""COMPUTED_VALUE"""),351.477)</f>
        <v>351.477</v>
      </c>
      <c r="P1209" s="14">
        <f>IFERROR(__xludf.DUMMYFUNCTION("""COMPUTED_VALUE"""),352.866)</f>
        <v>352.866</v>
      </c>
      <c r="Q1209" s="14">
        <f>IFERROR(__xludf.DUMMYFUNCTION("""COMPUTED_VALUE"""),355.166)</f>
        <v>355.166</v>
      </c>
      <c r="R1209" s="48">
        <f>IFERROR(__xludf.DUMMYFUNCTION("""COMPUTED_VALUE"""),8.33)</f>
        <v>8.33</v>
      </c>
      <c r="S1209" s="48">
        <f>IFERROR(__xludf.DUMMYFUNCTION("""COMPUTED_VALUE"""),8.26)</f>
        <v>8.26</v>
      </c>
      <c r="T1209" s="48">
        <f>IFERROR(__xludf.DUMMYFUNCTION("""COMPUTED_VALUE"""),8.31)</f>
        <v>8.31</v>
      </c>
      <c r="U1209" s="48">
        <f>IFERROR(__xludf.DUMMYFUNCTION("""COMPUTED_VALUE"""),8.34)</f>
        <v>8.34</v>
      </c>
      <c r="V1209" s="48">
        <f>IFERROR(__xludf.DUMMYFUNCTION("""COMPUTED_VALUE"""),8.15)</f>
        <v>8.15</v>
      </c>
      <c r="W1209" s="14">
        <f>IFERROR(__xludf.DUMMYFUNCTION("""COMPUTED_VALUE"""),8.277999999999999)</f>
        <v>8.278</v>
      </c>
      <c r="X1209" s="14">
        <f>IFERROR(__xludf.DUMMYFUNCTION("""COMPUTED_VALUE"""),25.6)</f>
        <v>25.6</v>
      </c>
      <c r="Y1209" s="14">
        <f>IFERROR(__xludf.DUMMYFUNCTION("""COMPUTED_VALUE"""),22.1)</f>
        <v>22.1</v>
      </c>
      <c r="Z1209" s="14">
        <f>IFERROR(__xludf.DUMMYFUNCTION("""COMPUTED_VALUE"""),22.0)</f>
        <v>22</v>
      </c>
      <c r="AA1209" s="14">
        <f>IFERROR(__xludf.DUMMYFUNCTION("""COMPUTED_VALUE"""),20.2)</f>
        <v>20.2</v>
      </c>
      <c r="AB1209" s="14">
        <f>IFERROR(__xludf.DUMMYFUNCTION("""COMPUTED_VALUE"""),20.0)</f>
        <v>20</v>
      </c>
      <c r="AC1209" s="14">
        <f>IFERROR(__xludf.DUMMYFUNCTION("""COMPUTED_VALUE"""),21.98)</f>
        <v>21.98</v>
      </c>
      <c r="AD1209" s="48">
        <f>IFERROR(__xludf.DUMMYFUNCTION("""COMPUTED_VALUE"""),573.0)</f>
        <v>573</v>
      </c>
      <c r="AE1209" s="48">
        <f>IFERROR(__xludf.DUMMYFUNCTION("""COMPUTED_VALUE"""),622.0)</f>
        <v>622</v>
      </c>
      <c r="AF1209" s="48">
        <f>IFERROR(__xludf.DUMMYFUNCTION("""COMPUTED_VALUE"""),629.0)</f>
        <v>629</v>
      </c>
      <c r="AG1209" s="48">
        <f>IFERROR(__xludf.DUMMYFUNCTION("""COMPUTED_VALUE"""),634.0)</f>
        <v>634</v>
      </c>
      <c r="AH1209" s="48">
        <f>IFERROR(__xludf.DUMMYFUNCTION("""COMPUTED_VALUE"""),640.0)</f>
        <v>640</v>
      </c>
      <c r="AI1209" s="14">
        <f>IFERROR(__xludf.DUMMYFUNCTION("""COMPUTED_VALUE"""),619.6)</f>
        <v>619.6</v>
      </c>
      <c r="AJ1209" s="14">
        <f>IFERROR(__xludf.DUMMYFUNCTION("""COMPUTED_VALUE"""),4.1)</f>
        <v>4.1</v>
      </c>
      <c r="AK1209" s="14">
        <f>IFERROR(__xludf.DUMMYFUNCTION("""COMPUTED_VALUE"""),3.3)</f>
        <v>3.3</v>
      </c>
      <c r="AL1209" s="14">
        <f>IFERROR(__xludf.DUMMYFUNCTION("""COMPUTED_VALUE"""),3.4)</f>
        <v>3.4</v>
      </c>
      <c r="AM1209" s="14">
        <f>IFERROR(__xludf.DUMMYFUNCTION("""COMPUTED_VALUE"""),3.6)</f>
        <v>3.6</v>
      </c>
      <c r="AN1209" s="14">
        <f>IFERROR(__xludf.DUMMYFUNCTION("""COMPUTED_VALUE"""),3.5)</f>
        <v>3.5</v>
      </c>
      <c r="AO1209" s="14">
        <f>IFERROR(__xludf.DUMMYFUNCTION("""COMPUTED_VALUE"""),3.5799999999999996)</f>
        <v>3.58</v>
      </c>
      <c r="AP1209" s="14">
        <f>IFERROR(__xludf.DUMMYFUNCTION("""COMPUTED_VALUE"""),186.0)</f>
        <v>186</v>
      </c>
      <c r="AQ1209" s="14">
        <f>IFERROR(__xludf.DUMMYFUNCTION("""COMPUTED_VALUE"""),358.0)</f>
        <v>358</v>
      </c>
      <c r="AR1209" s="14">
        <f>IFERROR(__xludf.DUMMYFUNCTION("""COMPUTED_VALUE"""),68.0)</f>
        <v>68</v>
      </c>
      <c r="AS1209" s="14">
        <f>IFERROR(__xludf.DUMMYFUNCTION("""COMPUTED_VALUE"""),80.0)</f>
        <v>80</v>
      </c>
      <c r="AT1209" s="14">
        <f>IFERROR(__xludf.DUMMYFUNCTION("""COMPUTED_VALUE"""),1.09)</f>
        <v>1.09</v>
      </c>
      <c r="AU1209" s="14">
        <f>IFERROR(__xludf.DUMMYFUNCTION("""COMPUTED_VALUE"""),140300.0)</f>
        <v>140300</v>
      </c>
      <c r="AV1209" s="14">
        <f>IFERROR(__xludf.DUMMYFUNCTION("""COMPUTED_VALUE"""),4.59)</f>
        <v>4.59</v>
      </c>
      <c r="AW1209" s="14">
        <f>IFERROR(__xludf.DUMMYFUNCTION("""COMPUTED_VALUE"""),58.2)</f>
        <v>58.2</v>
      </c>
      <c r="AX1209" s="14">
        <f>IFERROR(__xludf.DUMMYFUNCTION("""COMPUTED_VALUE"""),89300.0)</f>
        <v>89300</v>
      </c>
      <c r="AY1209" s="14">
        <f>IFERROR(__xludf.DUMMYFUNCTION("""COMPUTED_VALUE"""),1.1)</f>
        <v>1.1</v>
      </c>
      <c r="AZ1209" s="14">
        <f>IFERROR(__xludf.DUMMYFUNCTION("""COMPUTED_VALUE"""),0.007)</f>
        <v>0.007</v>
      </c>
      <c r="BA1209" s="14">
        <f t="shared" si="1"/>
        <v>59.307</v>
      </c>
    </row>
    <row r="1210" ht="14.25" customHeight="1">
      <c r="A1210" s="10" t="str">
        <f>IFERROR(__xludf.DUMMYFUNCTION("""COMPUTED_VALUE"""),"101024FM01")</f>
        <v>101024FM01</v>
      </c>
      <c r="B1210" s="12" t="str">
        <f>IFERROR(__xludf.DUMMYFUNCTION("""COMPUTED_VALUE"""),"CON-Camino del Contador")</f>
        <v>CON-Camino del Contador</v>
      </c>
      <c r="C1210" s="12"/>
      <c r="D1210" s="12"/>
      <c r="E1210" s="44">
        <f>IFERROR(__xludf.DUMMYFUNCTION("""COMPUTED_VALUE"""),45575.0)</f>
        <v>45575</v>
      </c>
      <c r="F1210" s="12" t="str">
        <f>IFERROR(__xludf.DUMMYFUNCTION("""COMPUTED_VALUE"""),"TIPO I")</f>
        <v>TIPO I</v>
      </c>
      <c r="G1210" s="12" t="str">
        <f>IFERROR(__xludf.DUMMYFUNCTION("""COMPUTED_VALUE"""),"Durante el monitoreo se percibe olor, se observa color y residuos sólidos en la fuente y márgenes. 
Altitud: 2555 msnm")</f>
        <v>Durante el monitoreo se percibe olor, se observa color y residuos sólidos en la fuente y márgenes. 
Altitud: 2555 msnm</v>
      </c>
      <c r="H1210" s="45">
        <f>IFERROR(__xludf.DUMMYFUNCTION("""COMPUTED_VALUE"""),0.25)</f>
        <v>0.25</v>
      </c>
      <c r="I1210" s="45">
        <f>IFERROR(__xludf.DUMMYFUNCTION("""COMPUTED_VALUE"""),0.3333333333321207)</f>
        <v>0.3333333333</v>
      </c>
      <c r="J1210" s="12">
        <f>IFERROR(__xludf.DUMMYFUNCTION("""COMPUTED_VALUE"""),2.3)</f>
        <v>2.3</v>
      </c>
      <c r="K1210" s="12">
        <f>IFERROR(__xludf.DUMMYFUNCTION("""COMPUTED_VALUE"""),0.06)</f>
        <v>0.06</v>
      </c>
      <c r="L1210" s="14">
        <f>IFERROR(__xludf.DUMMYFUNCTION("""COMPUTED_VALUE"""),24.706)</f>
        <v>24.706</v>
      </c>
      <c r="M1210" s="14">
        <f>IFERROR(__xludf.DUMMYFUNCTION("""COMPUTED_VALUE"""),22.742)</f>
        <v>22.742</v>
      </c>
      <c r="N1210" s="14">
        <f>IFERROR(__xludf.DUMMYFUNCTION("""COMPUTED_VALUE"""),23.205)</f>
        <v>23.205</v>
      </c>
      <c r="O1210" s="14">
        <f>IFERROR(__xludf.DUMMYFUNCTION("""COMPUTED_VALUE"""),22.891)</f>
        <v>22.891</v>
      </c>
      <c r="P1210" s="14">
        <f>IFERROR(__xludf.DUMMYFUNCTION("""COMPUTED_VALUE"""),23.584)</f>
        <v>23.584</v>
      </c>
      <c r="Q1210" s="14">
        <f>IFERROR(__xludf.DUMMYFUNCTION("""COMPUTED_VALUE"""),23.426)</f>
        <v>23.426</v>
      </c>
      <c r="R1210" s="48">
        <f>IFERROR(__xludf.DUMMYFUNCTION("""COMPUTED_VALUE"""),8.17)</f>
        <v>8.17</v>
      </c>
      <c r="S1210" s="48">
        <f>IFERROR(__xludf.DUMMYFUNCTION("""COMPUTED_VALUE"""),8.22)</f>
        <v>8.22</v>
      </c>
      <c r="T1210" s="48">
        <f>IFERROR(__xludf.DUMMYFUNCTION("""COMPUTED_VALUE"""),8.25)</f>
        <v>8.25</v>
      </c>
      <c r="U1210" s="48">
        <f>IFERROR(__xludf.DUMMYFUNCTION("""COMPUTED_VALUE"""),8.28)</f>
        <v>8.28</v>
      </c>
      <c r="V1210" s="48">
        <f>IFERROR(__xludf.DUMMYFUNCTION("""COMPUTED_VALUE"""),8.33)</f>
        <v>8.33</v>
      </c>
      <c r="W1210" s="14">
        <f>IFERROR(__xludf.DUMMYFUNCTION("""COMPUTED_VALUE"""),8.25)</f>
        <v>8.25</v>
      </c>
      <c r="X1210" s="14">
        <f>IFERROR(__xludf.DUMMYFUNCTION("""COMPUTED_VALUE"""),15.2)</f>
        <v>15.2</v>
      </c>
      <c r="Y1210" s="14">
        <f>IFERROR(__xludf.DUMMYFUNCTION("""COMPUTED_VALUE"""),15.3)</f>
        <v>15.3</v>
      </c>
      <c r="Z1210" s="14">
        <f>IFERROR(__xludf.DUMMYFUNCTION("""COMPUTED_VALUE"""),15.5)</f>
        <v>15.5</v>
      </c>
      <c r="AA1210" s="14">
        <f>IFERROR(__xludf.DUMMYFUNCTION("""COMPUTED_VALUE"""),16.0)</f>
        <v>16</v>
      </c>
      <c r="AB1210" s="14">
        <f>IFERROR(__xludf.DUMMYFUNCTION("""COMPUTED_VALUE"""),16.2)</f>
        <v>16.2</v>
      </c>
      <c r="AC1210" s="14">
        <f>IFERROR(__xludf.DUMMYFUNCTION("""COMPUTED_VALUE"""),15.64)</f>
        <v>15.64</v>
      </c>
      <c r="AD1210" s="48">
        <f>IFERROR(__xludf.DUMMYFUNCTION("""COMPUTED_VALUE"""),514.0)</f>
        <v>514</v>
      </c>
      <c r="AE1210" s="48">
        <f>IFERROR(__xludf.DUMMYFUNCTION("""COMPUTED_VALUE"""),528.0)</f>
        <v>528</v>
      </c>
      <c r="AF1210" s="48">
        <f>IFERROR(__xludf.DUMMYFUNCTION("""COMPUTED_VALUE"""),533.0)</f>
        <v>533</v>
      </c>
      <c r="AG1210" s="48">
        <f>IFERROR(__xludf.DUMMYFUNCTION("""COMPUTED_VALUE"""),525.0)</f>
        <v>525</v>
      </c>
      <c r="AH1210" s="48">
        <f>IFERROR(__xludf.DUMMYFUNCTION("""COMPUTED_VALUE"""),522.0)</f>
        <v>522</v>
      </c>
      <c r="AI1210" s="14">
        <f>IFERROR(__xludf.DUMMYFUNCTION("""COMPUTED_VALUE"""),524.4)</f>
        <v>524.4</v>
      </c>
      <c r="AJ1210" s="14">
        <f>IFERROR(__xludf.DUMMYFUNCTION("""COMPUTED_VALUE"""),2.47)</f>
        <v>2.47</v>
      </c>
      <c r="AK1210" s="14">
        <f>IFERROR(__xludf.DUMMYFUNCTION("""COMPUTED_VALUE"""),2.58)</f>
        <v>2.58</v>
      </c>
      <c r="AL1210" s="14">
        <f>IFERROR(__xludf.DUMMYFUNCTION("""COMPUTED_VALUE"""),2.72)</f>
        <v>2.72</v>
      </c>
      <c r="AM1210" s="14">
        <f>IFERROR(__xludf.DUMMYFUNCTION("""COMPUTED_VALUE"""),2.87)</f>
        <v>2.87</v>
      </c>
      <c r="AN1210" s="14">
        <f>IFERROR(__xludf.DUMMYFUNCTION("""COMPUTED_VALUE"""),2.99)</f>
        <v>2.99</v>
      </c>
      <c r="AO1210" s="14">
        <f>IFERROR(__xludf.DUMMYFUNCTION("""COMPUTED_VALUE"""),2.726)</f>
        <v>2.726</v>
      </c>
      <c r="AP1210" s="14">
        <f>IFERROR(__xludf.DUMMYFUNCTION("""COMPUTED_VALUE"""),16.0)</f>
        <v>16</v>
      </c>
      <c r="AQ1210" s="14">
        <f>IFERROR(__xludf.DUMMYFUNCTION("""COMPUTED_VALUE"""),58.0)</f>
        <v>58</v>
      </c>
      <c r="AR1210" s="14">
        <f>IFERROR(__xludf.DUMMYFUNCTION("""COMPUTED_VALUE"""),18.0)</f>
        <v>18</v>
      </c>
      <c r="AS1210" s="14">
        <f>IFERROR(__xludf.DUMMYFUNCTION("""COMPUTED_VALUE"""),17.0)</f>
        <v>17</v>
      </c>
      <c r="AT1210" s="14">
        <f>IFERROR(__xludf.DUMMYFUNCTION("""COMPUTED_VALUE"""),3.38)</f>
        <v>3.38</v>
      </c>
      <c r="AU1210" s="14">
        <f>IFERROR(__xludf.DUMMYFUNCTION("""COMPUTED_VALUE"""),1.354E7)</f>
        <v>13540000</v>
      </c>
      <c r="AV1210" s="14">
        <f>IFERROR(__xludf.DUMMYFUNCTION("""COMPUTED_VALUE"""),2.27)</f>
        <v>2.27</v>
      </c>
      <c r="AW1210" s="14">
        <f>IFERROR(__xludf.DUMMYFUNCTION("""COMPUTED_VALUE"""),23.5)</f>
        <v>23.5</v>
      </c>
      <c r="AX1210" s="14">
        <f>IFERROR(__xludf.DUMMYFUNCTION("""COMPUTED_VALUE"""),1.081E7)</f>
        <v>10810000</v>
      </c>
      <c r="AY1210" s="14">
        <f>IFERROR(__xludf.DUMMYFUNCTION("""COMPUTED_VALUE"""),0.2)</f>
        <v>0.2</v>
      </c>
      <c r="AZ1210" s="14">
        <f>IFERROR(__xludf.DUMMYFUNCTION("""COMPUTED_VALUE"""),0.007)</f>
        <v>0.007</v>
      </c>
      <c r="BA1210" s="14">
        <f t="shared" si="1"/>
        <v>23.707</v>
      </c>
    </row>
    <row r="1211" ht="14.25" customHeight="1">
      <c r="A1211" s="10" t="str">
        <f>IFERROR(__xludf.DUMMYFUNCTION("""COMPUTED_VALUE"""),"101024FM03")</f>
        <v>101024FM03</v>
      </c>
      <c r="B1211" s="12" t="str">
        <f>IFERROR(__xludf.DUMMYFUNCTION("""COMPUTED_VALUE"""),"CON-Country")</f>
        <v>CON-Country</v>
      </c>
      <c r="C1211" s="12"/>
      <c r="D1211" s="12"/>
      <c r="E1211" s="44">
        <f>IFERROR(__xludf.DUMMYFUNCTION("""COMPUTED_VALUE"""),45575.0)</f>
        <v>45575</v>
      </c>
      <c r="F1211" s="12" t="str">
        <f>IFERROR(__xludf.DUMMYFUNCTION("""COMPUTED_VALUE"""),"TIPO I")</f>
        <v>TIPO I</v>
      </c>
      <c r="G1211" s="12" t="str">
        <f>IFERROR(__xludf.DUMMYFUNCTION("""COMPUTED_VALUE"""),"Durante el monitoreo se observa color, algas y se percibe olor. Se reportaron valores de PH por encima de 8 y oxígenos altos.
Altitud 2559 msnm")</f>
        <v>Durante el monitoreo se observa color, algas y se percibe olor. Se reportaron valores de PH por encima de 8 y oxígenos altos.
Altitud 2559 msnm</v>
      </c>
      <c r="H1211" s="45">
        <f>IFERROR(__xludf.DUMMYFUNCTION("""COMPUTED_VALUE"""),0.5416666666678793)</f>
        <v>0.5416666667</v>
      </c>
      <c r="I1211" s="45">
        <f>IFERROR(__xludf.DUMMYFUNCTION("""COMPUTED_VALUE"""),0.625)</f>
        <v>0.625</v>
      </c>
      <c r="J1211" s="12">
        <f>IFERROR(__xludf.DUMMYFUNCTION("""COMPUTED_VALUE"""),1.8)</f>
        <v>1.8</v>
      </c>
      <c r="K1211" s="12">
        <f>IFERROR(__xludf.DUMMYFUNCTION("""COMPUTED_VALUE"""),0.05)</f>
        <v>0.05</v>
      </c>
      <c r="L1211" s="14">
        <f>IFERROR(__xludf.DUMMYFUNCTION("""COMPUTED_VALUE"""),7.097)</f>
        <v>7.097</v>
      </c>
      <c r="M1211" s="14">
        <f>IFERROR(__xludf.DUMMYFUNCTION("""COMPUTED_VALUE"""),7.469)</f>
        <v>7.469</v>
      </c>
      <c r="N1211" s="14">
        <f>IFERROR(__xludf.DUMMYFUNCTION("""COMPUTED_VALUE"""),7.604)</f>
        <v>7.604</v>
      </c>
      <c r="O1211" s="14">
        <f>IFERROR(__xludf.DUMMYFUNCTION("""COMPUTED_VALUE"""),7.39)</f>
        <v>7.39</v>
      </c>
      <c r="P1211" s="14">
        <f>IFERROR(__xludf.DUMMYFUNCTION("""COMPUTED_VALUE"""),7.303)</f>
        <v>7.303</v>
      </c>
      <c r="Q1211" s="14">
        <f>IFERROR(__xludf.DUMMYFUNCTION("""COMPUTED_VALUE"""),7.373)</f>
        <v>7.373</v>
      </c>
      <c r="R1211" s="48">
        <f>IFERROR(__xludf.DUMMYFUNCTION("""COMPUTED_VALUE"""),9.28)</f>
        <v>9.28</v>
      </c>
      <c r="S1211" s="48">
        <f>IFERROR(__xludf.DUMMYFUNCTION("""COMPUTED_VALUE"""),9.36)</f>
        <v>9.36</v>
      </c>
      <c r="T1211" s="48">
        <f>IFERROR(__xludf.DUMMYFUNCTION("""COMPUTED_VALUE"""),9.47)</f>
        <v>9.47</v>
      </c>
      <c r="U1211" s="48">
        <f>IFERROR(__xludf.DUMMYFUNCTION("""COMPUTED_VALUE"""),9.45)</f>
        <v>9.45</v>
      </c>
      <c r="V1211" s="48">
        <f>IFERROR(__xludf.DUMMYFUNCTION("""COMPUTED_VALUE"""),9.51)</f>
        <v>9.51</v>
      </c>
      <c r="W1211" s="14">
        <f>IFERROR(__xludf.DUMMYFUNCTION("""COMPUTED_VALUE"""),9.414)</f>
        <v>9.414</v>
      </c>
      <c r="X1211" s="14">
        <f>IFERROR(__xludf.DUMMYFUNCTION("""COMPUTED_VALUE"""),21.2)</f>
        <v>21.2</v>
      </c>
      <c r="Y1211" s="14">
        <f>IFERROR(__xludf.DUMMYFUNCTION("""COMPUTED_VALUE"""),21.2)</f>
        <v>21.2</v>
      </c>
      <c r="Z1211" s="14">
        <f>IFERROR(__xludf.DUMMYFUNCTION("""COMPUTED_VALUE"""),20.6)</f>
        <v>20.6</v>
      </c>
      <c r="AA1211" s="14">
        <f>IFERROR(__xludf.DUMMYFUNCTION("""COMPUTED_VALUE"""),20.8)</f>
        <v>20.8</v>
      </c>
      <c r="AB1211" s="14">
        <f>IFERROR(__xludf.DUMMYFUNCTION("""COMPUTED_VALUE"""),20.8)</f>
        <v>20.8</v>
      </c>
      <c r="AC1211" s="14">
        <f>IFERROR(__xludf.DUMMYFUNCTION("""COMPUTED_VALUE"""),20.919999999999998)</f>
        <v>20.92</v>
      </c>
      <c r="AD1211" s="48">
        <f>IFERROR(__xludf.DUMMYFUNCTION("""COMPUTED_VALUE"""),473.0)</f>
        <v>473</v>
      </c>
      <c r="AE1211" s="48">
        <f>IFERROR(__xludf.DUMMYFUNCTION("""COMPUTED_VALUE"""),459.0)</f>
        <v>459</v>
      </c>
      <c r="AF1211" s="48">
        <f>IFERROR(__xludf.DUMMYFUNCTION("""COMPUTED_VALUE"""),441.0)</f>
        <v>441</v>
      </c>
      <c r="AG1211" s="48">
        <f>IFERROR(__xludf.DUMMYFUNCTION("""COMPUTED_VALUE"""),434.0)</f>
        <v>434</v>
      </c>
      <c r="AH1211" s="48">
        <f>IFERROR(__xludf.DUMMYFUNCTION("""COMPUTED_VALUE"""),433.0)</f>
        <v>433</v>
      </c>
      <c r="AI1211" s="14">
        <f>IFERROR(__xludf.DUMMYFUNCTION("""COMPUTED_VALUE"""),448.0)</f>
        <v>448</v>
      </c>
      <c r="AJ1211" s="14">
        <f>IFERROR(__xludf.DUMMYFUNCTION("""COMPUTED_VALUE"""),9.44)</f>
        <v>9.44</v>
      </c>
      <c r="AK1211" s="14">
        <f>IFERROR(__xludf.DUMMYFUNCTION("""COMPUTED_VALUE"""),9.41)</f>
        <v>9.41</v>
      </c>
      <c r="AL1211" s="14">
        <f>IFERROR(__xludf.DUMMYFUNCTION("""COMPUTED_VALUE"""),9.72)</f>
        <v>9.72</v>
      </c>
      <c r="AM1211" s="14">
        <f>IFERROR(__xludf.DUMMYFUNCTION("""COMPUTED_VALUE"""),9.16)</f>
        <v>9.16</v>
      </c>
      <c r="AN1211" s="14">
        <f>IFERROR(__xludf.DUMMYFUNCTION("""COMPUTED_VALUE"""),9.34)</f>
        <v>9.34</v>
      </c>
      <c r="AO1211" s="14">
        <f>IFERROR(__xludf.DUMMYFUNCTION("""COMPUTED_VALUE"""),9.414000000000001)</f>
        <v>9.414</v>
      </c>
      <c r="AP1211" s="14">
        <f>IFERROR(__xludf.DUMMYFUNCTION("""COMPUTED_VALUE"""),8.0)</f>
        <v>8</v>
      </c>
      <c r="AQ1211" s="14">
        <f>IFERROR(__xludf.DUMMYFUNCTION("""COMPUTED_VALUE"""),49.0)</f>
        <v>49</v>
      </c>
      <c r="AR1211" s="14">
        <f>IFERROR(__xludf.DUMMYFUNCTION("""COMPUTED_VALUE"""),13.0)</f>
        <v>13</v>
      </c>
      <c r="AS1211" s="14">
        <f>IFERROR(__xludf.DUMMYFUNCTION("""COMPUTED_VALUE"""),11.4)</f>
        <v>11.4</v>
      </c>
      <c r="AT1211" s="14">
        <f>IFERROR(__xludf.DUMMYFUNCTION("""COMPUTED_VALUE"""),2.1)</f>
        <v>2.1</v>
      </c>
      <c r="AU1211" s="14">
        <f>IFERROR(__xludf.DUMMYFUNCTION("""COMPUTED_VALUE"""),1.483E7)</f>
        <v>14830000</v>
      </c>
      <c r="AV1211" s="14">
        <f>IFERROR(__xludf.DUMMYFUNCTION("""COMPUTED_VALUE"""),1.81)</f>
        <v>1.81</v>
      </c>
      <c r="AW1211" s="14">
        <f>IFERROR(__xludf.DUMMYFUNCTION("""COMPUTED_VALUE"""),19.6)</f>
        <v>19.6</v>
      </c>
      <c r="AX1211" s="14">
        <f>IFERROR(__xludf.DUMMYFUNCTION("""COMPUTED_VALUE"""),1.229E7)</f>
        <v>12290000</v>
      </c>
      <c r="AY1211" s="14">
        <f>IFERROR(__xludf.DUMMYFUNCTION("""COMPUTED_VALUE"""),1.3)</f>
        <v>1.3</v>
      </c>
      <c r="AZ1211" s="14">
        <f>IFERROR(__xludf.DUMMYFUNCTION("""COMPUTED_VALUE"""),0.169)</f>
        <v>0.169</v>
      </c>
      <c r="BA1211" s="14">
        <f t="shared" si="1"/>
        <v>21.069</v>
      </c>
    </row>
    <row r="1212" ht="14.25" customHeight="1">
      <c r="A1212" s="10" t="str">
        <f>IFERROR(__xludf.DUMMYFUNCTION("""COMPUTED_VALUE"""),"101024DU02")</f>
        <v>101024DU02</v>
      </c>
      <c r="B1212" s="12" t="str">
        <f>IFERROR(__xludf.DUMMYFUNCTION("""COMPUTED_VALUE"""),"CRN-Quebrada Chicó")</f>
        <v>CRN-Quebrada Chicó</v>
      </c>
      <c r="C1212" s="12"/>
      <c r="D1212" s="12"/>
      <c r="E1212" s="44">
        <f>IFERROR(__xludf.DUMMYFUNCTION("""COMPUTED_VALUE"""),45575.0)</f>
        <v>45575</v>
      </c>
      <c r="F1212" s="12" t="str">
        <f>IFERROR(__xludf.DUMMYFUNCTION("""COMPUTED_VALUE"""),"TIPO I")</f>
        <v>TIPO I</v>
      </c>
      <c r="G1212" s="12" t="str">
        <f>IFERROR(__xludf.DUMMYFUNCTION("""COMPUTED_VALUE"""),"Durante el monitoreo no se percibe olor, se percibe color.
Altitud 2590 msnm")</f>
        <v>Durante el monitoreo no se percibe olor, se percibe color.
Altitud 2590 msnm</v>
      </c>
      <c r="H1212" s="45">
        <f>IFERROR(__xludf.DUMMYFUNCTION("""COMPUTED_VALUE"""),0.4166666666678793)</f>
        <v>0.4166666667</v>
      </c>
      <c r="I1212" s="45">
        <f>IFERROR(__xludf.DUMMYFUNCTION("""COMPUTED_VALUE"""),0.5)</f>
        <v>0.5</v>
      </c>
      <c r="J1212" s="12"/>
      <c r="K1212" s="12"/>
      <c r="L1212" s="14">
        <f>IFERROR(__xludf.DUMMYFUNCTION("""COMPUTED_VALUE"""),1.773)</f>
        <v>1.773</v>
      </c>
      <c r="M1212" s="14">
        <f>IFERROR(__xludf.DUMMYFUNCTION("""COMPUTED_VALUE"""),1.667)</f>
        <v>1.667</v>
      </c>
      <c r="N1212" s="14">
        <f>IFERROR(__xludf.DUMMYFUNCTION("""COMPUTED_VALUE"""),1.833)</f>
        <v>1.833</v>
      </c>
      <c r="O1212" s="14">
        <f>IFERROR(__xludf.DUMMYFUNCTION("""COMPUTED_VALUE"""),1.704)</f>
        <v>1.704</v>
      </c>
      <c r="P1212" s="14">
        <f>IFERROR(__xludf.DUMMYFUNCTION("""COMPUTED_VALUE"""),1.724)</f>
        <v>1.724</v>
      </c>
      <c r="Q1212" s="14">
        <f>IFERROR(__xludf.DUMMYFUNCTION("""COMPUTED_VALUE"""),1.74)</f>
        <v>1.74</v>
      </c>
      <c r="R1212" s="48">
        <f>IFERROR(__xludf.DUMMYFUNCTION("""COMPUTED_VALUE"""),7.75)</f>
        <v>7.75</v>
      </c>
      <c r="S1212" s="48">
        <f>IFERROR(__xludf.DUMMYFUNCTION("""COMPUTED_VALUE"""),7.7)</f>
        <v>7.7</v>
      </c>
      <c r="T1212" s="48">
        <f>IFERROR(__xludf.DUMMYFUNCTION("""COMPUTED_VALUE"""),7.67)</f>
        <v>7.67</v>
      </c>
      <c r="U1212" s="48">
        <f>IFERROR(__xludf.DUMMYFUNCTION("""COMPUTED_VALUE"""),7.61)</f>
        <v>7.61</v>
      </c>
      <c r="V1212" s="48">
        <f>IFERROR(__xludf.DUMMYFUNCTION("""COMPUTED_VALUE"""),7.57)</f>
        <v>7.57</v>
      </c>
      <c r="W1212" s="14">
        <f>IFERROR(__xludf.DUMMYFUNCTION("""COMPUTED_VALUE"""),7.659999999999999)</f>
        <v>7.66</v>
      </c>
      <c r="X1212" s="14">
        <f>IFERROR(__xludf.DUMMYFUNCTION("""COMPUTED_VALUE"""),15.7)</f>
        <v>15.7</v>
      </c>
      <c r="Y1212" s="14">
        <f>IFERROR(__xludf.DUMMYFUNCTION("""COMPUTED_VALUE"""),15.8)</f>
        <v>15.8</v>
      </c>
      <c r="Z1212" s="14">
        <f>IFERROR(__xludf.DUMMYFUNCTION("""COMPUTED_VALUE"""),15.7)</f>
        <v>15.7</v>
      </c>
      <c r="AA1212" s="14">
        <f>IFERROR(__xludf.DUMMYFUNCTION("""COMPUTED_VALUE"""),15.4)</f>
        <v>15.4</v>
      </c>
      <c r="AB1212" s="14">
        <f>IFERROR(__xludf.DUMMYFUNCTION("""COMPUTED_VALUE"""),15.3)</f>
        <v>15.3</v>
      </c>
      <c r="AC1212" s="14">
        <f>IFERROR(__xludf.DUMMYFUNCTION("""COMPUTED_VALUE"""),15.580000000000002)</f>
        <v>15.58</v>
      </c>
      <c r="AD1212" s="48">
        <f>IFERROR(__xludf.DUMMYFUNCTION("""COMPUTED_VALUE"""),73.6)</f>
        <v>73.6</v>
      </c>
      <c r="AE1212" s="48">
        <f>IFERROR(__xludf.DUMMYFUNCTION("""COMPUTED_VALUE"""),76.3)</f>
        <v>76.3</v>
      </c>
      <c r="AF1212" s="48">
        <f>IFERROR(__xludf.DUMMYFUNCTION("""COMPUTED_VALUE"""),75.4)</f>
        <v>75.4</v>
      </c>
      <c r="AG1212" s="48">
        <f>IFERROR(__xludf.DUMMYFUNCTION("""COMPUTED_VALUE"""),76.6)</f>
        <v>76.6</v>
      </c>
      <c r="AH1212" s="48">
        <f>IFERROR(__xludf.DUMMYFUNCTION("""COMPUTED_VALUE"""),77.0)</f>
        <v>77</v>
      </c>
      <c r="AI1212" s="14">
        <f>IFERROR(__xludf.DUMMYFUNCTION("""COMPUTED_VALUE"""),75.78)</f>
        <v>75.78</v>
      </c>
      <c r="AJ1212" s="14">
        <f>IFERROR(__xludf.DUMMYFUNCTION("""COMPUTED_VALUE"""),5.9)</f>
        <v>5.9</v>
      </c>
      <c r="AK1212" s="14">
        <f>IFERROR(__xludf.DUMMYFUNCTION("""COMPUTED_VALUE"""),5.7)</f>
        <v>5.7</v>
      </c>
      <c r="AL1212" s="14">
        <f>IFERROR(__xludf.DUMMYFUNCTION("""COMPUTED_VALUE"""),5.8)</f>
        <v>5.8</v>
      </c>
      <c r="AM1212" s="14">
        <f>IFERROR(__xludf.DUMMYFUNCTION("""COMPUTED_VALUE"""),6.0)</f>
        <v>6</v>
      </c>
      <c r="AN1212" s="14">
        <f>IFERROR(__xludf.DUMMYFUNCTION("""COMPUTED_VALUE"""),5.9)</f>
        <v>5.9</v>
      </c>
      <c r="AO1212" s="14">
        <f>IFERROR(__xludf.DUMMYFUNCTION("""COMPUTED_VALUE"""),5.860000000000001)</f>
        <v>5.86</v>
      </c>
      <c r="AP1212" s="14">
        <f>IFERROR(__xludf.DUMMYFUNCTION("""COMPUTED_VALUE"""),9.0)</f>
        <v>9</v>
      </c>
      <c r="AQ1212" s="14">
        <f>IFERROR(__xludf.DUMMYFUNCTION("""COMPUTED_VALUE"""),22.0)</f>
        <v>22</v>
      </c>
      <c r="AR1212" s="14">
        <f>IFERROR(__xludf.DUMMYFUNCTION("""COMPUTED_VALUE"""),5.0)</f>
        <v>5</v>
      </c>
      <c r="AS1212" s="14">
        <f>IFERROR(__xludf.DUMMYFUNCTION("""COMPUTED_VALUE"""),8.7)</f>
        <v>8.7</v>
      </c>
      <c r="AT1212" s="14">
        <f>IFERROR(__xludf.DUMMYFUNCTION("""COMPUTED_VALUE"""),1.08)</f>
        <v>1.08</v>
      </c>
      <c r="AU1212" s="14">
        <f>IFERROR(__xludf.DUMMYFUNCTION("""COMPUTED_VALUE"""),1.423E8)</f>
        <v>142300000</v>
      </c>
      <c r="AV1212" s="14">
        <f>IFERROR(__xludf.DUMMYFUNCTION("""COMPUTED_VALUE"""),0.42)</f>
        <v>0.42</v>
      </c>
      <c r="AW1212" s="14">
        <f>IFERROR(__xludf.DUMMYFUNCTION("""COMPUTED_VALUE"""),3.4)</f>
        <v>3.4</v>
      </c>
      <c r="AX1212" s="14">
        <f>IFERROR(__xludf.DUMMYFUNCTION("""COMPUTED_VALUE"""),1.232E8)</f>
        <v>123200000</v>
      </c>
      <c r="AY1212" s="14">
        <f>IFERROR(__xludf.DUMMYFUNCTION("""COMPUTED_VALUE"""),1.3)</f>
        <v>1.3</v>
      </c>
      <c r="AZ1212" s="14">
        <f>IFERROR(__xludf.DUMMYFUNCTION("""COMPUTED_VALUE"""),0.069)</f>
        <v>0.069</v>
      </c>
      <c r="BA1212" s="14">
        <f t="shared" si="1"/>
        <v>4.769</v>
      </c>
    </row>
    <row r="1213" ht="14.25" customHeight="1">
      <c r="A1213" s="10" t="str">
        <f>IFERROR(__xludf.DUMMYFUNCTION("""COMPUTED_VALUE"""),"111024SA02")</f>
        <v>111024SA02</v>
      </c>
      <c r="B1213" s="12" t="str">
        <f>IFERROR(__xludf.DUMMYFUNCTION("""COMPUTED_VALUE"""),"QYO-Bolonia")</f>
        <v>QYO-Bolonia</v>
      </c>
      <c r="C1213" s="12"/>
      <c r="D1213" s="12"/>
      <c r="E1213" s="44">
        <f>IFERROR(__xludf.DUMMYFUNCTION("""COMPUTED_VALUE"""),45576.0)</f>
        <v>45576</v>
      </c>
      <c r="F1213" s="12" t="str">
        <f>IFERROR(__xludf.DUMMYFUNCTION("""COMPUTED_VALUE"""),"TIPO I")</f>
        <v>TIPO I</v>
      </c>
      <c r="G1213" s="12" t="str">
        <f>IFERROR(__xludf.DUMMYFUNCTION("""COMPUTED_VALUE"""),"Lecho rocoso, arenoso con estructura en concreto y natural. Su margen izquierdo es un canal en concreto y su margen derecho es de forma natural.
Durante el desarrollo del monitoreo se observa color y se percibe olor.")</f>
        <v>Lecho rocoso, arenoso con estructura en concreto y natural. Su margen izquierdo es un canal en concreto y su margen derecho es de forma natural.
Durante el desarrollo del monitoreo se observa color y se percibe olor.</v>
      </c>
      <c r="H1213" s="45">
        <f>IFERROR(__xludf.DUMMYFUNCTION("""COMPUTED_VALUE"""),0.375)</f>
        <v>0.375</v>
      </c>
      <c r="I1213" s="45">
        <f>IFERROR(__xludf.DUMMYFUNCTION("""COMPUTED_VALUE"""),0.4583333333321207)</f>
        <v>0.4583333333</v>
      </c>
      <c r="J1213" s="12">
        <f>IFERROR(__xludf.DUMMYFUNCTION("""COMPUTED_VALUE"""),2.4)</f>
        <v>2.4</v>
      </c>
      <c r="K1213" s="12">
        <f>IFERROR(__xludf.DUMMYFUNCTION("""COMPUTED_VALUE"""),0.78)</f>
        <v>0.78</v>
      </c>
      <c r="L1213" s="14">
        <f>IFERROR(__xludf.DUMMYFUNCTION("""COMPUTED_VALUE"""),469.37)</f>
        <v>469.37</v>
      </c>
      <c r="M1213" s="14">
        <f>IFERROR(__xludf.DUMMYFUNCTION("""COMPUTED_VALUE"""),469.814)</f>
        <v>469.814</v>
      </c>
      <c r="N1213" s="14">
        <f>IFERROR(__xludf.DUMMYFUNCTION("""COMPUTED_VALUE"""),470.111)</f>
        <v>470.111</v>
      </c>
      <c r="O1213" s="14">
        <f>IFERROR(__xludf.DUMMYFUNCTION("""COMPUTED_VALUE"""),470.296)</f>
        <v>470.296</v>
      </c>
      <c r="P1213" s="14">
        <f>IFERROR(__xludf.DUMMYFUNCTION("""COMPUTED_VALUE"""),470.386)</f>
        <v>470.386</v>
      </c>
      <c r="Q1213" s="14">
        <f>IFERROR(__xludf.DUMMYFUNCTION("""COMPUTED_VALUE"""),469.995)</f>
        <v>469.995</v>
      </c>
      <c r="R1213" s="48">
        <f>IFERROR(__xludf.DUMMYFUNCTION("""COMPUTED_VALUE"""),7.63)</f>
        <v>7.63</v>
      </c>
      <c r="S1213" s="48">
        <f>IFERROR(__xludf.DUMMYFUNCTION("""COMPUTED_VALUE"""),7.86)</f>
        <v>7.86</v>
      </c>
      <c r="T1213" s="48">
        <f>IFERROR(__xludf.DUMMYFUNCTION("""COMPUTED_VALUE"""),7.84)</f>
        <v>7.84</v>
      </c>
      <c r="U1213" s="48">
        <f>IFERROR(__xludf.DUMMYFUNCTION("""COMPUTED_VALUE"""),7.78)</f>
        <v>7.78</v>
      </c>
      <c r="V1213" s="48">
        <f>IFERROR(__xludf.DUMMYFUNCTION("""COMPUTED_VALUE"""),7.98)</f>
        <v>7.98</v>
      </c>
      <c r="W1213" s="14">
        <f>IFERROR(__xludf.DUMMYFUNCTION("""COMPUTED_VALUE"""),7.8180000000000005)</f>
        <v>7.818</v>
      </c>
      <c r="X1213" s="14">
        <f>IFERROR(__xludf.DUMMYFUNCTION("""COMPUTED_VALUE"""),12.3)</f>
        <v>12.3</v>
      </c>
      <c r="Y1213" s="14">
        <f>IFERROR(__xludf.DUMMYFUNCTION("""COMPUTED_VALUE"""),12.0)</f>
        <v>12</v>
      </c>
      <c r="Z1213" s="14">
        <f>IFERROR(__xludf.DUMMYFUNCTION("""COMPUTED_VALUE"""),12.2)</f>
        <v>12.2</v>
      </c>
      <c r="AA1213" s="14">
        <f>IFERROR(__xludf.DUMMYFUNCTION("""COMPUTED_VALUE"""),12.7)</f>
        <v>12.7</v>
      </c>
      <c r="AB1213" s="14">
        <f>IFERROR(__xludf.DUMMYFUNCTION("""COMPUTED_VALUE"""),12.9)</f>
        <v>12.9</v>
      </c>
      <c r="AC1213" s="14">
        <f>IFERROR(__xludf.DUMMYFUNCTION("""COMPUTED_VALUE"""),12.42)</f>
        <v>12.42</v>
      </c>
      <c r="AD1213" s="48">
        <f>IFERROR(__xludf.DUMMYFUNCTION("""COMPUTED_VALUE"""),73.2)</f>
        <v>73.2</v>
      </c>
      <c r="AE1213" s="48">
        <f>IFERROR(__xludf.DUMMYFUNCTION("""COMPUTED_VALUE"""),75.8)</f>
        <v>75.8</v>
      </c>
      <c r="AF1213" s="48">
        <f>IFERROR(__xludf.DUMMYFUNCTION("""COMPUTED_VALUE"""),74.7)</f>
        <v>74.7</v>
      </c>
      <c r="AG1213" s="48">
        <f>IFERROR(__xludf.DUMMYFUNCTION("""COMPUTED_VALUE"""),79.7)</f>
        <v>79.7</v>
      </c>
      <c r="AH1213" s="48">
        <f>IFERROR(__xludf.DUMMYFUNCTION("""COMPUTED_VALUE"""),78.6)</f>
        <v>78.6</v>
      </c>
      <c r="AI1213" s="14">
        <f>IFERROR(__xludf.DUMMYFUNCTION("""COMPUTED_VALUE"""),76.4)</f>
        <v>76.4</v>
      </c>
      <c r="AJ1213" s="14">
        <f>IFERROR(__xludf.DUMMYFUNCTION("""COMPUTED_VALUE"""),6.66)</f>
        <v>6.66</v>
      </c>
      <c r="AK1213" s="14">
        <f>IFERROR(__xludf.DUMMYFUNCTION("""COMPUTED_VALUE"""),6.44)</f>
        <v>6.44</v>
      </c>
      <c r="AL1213" s="14">
        <f>IFERROR(__xludf.DUMMYFUNCTION("""COMPUTED_VALUE"""),6.23)</f>
        <v>6.23</v>
      </c>
      <c r="AM1213" s="14">
        <f>IFERROR(__xludf.DUMMYFUNCTION("""COMPUTED_VALUE"""),6.01)</f>
        <v>6.01</v>
      </c>
      <c r="AN1213" s="14">
        <f>IFERROR(__xludf.DUMMYFUNCTION("""COMPUTED_VALUE"""),6.12)</f>
        <v>6.12</v>
      </c>
      <c r="AO1213" s="14">
        <f>IFERROR(__xludf.DUMMYFUNCTION("""COMPUTED_VALUE"""),6.292000000000001)</f>
        <v>6.292</v>
      </c>
      <c r="AP1213" s="14">
        <f>IFERROR(__xludf.DUMMYFUNCTION("""COMPUTED_VALUE"""),2.0)</f>
        <v>2</v>
      </c>
      <c r="AQ1213" s="14">
        <f>IFERROR(__xludf.DUMMYFUNCTION("""COMPUTED_VALUE"""),5.0)</f>
        <v>5</v>
      </c>
      <c r="AR1213" s="14">
        <f>IFERROR(__xludf.DUMMYFUNCTION("""COMPUTED_VALUE"""),20.0)</f>
        <v>20</v>
      </c>
      <c r="AS1213" s="14">
        <f>IFERROR(__xludf.DUMMYFUNCTION("""COMPUTED_VALUE"""),5.7)</f>
        <v>5.7</v>
      </c>
      <c r="AT1213" s="14">
        <f>IFERROR(__xludf.DUMMYFUNCTION("""COMPUTED_VALUE"""),0.07)</f>
        <v>0.07</v>
      </c>
      <c r="AU1213" s="14">
        <f>IFERROR(__xludf.DUMMYFUNCTION("""COMPUTED_VALUE"""),1.638E8)</f>
        <v>163800000</v>
      </c>
      <c r="AV1213" s="14">
        <f>IFERROR(__xludf.DUMMYFUNCTION("""COMPUTED_VALUE"""),0.18)</f>
        <v>0.18</v>
      </c>
      <c r="AW1213" s="14">
        <f>IFERROR(__xludf.DUMMYFUNCTION("""COMPUTED_VALUE"""),2.2)</f>
        <v>2.2</v>
      </c>
      <c r="AX1213" s="14">
        <f>IFERROR(__xludf.DUMMYFUNCTION("""COMPUTED_VALUE"""),1.368E8)</f>
        <v>136800000</v>
      </c>
      <c r="AY1213" s="14">
        <f>IFERROR(__xludf.DUMMYFUNCTION("""COMPUTED_VALUE"""),0.8)</f>
        <v>0.8</v>
      </c>
      <c r="AZ1213" s="14">
        <f>IFERROR(__xludf.DUMMYFUNCTION("""COMPUTED_VALUE"""),0.038)</f>
        <v>0.038</v>
      </c>
      <c r="BA1213" s="14">
        <f t="shared" si="1"/>
        <v>3.038</v>
      </c>
    </row>
    <row r="1214" ht="14.25" customHeight="1">
      <c r="A1214" s="10" t="str">
        <f>IFERROR(__xludf.DUMMYFUNCTION("""COMPUTED_VALUE"""),"111024AN02")</f>
        <v>111024AN02</v>
      </c>
      <c r="B1214" s="12" t="str">
        <f>IFERROR(__xludf.DUMMYFUNCTION("""COMPUTED_VALUE"""),"COR-Humedal Córdoba")</f>
        <v>COR-Humedal Córdoba</v>
      </c>
      <c r="C1214" s="12"/>
      <c r="D1214" s="12"/>
      <c r="E1214" s="44">
        <f>IFERROR(__xludf.DUMMYFUNCTION("""COMPUTED_VALUE"""),45576.0)</f>
        <v>45576</v>
      </c>
      <c r="F1214" s="12" t="str">
        <f>IFERROR(__xludf.DUMMYFUNCTION("""COMPUTED_VALUE"""),"TIPO I")</f>
        <v>TIPO I</v>
      </c>
      <c r="G1214" s="12" t="str">
        <f>IFERROR(__xludf.DUMMYFUNCTION("""COMPUTED_VALUE"""),"Durante el desarrollo del monitoreo se observa color, se percibe olor.
Altitud: 2556 msnm.")</f>
        <v>Durante el desarrollo del monitoreo se observa color, se percibe olor.
Altitud: 2556 msnm.</v>
      </c>
      <c r="H1214" s="45">
        <f>IFERROR(__xludf.DUMMYFUNCTION("""COMPUTED_VALUE"""),0.5)</f>
        <v>0.5</v>
      </c>
      <c r="I1214" s="45">
        <f>IFERROR(__xludf.DUMMYFUNCTION("""COMPUTED_VALUE"""),0.5833333333321207)</f>
        <v>0.5833333333</v>
      </c>
      <c r="J1214" s="12">
        <f>IFERROR(__xludf.DUMMYFUNCTION("""COMPUTED_VALUE"""),7.6)</f>
        <v>7.6</v>
      </c>
      <c r="K1214" s="12">
        <f>IFERROR(__xludf.DUMMYFUNCTION("""COMPUTED_VALUE"""),0.57)</f>
        <v>0.57</v>
      </c>
      <c r="L1214" s="14">
        <f>IFERROR(__xludf.DUMMYFUNCTION("""COMPUTED_VALUE"""),863.577)</f>
        <v>863.577</v>
      </c>
      <c r="M1214" s="14">
        <f>IFERROR(__xludf.DUMMYFUNCTION("""COMPUTED_VALUE"""),830.53)</f>
        <v>830.53</v>
      </c>
      <c r="N1214" s="14">
        <f>IFERROR(__xludf.DUMMYFUNCTION("""COMPUTED_VALUE"""),825.571)</f>
        <v>825.571</v>
      </c>
      <c r="O1214" s="14">
        <f>IFERROR(__xludf.DUMMYFUNCTION("""COMPUTED_VALUE"""),819.602)</f>
        <v>819.602</v>
      </c>
      <c r="P1214" s="14">
        <f>IFERROR(__xludf.DUMMYFUNCTION("""COMPUTED_VALUE"""),810.916)</f>
        <v>810.916</v>
      </c>
      <c r="Q1214" s="14">
        <f>IFERROR(__xludf.DUMMYFUNCTION("""COMPUTED_VALUE"""),830.039)</f>
        <v>830.039</v>
      </c>
      <c r="R1214" s="48">
        <f>IFERROR(__xludf.DUMMYFUNCTION("""COMPUTED_VALUE"""),7.52)</f>
        <v>7.52</v>
      </c>
      <c r="S1214" s="48">
        <f>IFERROR(__xludf.DUMMYFUNCTION("""COMPUTED_VALUE"""),7.56)</f>
        <v>7.56</v>
      </c>
      <c r="T1214" s="48">
        <f>IFERROR(__xludf.DUMMYFUNCTION("""COMPUTED_VALUE"""),7.51)</f>
        <v>7.51</v>
      </c>
      <c r="U1214" s="48">
        <f>IFERROR(__xludf.DUMMYFUNCTION("""COMPUTED_VALUE"""),7.5)</f>
        <v>7.5</v>
      </c>
      <c r="V1214" s="48">
        <f>IFERROR(__xludf.DUMMYFUNCTION("""COMPUTED_VALUE"""),7.49)</f>
        <v>7.49</v>
      </c>
      <c r="W1214" s="14">
        <f>IFERROR(__xludf.DUMMYFUNCTION("""COMPUTED_VALUE"""),7.516)</f>
        <v>7.516</v>
      </c>
      <c r="X1214" s="14">
        <f>IFERROR(__xludf.DUMMYFUNCTION("""COMPUTED_VALUE"""),16.5)</f>
        <v>16.5</v>
      </c>
      <c r="Y1214" s="14">
        <f>IFERROR(__xludf.DUMMYFUNCTION("""COMPUTED_VALUE"""),17.2)</f>
        <v>17.2</v>
      </c>
      <c r="Z1214" s="14">
        <f>IFERROR(__xludf.DUMMYFUNCTION("""COMPUTED_VALUE"""),17.2)</f>
        <v>17.2</v>
      </c>
      <c r="AA1214" s="14">
        <f>IFERROR(__xludf.DUMMYFUNCTION("""COMPUTED_VALUE"""),17.8)</f>
        <v>17.8</v>
      </c>
      <c r="AB1214" s="14">
        <f>IFERROR(__xludf.DUMMYFUNCTION("""COMPUTED_VALUE"""),18.2)</f>
        <v>18.2</v>
      </c>
      <c r="AC1214" s="14">
        <f>IFERROR(__xludf.DUMMYFUNCTION("""COMPUTED_VALUE"""),17.380000000000003)</f>
        <v>17.38</v>
      </c>
      <c r="AD1214" s="48">
        <f>IFERROR(__xludf.DUMMYFUNCTION("""COMPUTED_VALUE"""),438.0)</f>
        <v>438</v>
      </c>
      <c r="AE1214" s="48">
        <f>IFERROR(__xludf.DUMMYFUNCTION("""COMPUTED_VALUE"""),304.0)</f>
        <v>304</v>
      </c>
      <c r="AF1214" s="48">
        <f>IFERROR(__xludf.DUMMYFUNCTION("""COMPUTED_VALUE"""),428.0)</f>
        <v>428</v>
      </c>
      <c r="AG1214" s="48">
        <f>IFERROR(__xludf.DUMMYFUNCTION("""COMPUTED_VALUE"""),442.0)</f>
        <v>442</v>
      </c>
      <c r="AH1214" s="48">
        <f>IFERROR(__xludf.DUMMYFUNCTION("""COMPUTED_VALUE"""),439.0)</f>
        <v>439</v>
      </c>
      <c r="AI1214" s="14">
        <f>IFERROR(__xludf.DUMMYFUNCTION("""COMPUTED_VALUE"""),410.2)</f>
        <v>410.2</v>
      </c>
      <c r="AJ1214" s="14">
        <f>IFERROR(__xludf.DUMMYFUNCTION("""COMPUTED_VALUE"""),3.6)</f>
        <v>3.6</v>
      </c>
      <c r="AK1214" s="14">
        <f>IFERROR(__xludf.DUMMYFUNCTION("""COMPUTED_VALUE"""),3.9)</f>
        <v>3.9</v>
      </c>
      <c r="AL1214" s="14">
        <f>IFERROR(__xludf.DUMMYFUNCTION("""COMPUTED_VALUE"""),3.8)</f>
        <v>3.8</v>
      </c>
      <c r="AM1214" s="14">
        <f>IFERROR(__xludf.DUMMYFUNCTION("""COMPUTED_VALUE"""),3.7)</f>
        <v>3.7</v>
      </c>
      <c r="AN1214" s="14">
        <f>IFERROR(__xludf.DUMMYFUNCTION("""COMPUTED_VALUE"""),3.6)</f>
        <v>3.6</v>
      </c>
      <c r="AO1214" s="14">
        <f>IFERROR(__xludf.DUMMYFUNCTION("""COMPUTED_VALUE"""),3.72)</f>
        <v>3.72</v>
      </c>
      <c r="AP1214" s="14">
        <f>IFERROR(__xludf.DUMMYFUNCTION("""COMPUTED_VALUE"""),45.0)</f>
        <v>45</v>
      </c>
      <c r="AQ1214" s="14">
        <f>IFERROR(__xludf.DUMMYFUNCTION("""COMPUTED_VALUE"""),93.0)</f>
        <v>93</v>
      </c>
      <c r="AR1214" s="14">
        <f>IFERROR(__xludf.DUMMYFUNCTION("""COMPUTED_VALUE"""),29.0)</f>
        <v>29</v>
      </c>
      <c r="AS1214" s="14">
        <f>IFERROR(__xludf.DUMMYFUNCTION("""COMPUTED_VALUE"""),22.0)</f>
        <v>22</v>
      </c>
      <c r="AT1214" s="14">
        <f>IFERROR(__xludf.DUMMYFUNCTION("""COMPUTED_VALUE"""),1.91)</f>
        <v>1.91</v>
      </c>
      <c r="AU1214" s="14">
        <f>IFERROR(__xludf.DUMMYFUNCTION("""COMPUTED_VALUE"""),1.769E8)</f>
        <v>176900000</v>
      </c>
      <c r="AV1214" s="14">
        <f>IFERROR(__xludf.DUMMYFUNCTION("""COMPUTED_VALUE"""),0.22)</f>
        <v>0.22</v>
      </c>
      <c r="AW1214" s="14">
        <f>IFERROR(__xludf.DUMMYFUNCTION("""COMPUTED_VALUE"""),2.8)</f>
        <v>2.8</v>
      </c>
      <c r="AX1214" s="14">
        <f>IFERROR(__xludf.DUMMYFUNCTION("""COMPUTED_VALUE"""),1.419E8)</f>
        <v>141900000</v>
      </c>
      <c r="AY1214" s="14">
        <f>IFERROR(__xludf.DUMMYFUNCTION("""COMPUTED_VALUE"""),0.9)</f>
        <v>0.9</v>
      </c>
      <c r="AZ1214" s="14">
        <f>IFERROR(__xludf.DUMMYFUNCTION("""COMPUTED_VALUE"""),0.007)</f>
        <v>0.007</v>
      </c>
      <c r="BA1214" s="14">
        <f t="shared" si="1"/>
        <v>3.707</v>
      </c>
    </row>
    <row r="1215" ht="14.25" customHeight="1">
      <c r="A1215" s="10" t="str">
        <f>IFERROR(__xludf.DUMMYFUNCTION("""COMPUTED_VALUE"""),"111024AN01")</f>
        <v>111024AN01</v>
      </c>
      <c r="B1215" s="12" t="str">
        <f>IFERROR(__xludf.DUMMYFUNCTION("""COMPUTED_VALUE"""),"HCO-Los Lagartos")</f>
        <v>HCO-Los Lagartos</v>
      </c>
      <c r="C1215" s="12"/>
      <c r="D1215" s="12"/>
      <c r="E1215" s="44">
        <f>IFERROR(__xludf.DUMMYFUNCTION("""COMPUTED_VALUE"""),45576.0)</f>
        <v>45576</v>
      </c>
      <c r="F1215" s="12" t="str">
        <f>IFERROR(__xludf.DUMMYFUNCTION("""COMPUTED_VALUE"""),"TIPO I")</f>
        <v>TIPO I</v>
      </c>
      <c r="G1215" s="12" t="str">
        <f>IFERROR(__xludf.DUMMYFUNCTION("""COMPUTED_VALUE"""),"Durante el desarrollo del monitoreo se percibe olor y se observa color. 
Altitud. 2548 msnm")</f>
        <v>Durante el desarrollo del monitoreo se percibe olor y se observa color. 
Altitud. 2548 msnm</v>
      </c>
      <c r="H1215" s="45">
        <f>IFERROR(__xludf.DUMMYFUNCTION("""COMPUTED_VALUE"""),0.3333333333321207)</f>
        <v>0.3333333333</v>
      </c>
      <c r="I1215" s="45">
        <f>IFERROR(__xludf.DUMMYFUNCTION("""COMPUTED_VALUE"""),0.4166666666678793)</f>
        <v>0.4166666667</v>
      </c>
      <c r="J1215" s="12">
        <f>IFERROR(__xludf.DUMMYFUNCTION("""COMPUTED_VALUE"""),6.2)</f>
        <v>6.2</v>
      </c>
      <c r="K1215" s="12">
        <f>IFERROR(__xludf.DUMMYFUNCTION("""COMPUTED_VALUE"""),0.5)</f>
        <v>0.5</v>
      </c>
      <c r="L1215" s="14">
        <f>IFERROR(__xludf.DUMMYFUNCTION("""COMPUTED_VALUE"""),470.726)</f>
        <v>470.726</v>
      </c>
      <c r="M1215" s="14">
        <f>IFERROR(__xludf.DUMMYFUNCTION("""COMPUTED_VALUE"""),434.766)</f>
        <v>434.766</v>
      </c>
      <c r="N1215" s="14">
        <f>IFERROR(__xludf.DUMMYFUNCTION("""COMPUTED_VALUE"""),443.243)</f>
        <v>443.243</v>
      </c>
      <c r="O1215" s="14">
        <f>IFERROR(__xludf.DUMMYFUNCTION("""COMPUTED_VALUE"""),446.46)</f>
        <v>446.46</v>
      </c>
      <c r="P1215" s="14">
        <f>IFERROR(__xludf.DUMMYFUNCTION("""COMPUTED_VALUE"""),441.051)</f>
        <v>441.051</v>
      </c>
      <c r="Q1215" s="14">
        <f>IFERROR(__xludf.DUMMYFUNCTION("""COMPUTED_VALUE"""),447.249)</f>
        <v>447.249</v>
      </c>
      <c r="R1215" s="48">
        <f>IFERROR(__xludf.DUMMYFUNCTION("""COMPUTED_VALUE"""),7.58)</f>
        <v>7.58</v>
      </c>
      <c r="S1215" s="48">
        <f>IFERROR(__xludf.DUMMYFUNCTION("""COMPUTED_VALUE"""),7.55)</f>
        <v>7.55</v>
      </c>
      <c r="T1215" s="48">
        <f>IFERROR(__xludf.DUMMYFUNCTION("""COMPUTED_VALUE"""),7.5)</f>
        <v>7.5</v>
      </c>
      <c r="U1215" s="48">
        <f>IFERROR(__xludf.DUMMYFUNCTION("""COMPUTED_VALUE"""),7.57)</f>
        <v>7.57</v>
      </c>
      <c r="V1215" s="48">
        <f>IFERROR(__xludf.DUMMYFUNCTION("""COMPUTED_VALUE"""),7.53)</f>
        <v>7.53</v>
      </c>
      <c r="W1215" s="14">
        <f>IFERROR(__xludf.DUMMYFUNCTION("""COMPUTED_VALUE"""),7.545999999999999)</f>
        <v>7.546</v>
      </c>
      <c r="X1215" s="14">
        <f>IFERROR(__xludf.DUMMYFUNCTION("""COMPUTED_VALUE"""),16.8)</f>
        <v>16.8</v>
      </c>
      <c r="Y1215" s="14">
        <f>IFERROR(__xludf.DUMMYFUNCTION("""COMPUTED_VALUE"""),17.7)</f>
        <v>17.7</v>
      </c>
      <c r="Z1215" s="14">
        <f>IFERROR(__xludf.DUMMYFUNCTION("""COMPUTED_VALUE"""),17.5)</f>
        <v>17.5</v>
      </c>
      <c r="AA1215" s="14">
        <f>IFERROR(__xludf.DUMMYFUNCTION("""COMPUTED_VALUE"""),17.5)</f>
        <v>17.5</v>
      </c>
      <c r="AB1215" s="14">
        <f>IFERROR(__xludf.DUMMYFUNCTION("""COMPUTED_VALUE"""),17.3)</f>
        <v>17.3</v>
      </c>
      <c r="AC1215" s="14">
        <f>IFERROR(__xludf.DUMMYFUNCTION("""COMPUTED_VALUE"""),17.36)</f>
        <v>17.36</v>
      </c>
      <c r="AD1215" s="48">
        <f>IFERROR(__xludf.DUMMYFUNCTION("""COMPUTED_VALUE"""),298.0)</f>
        <v>298</v>
      </c>
      <c r="AE1215" s="48">
        <f>IFERROR(__xludf.DUMMYFUNCTION("""COMPUTED_VALUE"""),305.0)</f>
        <v>305</v>
      </c>
      <c r="AF1215" s="48">
        <f>IFERROR(__xludf.DUMMYFUNCTION("""COMPUTED_VALUE"""),425.0)</f>
        <v>425</v>
      </c>
      <c r="AG1215" s="48">
        <f>IFERROR(__xludf.DUMMYFUNCTION("""COMPUTED_VALUE"""),433.0)</f>
        <v>433</v>
      </c>
      <c r="AH1215" s="48">
        <f>IFERROR(__xludf.DUMMYFUNCTION("""COMPUTED_VALUE"""),407.0)</f>
        <v>407</v>
      </c>
      <c r="AI1215" s="14">
        <f>IFERROR(__xludf.DUMMYFUNCTION("""COMPUTED_VALUE"""),373.6)</f>
        <v>373.6</v>
      </c>
      <c r="AJ1215" s="14">
        <f>IFERROR(__xludf.DUMMYFUNCTION("""COMPUTED_VALUE"""),3.5)</f>
        <v>3.5</v>
      </c>
      <c r="AK1215" s="14">
        <f>IFERROR(__xludf.DUMMYFUNCTION("""COMPUTED_VALUE"""),3.6)</f>
        <v>3.6</v>
      </c>
      <c r="AL1215" s="14">
        <f>IFERROR(__xludf.DUMMYFUNCTION("""COMPUTED_VALUE"""),3.2)</f>
        <v>3.2</v>
      </c>
      <c r="AM1215" s="14">
        <f>IFERROR(__xludf.DUMMYFUNCTION("""COMPUTED_VALUE"""),2.4)</f>
        <v>2.4</v>
      </c>
      <c r="AN1215" s="14">
        <f>IFERROR(__xludf.DUMMYFUNCTION("""COMPUTED_VALUE"""),2.1)</f>
        <v>2.1</v>
      </c>
      <c r="AO1215" s="14">
        <f>IFERROR(__xludf.DUMMYFUNCTION("""COMPUTED_VALUE"""),2.96)</f>
        <v>2.96</v>
      </c>
      <c r="AP1215" s="14">
        <f>IFERROR(__xludf.DUMMYFUNCTION("""COMPUTED_VALUE"""),38.0)</f>
        <v>38</v>
      </c>
      <c r="AQ1215" s="14">
        <f>IFERROR(__xludf.DUMMYFUNCTION("""COMPUTED_VALUE"""),85.0)</f>
        <v>85</v>
      </c>
      <c r="AR1215" s="14">
        <f>IFERROR(__xludf.DUMMYFUNCTION("""COMPUTED_VALUE"""),26.0)</f>
        <v>26</v>
      </c>
      <c r="AS1215" s="14">
        <f>IFERROR(__xludf.DUMMYFUNCTION("""COMPUTED_VALUE"""),13.9)</f>
        <v>13.9</v>
      </c>
      <c r="AT1215" s="14">
        <f>IFERROR(__xludf.DUMMYFUNCTION("""COMPUTED_VALUE"""),1.89)</f>
        <v>1.89</v>
      </c>
      <c r="AU1215" s="14">
        <f>IFERROR(__xludf.DUMMYFUNCTION("""COMPUTED_VALUE"""),1.621E8)</f>
        <v>162100000</v>
      </c>
      <c r="AV1215" s="14">
        <f>IFERROR(__xludf.DUMMYFUNCTION("""COMPUTED_VALUE"""),2.25)</f>
        <v>2.25</v>
      </c>
      <c r="AW1215" s="14">
        <f>IFERROR(__xludf.DUMMYFUNCTION("""COMPUTED_VALUE"""),26.3)</f>
        <v>26.3</v>
      </c>
      <c r="AX1215" s="14">
        <f>IFERROR(__xludf.DUMMYFUNCTION("""COMPUTED_VALUE"""),1.408E8)</f>
        <v>140800000</v>
      </c>
      <c r="AY1215" s="14">
        <f>IFERROR(__xludf.DUMMYFUNCTION("""COMPUTED_VALUE"""),0.8)</f>
        <v>0.8</v>
      </c>
      <c r="AZ1215" s="14">
        <f>IFERROR(__xludf.DUMMYFUNCTION("""COMPUTED_VALUE"""),0.007)</f>
        <v>0.007</v>
      </c>
      <c r="BA1215" s="14">
        <f t="shared" si="1"/>
        <v>27.107</v>
      </c>
    </row>
    <row r="1216" ht="14.25" customHeight="1">
      <c r="A1216" s="10" t="str">
        <f>IFERROR(__xludf.DUMMYFUNCTION("""COMPUTED_VALUE"""),"101024DU04")</f>
        <v>101024DU04</v>
      </c>
      <c r="B1216" s="12" t="str">
        <f>IFERROR(__xludf.DUMMYFUNCTION("""COMPUTED_VALUE"""),"CRN-Entre Ríos")</f>
        <v>CRN-Entre Ríos</v>
      </c>
      <c r="C1216" s="12"/>
      <c r="D1216" s="12"/>
      <c r="E1216" s="44">
        <f>IFERROR(__xludf.DUMMYFUNCTION("""COMPUTED_VALUE"""),45575.0)</f>
        <v>45575</v>
      </c>
      <c r="F1216" s="12" t="str">
        <f>IFERROR(__xludf.DUMMYFUNCTION("""COMPUTED_VALUE"""),"TIPO I")</f>
        <v>TIPO I</v>
      </c>
      <c r="G1216" s="12" t="str">
        <f>IFERROR(__xludf.DUMMYFUNCTION("""COMPUTED_VALUE"""),"Durante el monitoreo se percibe olor y se observa color. 
Altitud: 2551 msnm")</f>
        <v>Durante el monitoreo se percibe olor y se observa color. 
Altitud: 2551 msnm</v>
      </c>
      <c r="H1216" s="45">
        <f>IFERROR(__xludf.DUMMYFUNCTION("""COMPUTED_VALUE"""),0.6666666666678793)</f>
        <v>0.6666666667</v>
      </c>
      <c r="I1216" s="45">
        <f>IFERROR(__xludf.DUMMYFUNCTION("""COMPUTED_VALUE"""),0.75)</f>
        <v>0.75</v>
      </c>
      <c r="J1216" s="12">
        <f>IFERROR(__xludf.DUMMYFUNCTION("""COMPUTED_VALUE"""),7.8)</f>
        <v>7.8</v>
      </c>
      <c r="K1216" s="12">
        <f>IFERROR(__xludf.DUMMYFUNCTION("""COMPUTED_VALUE"""),0.21)</f>
        <v>0.21</v>
      </c>
      <c r="L1216" s="14">
        <f>IFERROR(__xludf.DUMMYFUNCTION("""COMPUTED_VALUE"""),436.021)</f>
        <v>436.021</v>
      </c>
      <c r="M1216" s="14">
        <f>IFERROR(__xludf.DUMMYFUNCTION("""COMPUTED_VALUE"""),452.686)</f>
        <v>452.686</v>
      </c>
      <c r="N1216" s="14">
        <f>IFERROR(__xludf.DUMMYFUNCTION("""COMPUTED_VALUE"""),465.958)</f>
        <v>465.958</v>
      </c>
      <c r="O1216" s="14">
        <f>IFERROR(__xludf.DUMMYFUNCTION("""COMPUTED_VALUE"""),479.551)</f>
        <v>479.551</v>
      </c>
      <c r="P1216" s="14">
        <f>IFERROR(__xludf.DUMMYFUNCTION("""COMPUTED_VALUE"""),511.523)</f>
        <v>511.523</v>
      </c>
      <c r="Q1216" s="14">
        <f>IFERROR(__xludf.DUMMYFUNCTION("""COMPUTED_VALUE"""),469.148)</f>
        <v>469.148</v>
      </c>
      <c r="R1216" s="48">
        <f>IFERROR(__xludf.DUMMYFUNCTION("""COMPUTED_VALUE"""),8.28)</f>
        <v>8.28</v>
      </c>
      <c r="S1216" s="48">
        <f>IFERROR(__xludf.DUMMYFUNCTION("""COMPUTED_VALUE"""),8.32)</f>
        <v>8.32</v>
      </c>
      <c r="T1216" s="48">
        <f>IFERROR(__xludf.DUMMYFUNCTION("""COMPUTED_VALUE"""),8.36)</f>
        <v>8.36</v>
      </c>
      <c r="U1216" s="48">
        <f>IFERROR(__xludf.DUMMYFUNCTION("""COMPUTED_VALUE"""),8.17)</f>
        <v>8.17</v>
      </c>
      <c r="V1216" s="48">
        <f>IFERROR(__xludf.DUMMYFUNCTION("""COMPUTED_VALUE"""),8.2)</f>
        <v>8.2</v>
      </c>
      <c r="W1216" s="14">
        <f>IFERROR(__xludf.DUMMYFUNCTION("""COMPUTED_VALUE"""),8.266)</f>
        <v>8.266</v>
      </c>
      <c r="X1216" s="14">
        <f>IFERROR(__xludf.DUMMYFUNCTION("""COMPUTED_VALUE"""),21.4)</f>
        <v>21.4</v>
      </c>
      <c r="Y1216" s="14">
        <f>IFERROR(__xludf.DUMMYFUNCTION("""COMPUTED_VALUE"""),21.8)</f>
        <v>21.8</v>
      </c>
      <c r="Z1216" s="14">
        <f>IFERROR(__xludf.DUMMYFUNCTION("""COMPUTED_VALUE"""),20.7)</f>
        <v>20.7</v>
      </c>
      <c r="AA1216" s="14">
        <f>IFERROR(__xludf.DUMMYFUNCTION("""COMPUTED_VALUE"""),17.4)</f>
        <v>17.4</v>
      </c>
      <c r="AB1216" s="14">
        <f>IFERROR(__xludf.DUMMYFUNCTION("""COMPUTED_VALUE"""),17.2)</f>
        <v>17.2</v>
      </c>
      <c r="AC1216" s="14">
        <f>IFERROR(__xludf.DUMMYFUNCTION("""COMPUTED_VALUE"""),19.700000000000003)</f>
        <v>19.7</v>
      </c>
      <c r="AD1216" s="48">
        <f>IFERROR(__xludf.DUMMYFUNCTION("""COMPUTED_VALUE"""),633.0)</f>
        <v>633</v>
      </c>
      <c r="AE1216" s="48">
        <f>IFERROR(__xludf.DUMMYFUNCTION("""COMPUTED_VALUE"""),645.0)</f>
        <v>645</v>
      </c>
      <c r="AF1216" s="48">
        <f>IFERROR(__xludf.DUMMYFUNCTION("""COMPUTED_VALUE"""),658.0)</f>
        <v>658</v>
      </c>
      <c r="AG1216" s="48">
        <f>IFERROR(__xludf.DUMMYFUNCTION("""COMPUTED_VALUE"""),652.0)</f>
        <v>652</v>
      </c>
      <c r="AH1216" s="48">
        <f>IFERROR(__xludf.DUMMYFUNCTION("""COMPUTED_VALUE"""),665.0)</f>
        <v>665</v>
      </c>
      <c r="AI1216" s="14">
        <f>IFERROR(__xludf.DUMMYFUNCTION("""COMPUTED_VALUE"""),650.6)</f>
        <v>650.6</v>
      </c>
      <c r="AJ1216" s="14">
        <f>IFERROR(__xludf.DUMMYFUNCTION("""COMPUTED_VALUE"""),4.4)</f>
        <v>4.4</v>
      </c>
      <c r="AK1216" s="14">
        <f>IFERROR(__xludf.DUMMYFUNCTION("""COMPUTED_VALUE"""),4.2)</f>
        <v>4.2</v>
      </c>
      <c r="AL1216" s="14">
        <f>IFERROR(__xludf.DUMMYFUNCTION("""COMPUTED_VALUE"""),4.3)</f>
        <v>4.3</v>
      </c>
      <c r="AM1216" s="14">
        <f>IFERROR(__xludf.DUMMYFUNCTION("""COMPUTED_VALUE"""),3.8)</f>
        <v>3.8</v>
      </c>
      <c r="AN1216" s="14">
        <f>IFERROR(__xludf.DUMMYFUNCTION("""COMPUTED_VALUE"""),3.7)</f>
        <v>3.7</v>
      </c>
      <c r="AO1216" s="14">
        <f>IFERROR(__xludf.DUMMYFUNCTION("""COMPUTED_VALUE"""),4.08)</f>
        <v>4.08</v>
      </c>
      <c r="AP1216" s="14">
        <f>IFERROR(__xludf.DUMMYFUNCTION("""COMPUTED_VALUE"""),220.0)</f>
        <v>220</v>
      </c>
      <c r="AQ1216" s="14">
        <f>IFERROR(__xludf.DUMMYFUNCTION("""COMPUTED_VALUE"""),305.0)</f>
        <v>305</v>
      </c>
      <c r="AR1216" s="14">
        <f>IFERROR(__xludf.DUMMYFUNCTION("""COMPUTED_VALUE"""),115.0)</f>
        <v>115</v>
      </c>
      <c r="AS1216" s="14">
        <f>IFERROR(__xludf.DUMMYFUNCTION("""COMPUTED_VALUE"""),75.0)</f>
        <v>75</v>
      </c>
      <c r="AT1216" s="14">
        <f>IFERROR(__xludf.DUMMYFUNCTION("""COMPUTED_VALUE"""),1.03)</f>
        <v>1.03</v>
      </c>
      <c r="AU1216" s="14">
        <f>IFERROR(__xludf.DUMMYFUNCTION("""COMPUTED_VALUE"""),1.609E7)</f>
        <v>16090000</v>
      </c>
      <c r="AV1216" s="14">
        <f>IFERROR(__xludf.DUMMYFUNCTION("""COMPUTED_VALUE"""),4.37)</f>
        <v>4.37</v>
      </c>
      <c r="AW1216" s="14">
        <f>IFERROR(__xludf.DUMMYFUNCTION("""COMPUTED_VALUE"""),60.5)</f>
        <v>60.5</v>
      </c>
      <c r="AX1216" s="14">
        <f>IFERROR(__xludf.DUMMYFUNCTION("""COMPUTED_VALUE"""),1.261E7)</f>
        <v>12610000</v>
      </c>
      <c r="AY1216" s="14">
        <f>IFERROR(__xludf.DUMMYFUNCTION("""COMPUTED_VALUE"""),0.9)</f>
        <v>0.9</v>
      </c>
      <c r="AZ1216" s="14">
        <f>IFERROR(__xludf.DUMMYFUNCTION("""COMPUTED_VALUE"""),0.007)</f>
        <v>0.007</v>
      </c>
      <c r="BA1216" s="14">
        <f t="shared" si="1"/>
        <v>61.407</v>
      </c>
    </row>
    <row r="1217" ht="14.25" customHeight="1">
      <c r="A1217" s="10" t="str">
        <f>IFERROR(__xludf.DUMMYFUNCTION("""COMPUTED_VALUE"""),"111024DU02")</f>
        <v>111024DU02</v>
      </c>
      <c r="B1217" s="12" t="str">
        <f>IFERROR(__xludf.DUMMYFUNCTION("""COMPUTED_VALUE"""),"QLI-San Francisco")</f>
        <v>QLI-San Francisco</v>
      </c>
      <c r="C1217" s="12"/>
      <c r="D1217" s="12"/>
      <c r="E1217" s="44">
        <f>IFERROR(__xludf.DUMMYFUNCTION("""COMPUTED_VALUE"""),45576.0)</f>
        <v>45576</v>
      </c>
      <c r="F1217" s="12" t="str">
        <f>IFERROR(__xludf.DUMMYFUNCTION("""COMPUTED_VALUE"""),"TIPO I")</f>
        <v>TIPO I</v>
      </c>
      <c r="G1217" s="12" t="str">
        <f>IFERROR(__xludf.DUMMYFUNCTION("""COMPUTED_VALUE"""),"Durante el desarrollo del monitoreo se percibe olor y se observa color. 
Altitud. 2610 msnm")</f>
        <v>Durante el desarrollo del monitoreo se percibe olor y se observa color. 
Altitud. 2610 msnm</v>
      </c>
      <c r="H1217" s="45">
        <f>IFERROR(__xludf.DUMMYFUNCTION("""COMPUTED_VALUE"""),0.5)</f>
        <v>0.5</v>
      </c>
      <c r="I1217" s="45">
        <f>IFERROR(__xludf.DUMMYFUNCTION("""COMPUTED_VALUE"""),0.5833333333321207)</f>
        <v>0.5833333333</v>
      </c>
      <c r="J1217" s="12">
        <f>IFERROR(__xludf.DUMMYFUNCTION("""COMPUTED_VALUE"""),1.7)</f>
        <v>1.7</v>
      </c>
      <c r="K1217" s="12">
        <f>IFERROR(__xludf.DUMMYFUNCTION("""COMPUTED_VALUE"""),0.19)</f>
        <v>0.19</v>
      </c>
      <c r="L1217" s="14">
        <f>IFERROR(__xludf.DUMMYFUNCTION("""COMPUTED_VALUE"""),110.421)</f>
        <v>110.421</v>
      </c>
      <c r="M1217" s="14">
        <f>IFERROR(__xludf.DUMMYFUNCTION("""COMPUTED_VALUE"""),110.666)</f>
        <v>110.666</v>
      </c>
      <c r="N1217" s="14">
        <f>IFERROR(__xludf.DUMMYFUNCTION("""COMPUTED_VALUE"""),110.285)</f>
        <v>110.285</v>
      </c>
      <c r="O1217" s="14">
        <f>IFERROR(__xludf.DUMMYFUNCTION("""COMPUTED_VALUE"""),110.912)</f>
        <v>110.912</v>
      </c>
      <c r="P1217" s="14">
        <f>IFERROR(__xludf.DUMMYFUNCTION("""COMPUTED_VALUE"""),109.391)</f>
        <v>109.391</v>
      </c>
      <c r="Q1217" s="14">
        <f>IFERROR(__xludf.DUMMYFUNCTION("""COMPUTED_VALUE"""),110.335)</f>
        <v>110.335</v>
      </c>
      <c r="R1217" s="48">
        <f>IFERROR(__xludf.DUMMYFUNCTION("""COMPUTED_VALUE"""),8.73)</f>
        <v>8.73</v>
      </c>
      <c r="S1217" s="48">
        <f>IFERROR(__xludf.DUMMYFUNCTION("""COMPUTED_VALUE"""),8.71)</f>
        <v>8.71</v>
      </c>
      <c r="T1217" s="48">
        <f>IFERROR(__xludf.DUMMYFUNCTION("""COMPUTED_VALUE"""),8.67)</f>
        <v>8.67</v>
      </c>
      <c r="U1217" s="48">
        <f>IFERROR(__xludf.DUMMYFUNCTION("""COMPUTED_VALUE"""),8.68)</f>
        <v>8.68</v>
      </c>
      <c r="V1217" s="48">
        <f>IFERROR(__xludf.DUMMYFUNCTION("""COMPUTED_VALUE"""),8.63)</f>
        <v>8.63</v>
      </c>
      <c r="W1217" s="14">
        <f>IFERROR(__xludf.DUMMYFUNCTION("""COMPUTED_VALUE"""),8.684000000000001)</f>
        <v>8.684</v>
      </c>
      <c r="X1217" s="14">
        <f>IFERROR(__xludf.DUMMYFUNCTION("""COMPUTED_VALUE"""),17.0)</f>
        <v>17</v>
      </c>
      <c r="Y1217" s="14">
        <f>IFERROR(__xludf.DUMMYFUNCTION("""COMPUTED_VALUE"""),16.7)</f>
        <v>16.7</v>
      </c>
      <c r="Z1217" s="14">
        <f>IFERROR(__xludf.DUMMYFUNCTION("""COMPUTED_VALUE"""),16.9)</f>
        <v>16.9</v>
      </c>
      <c r="AA1217" s="14">
        <f>IFERROR(__xludf.DUMMYFUNCTION("""COMPUTED_VALUE"""),16.8)</f>
        <v>16.8</v>
      </c>
      <c r="AB1217" s="14">
        <f>IFERROR(__xludf.DUMMYFUNCTION("""COMPUTED_VALUE"""),16.6)</f>
        <v>16.6</v>
      </c>
      <c r="AC1217" s="14">
        <f>IFERROR(__xludf.DUMMYFUNCTION("""COMPUTED_VALUE"""),16.8)</f>
        <v>16.8</v>
      </c>
      <c r="AD1217" s="48">
        <f>IFERROR(__xludf.DUMMYFUNCTION("""COMPUTED_VALUE"""),436.0)</f>
        <v>436</v>
      </c>
      <c r="AE1217" s="48">
        <f>IFERROR(__xludf.DUMMYFUNCTION("""COMPUTED_VALUE"""),444.0)</f>
        <v>444</v>
      </c>
      <c r="AF1217" s="48">
        <f>IFERROR(__xludf.DUMMYFUNCTION("""COMPUTED_VALUE"""),445.0)</f>
        <v>445</v>
      </c>
      <c r="AG1217" s="48">
        <f>IFERROR(__xludf.DUMMYFUNCTION("""COMPUTED_VALUE"""),445.0)</f>
        <v>445</v>
      </c>
      <c r="AH1217" s="48">
        <f>IFERROR(__xludf.DUMMYFUNCTION("""COMPUTED_VALUE"""),442.0)</f>
        <v>442</v>
      </c>
      <c r="AI1217" s="14">
        <f>IFERROR(__xludf.DUMMYFUNCTION("""COMPUTED_VALUE"""),442.4)</f>
        <v>442.4</v>
      </c>
      <c r="AJ1217" s="14">
        <f>IFERROR(__xludf.DUMMYFUNCTION("""COMPUTED_VALUE"""),5.81)</f>
        <v>5.81</v>
      </c>
      <c r="AK1217" s="14">
        <f>IFERROR(__xludf.DUMMYFUNCTION("""COMPUTED_VALUE"""),5.32)</f>
        <v>5.32</v>
      </c>
      <c r="AL1217" s="14">
        <f>IFERROR(__xludf.DUMMYFUNCTION("""COMPUTED_VALUE"""),5.36)</f>
        <v>5.36</v>
      </c>
      <c r="AM1217" s="14">
        <f>IFERROR(__xludf.DUMMYFUNCTION("""COMPUTED_VALUE"""),5.54)</f>
        <v>5.54</v>
      </c>
      <c r="AN1217" s="14">
        <f>IFERROR(__xludf.DUMMYFUNCTION("""COMPUTED_VALUE"""),5.93)</f>
        <v>5.93</v>
      </c>
      <c r="AO1217" s="14">
        <f>IFERROR(__xludf.DUMMYFUNCTION("""COMPUTED_VALUE"""),5.592)</f>
        <v>5.592</v>
      </c>
      <c r="AP1217" s="14">
        <f>IFERROR(__xludf.DUMMYFUNCTION("""COMPUTED_VALUE"""),10.0)</f>
        <v>10</v>
      </c>
      <c r="AQ1217" s="14">
        <f>IFERROR(__xludf.DUMMYFUNCTION("""COMPUTED_VALUE"""),34.0)</f>
        <v>34</v>
      </c>
      <c r="AR1217" s="14">
        <f>IFERROR(__xludf.DUMMYFUNCTION("""COMPUTED_VALUE"""),19.0)</f>
        <v>19</v>
      </c>
      <c r="AS1217" s="14">
        <f>IFERROR(__xludf.DUMMYFUNCTION("""COMPUTED_VALUE"""),28.0)</f>
        <v>28</v>
      </c>
      <c r="AT1217" s="14">
        <f>IFERROR(__xludf.DUMMYFUNCTION("""COMPUTED_VALUE"""),0.18)</f>
        <v>0.18</v>
      </c>
      <c r="AU1217" s="14">
        <f>IFERROR(__xludf.DUMMYFUNCTION("""COMPUTED_VALUE"""),1.495E8)</f>
        <v>149500000</v>
      </c>
      <c r="AV1217" s="14">
        <f>IFERROR(__xludf.DUMMYFUNCTION("""COMPUTED_VALUE"""),1.58)</f>
        <v>1.58</v>
      </c>
      <c r="AW1217" s="14">
        <f>IFERROR(__xludf.DUMMYFUNCTION("""COMPUTED_VALUE"""),14.0)</f>
        <v>14</v>
      </c>
      <c r="AX1217" s="14">
        <f>IFERROR(__xludf.DUMMYFUNCTION("""COMPUTED_VALUE"""),1.261E8)</f>
        <v>126100000</v>
      </c>
      <c r="AY1217" s="14">
        <f>IFERROR(__xludf.DUMMYFUNCTION("""COMPUTED_VALUE"""),0.7)</f>
        <v>0.7</v>
      </c>
      <c r="AZ1217" s="14">
        <f>IFERROR(__xludf.DUMMYFUNCTION("""COMPUTED_VALUE"""),0.131)</f>
        <v>0.131</v>
      </c>
      <c r="BA1217" s="14">
        <f t="shared" si="1"/>
        <v>14.831</v>
      </c>
    </row>
    <row r="1218" ht="14.25" customHeight="1">
      <c r="A1218" s="10" t="str">
        <f>IFERROR(__xludf.DUMMYFUNCTION("""COMPUTED_VALUE"""),"121024AN01")</f>
        <v>121024AN01</v>
      </c>
      <c r="B1218" s="12" t="str">
        <f>IFERROR(__xludf.DUMMYFUNCTION("""COMPUTED_VALUE"""),"COR-Victoria Norte")</f>
        <v>COR-Victoria Norte</v>
      </c>
      <c r="C1218" s="12"/>
      <c r="D1218" s="12"/>
      <c r="E1218" s="44">
        <f>IFERROR(__xludf.DUMMYFUNCTION("""COMPUTED_VALUE"""),45577.0)</f>
        <v>45577</v>
      </c>
      <c r="F1218" s="12" t="str">
        <f>IFERROR(__xludf.DUMMYFUNCTION("""COMPUTED_VALUE"""),"TIPO I")</f>
        <v>TIPO I</v>
      </c>
      <c r="G1218" s="12" t="str">
        <f>IFERROR(__xludf.DUMMYFUNCTION("""COMPUTED_VALUE"""),"Durante el desarrollo del monitoreo se percibe olor, se observa color y material flotante.
Altitud: 2553 msnm.")</f>
        <v>Durante el desarrollo del monitoreo se percibe olor, se observa color y material flotante.
Altitud: 2553 msnm.</v>
      </c>
      <c r="H1218" s="45">
        <f>IFERROR(__xludf.DUMMYFUNCTION("""COMPUTED_VALUE"""),0.25)</f>
        <v>0.25</v>
      </c>
      <c r="I1218" s="45">
        <f>IFERROR(__xludf.DUMMYFUNCTION("""COMPUTED_VALUE"""),0.3333333333321207)</f>
        <v>0.3333333333</v>
      </c>
      <c r="J1218" s="12">
        <f>IFERROR(__xludf.DUMMYFUNCTION("""COMPUTED_VALUE"""),3.5)</f>
        <v>3.5</v>
      </c>
      <c r="K1218" s="12">
        <f>IFERROR(__xludf.DUMMYFUNCTION("""COMPUTED_VALUE"""),0.09)</f>
        <v>0.09</v>
      </c>
      <c r="L1218" s="14">
        <f>IFERROR(__xludf.DUMMYFUNCTION("""COMPUTED_VALUE"""),46.473)</f>
        <v>46.473</v>
      </c>
      <c r="M1218" s="14">
        <f>IFERROR(__xludf.DUMMYFUNCTION("""COMPUTED_VALUE"""),46.899)</f>
        <v>46.899</v>
      </c>
      <c r="N1218" s="14">
        <f>IFERROR(__xludf.DUMMYFUNCTION("""COMPUTED_VALUE"""),46.631)</f>
        <v>46.631</v>
      </c>
      <c r="O1218" s="14">
        <f>IFERROR(__xludf.DUMMYFUNCTION("""COMPUTED_VALUE"""),47.196)</f>
        <v>47.196</v>
      </c>
      <c r="P1218" s="14">
        <f>IFERROR(__xludf.DUMMYFUNCTION("""COMPUTED_VALUE"""),46.4)</f>
        <v>46.4</v>
      </c>
      <c r="Q1218" s="14">
        <f>IFERROR(__xludf.DUMMYFUNCTION("""COMPUTED_VALUE"""),46.72)</f>
        <v>46.72</v>
      </c>
      <c r="R1218" s="48">
        <f>IFERROR(__xludf.DUMMYFUNCTION("""COMPUTED_VALUE"""),8.03)</f>
        <v>8.03</v>
      </c>
      <c r="S1218" s="48">
        <f>IFERROR(__xludf.DUMMYFUNCTION("""COMPUTED_VALUE"""),8.09)</f>
        <v>8.09</v>
      </c>
      <c r="T1218" s="48">
        <f>IFERROR(__xludf.DUMMYFUNCTION("""COMPUTED_VALUE"""),8.11)</f>
        <v>8.11</v>
      </c>
      <c r="U1218" s="48">
        <f>IFERROR(__xludf.DUMMYFUNCTION("""COMPUTED_VALUE"""),8.09)</f>
        <v>8.09</v>
      </c>
      <c r="V1218" s="48">
        <f>IFERROR(__xludf.DUMMYFUNCTION("""COMPUTED_VALUE"""),8.11)</f>
        <v>8.11</v>
      </c>
      <c r="W1218" s="14">
        <f>IFERROR(__xludf.DUMMYFUNCTION("""COMPUTED_VALUE"""),8.085999999999999)</f>
        <v>8.086</v>
      </c>
      <c r="X1218" s="14">
        <f>IFERROR(__xludf.DUMMYFUNCTION("""COMPUTED_VALUE"""),14.7)</f>
        <v>14.7</v>
      </c>
      <c r="Y1218" s="14">
        <f>IFERROR(__xludf.DUMMYFUNCTION("""COMPUTED_VALUE"""),14.5)</f>
        <v>14.5</v>
      </c>
      <c r="Z1218" s="14">
        <f>IFERROR(__xludf.DUMMYFUNCTION("""COMPUTED_VALUE"""),14.6)</f>
        <v>14.6</v>
      </c>
      <c r="AA1218" s="14">
        <f>IFERROR(__xludf.DUMMYFUNCTION("""COMPUTED_VALUE"""),14.8)</f>
        <v>14.8</v>
      </c>
      <c r="AB1218" s="14">
        <f>IFERROR(__xludf.DUMMYFUNCTION("""COMPUTED_VALUE"""),14.8)</f>
        <v>14.8</v>
      </c>
      <c r="AC1218" s="14">
        <f>IFERROR(__xludf.DUMMYFUNCTION("""COMPUTED_VALUE"""),14.679999999999998)</f>
        <v>14.68</v>
      </c>
      <c r="AD1218" s="48">
        <f>IFERROR(__xludf.DUMMYFUNCTION("""COMPUTED_VALUE"""),430.0)</f>
        <v>430</v>
      </c>
      <c r="AE1218" s="48">
        <f>IFERROR(__xludf.DUMMYFUNCTION("""COMPUTED_VALUE"""),443.0)</f>
        <v>443</v>
      </c>
      <c r="AF1218" s="48">
        <f>IFERROR(__xludf.DUMMYFUNCTION("""COMPUTED_VALUE"""),439.0)</f>
        <v>439</v>
      </c>
      <c r="AG1218" s="48">
        <f>IFERROR(__xludf.DUMMYFUNCTION("""COMPUTED_VALUE"""),427.0)</f>
        <v>427</v>
      </c>
      <c r="AH1218" s="48">
        <f>IFERROR(__xludf.DUMMYFUNCTION("""COMPUTED_VALUE"""),424.0)</f>
        <v>424</v>
      </c>
      <c r="AI1218" s="14">
        <f>IFERROR(__xludf.DUMMYFUNCTION("""COMPUTED_VALUE"""),432.6)</f>
        <v>432.6</v>
      </c>
      <c r="AJ1218" s="14">
        <f>IFERROR(__xludf.DUMMYFUNCTION("""COMPUTED_VALUE"""),1.71)</f>
        <v>1.71</v>
      </c>
      <c r="AK1218" s="14">
        <f>IFERROR(__xludf.DUMMYFUNCTION("""COMPUTED_VALUE"""),1.91)</f>
        <v>1.91</v>
      </c>
      <c r="AL1218" s="14">
        <f>IFERROR(__xludf.DUMMYFUNCTION("""COMPUTED_VALUE"""),1.84)</f>
        <v>1.84</v>
      </c>
      <c r="AM1218" s="14">
        <f>IFERROR(__xludf.DUMMYFUNCTION("""COMPUTED_VALUE"""),1.76)</f>
        <v>1.76</v>
      </c>
      <c r="AN1218" s="14">
        <f>IFERROR(__xludf.DUMMYFUNCTION("""COMPUTED_VALUE"""),2.2)</f>
        <v>2.2</v>
      </c>
      <c r="AO1218" s="14">
        <f>IFERROR(__xludf.DUMMYFUNCTION("""COMPUTED_VALUE"""),1.884)</f>
        <v>1.884</v>
      </c>
      <c r="AP1218" s="14">
        <f>IFERROR(__xludf.DUMMYFUNCTION("""COMPUTED_VALUE"""),14.0)</f>
        <v>14</v>
      </c>
      <c r="AQ1218" s="14">
        <f>IFERROR(__xludf.DUMMYFUNCTION("""COMPUTED_VALUE"""),45.0)</f>
        <v>45</v>
      </c>
      <c r="AR1218" s="14">
        <f>IFERROR(__xludf.DUMMYFUNCTION("""COMPUTED_VALUE"""),12.0)</f>
        <v>12</v>
      </c>
      <c r="AS1218" s="14">
        <f>IFERROR(__xludf.DUMMYFUNCTION("""COMPUTED_VALUE"""),17.0)</f>
        <v>17</v>
      </c>
      <c r="AT1218" s="14">
        <f>IFERROR(__xludf.DUMMYFUNCTION("""COMPUTED_VALUE"""),0.82)</f>
        <v>0.82</v>
      </c>
      <c r="AU1218" s="14">
        <f>IFERROR(__xludf.DUMMYFUNCTION("""COMPUTED_VALUE"""),1.607E8)</f>
        <v>160700000</v>
      </c>
      <c r="AV1218" s="14">
        <f>IFERROR(__xludf.DUMMYFUNCTION("""COMPUTED_VALUE"""),0.76)</f>
        <v>0.76</v>
      </c>
      <c r="AW1218" s="14">
        <f>IFERROR(__xludf.DUMMYFUNCTION("""COMPUTED_VALUE"""),13.4)</f>
        <v>13.4</v>
      </c>
      <c r="AX1218" s="14">
        <f>IFERROR(__xludf.DUMMYFUNCTION("""COMPUTED_VALUE"""),1.464E8)</f>
        <v>146400000</v>
      </c>
      <c r="AY1218" s="14">
        <f>IFERROR(__xludf.DUMMYFUNCTION("""COMPUTED_VALUE"""),0.7)</f>
        <v>0.7</v>
      </c>
      <c r="AZ1218" s="14">
        <f>IFERROR(__xludf.DUMMYFUNCTION("""COMPUTED_VALUE"""),0.076)</f>
        <v>0.076</v>
      </c>
      <c r="BA1218" s="14">
        <f t="shared" si="1"/>
        <v>14.176</v>
      </c>
    </row>
    <row r="1219" ht="14.25" customHeight="1">
      <c r="A1219" s="10" t="str">
        <f>IFERROR(__xludf.DUMMYFUNCTION("""COMPUTED_VALUE"""),"111024SA01")</f>
        <v>111024SA01</v>
      </c>
      <c r="B1219" s="12" t="str">
        <f>IFERROR(__xludf.DUMMYFUNCTION("""COMPUTED_VALUE"""),"QYO-Arrayanal")</f>
        <v>QYO-Arrayanal</v>
      </c>
      <c r="C1219" s="12"/>
      <c r="D1219" s="12"/>
      <c r="E1219" s="44">
        <f>IFERROR(__xludf.DUMMYFUNCTION("""COMPUTED_VALUE"""),45576.0)</f>
        <v>45576</v>
      </c>
      <c r="F1219" s="12" t="str">
        <f>IFERROR(__xludf.DUMMYFUNCTION("""COMPUTED_VALUE"""),"TIPO I")</f>
        <v>TIPO I</v>
      </c>
      <c r="G1219" s="12" t="str">
        <f>IFERROR(__xludf.DUMMYFUNCTION("""COMPUTED_VALUE"""),"Durante el monitoreo no se percibe olor, se observa color. 
Altitud: 2829 msnm")</f>
        <v>Durante el monitoreo no se percibe olor, se observa color. 
Altitud: 2829 msnm</v>
      </c>
      <c r="H1219" s="45">
        <f>IFERROR(__xludf.DUMMYFUNCTION("""COMPUTED_VALUE"""),0.25)</f>
        <v>0.25</v>
      </c>
      <c r="I1219" s="45">
        <f>IFERROR(__xludf.DUMMYFUNCTION("""COMPUTED_VALUE"""),0.3333333333321207)</f>
        <v>0.3333333333</v>
      </c>
      <c r="J1219" s="12">
        <f>IFERROR(__xludf.DUMMYFUNCTION("""COMPUTED_VALUE"""),3.4)</f>
        <v>3.4</v>
      </c>
      <c r="K1219" s="12">
        <f>IFERROR(__xludf.DUMMYFUNCTION("""COMPUTED_VALUE"""),0.55)</f>
        <v>0.55</v>
      </c>
      <c r="L1219" s="14">
        <f>IFERROR(__xludf.DUMMYFUNCTION("""COMPUTED_VALUE"""),422.299)</f>
        <v>422.299</v>
      </c>
      <c r="M1219" s="14">
        <f>IFERROR(__xludf.DUMMYFUNCTION("""COMPUTED_VALUE"""),419.743)</f>
        <v>419.743</v>
      </c>
      <c r="N1219" s="14">
        <f>IFERROR(__xludf.DUMMYFUNCTION("""COMPUTED_VALUE"""),418.035)</f>
        <v>418.035</v>
      </c>
      <c r="O1219" s="14">
        <f>IFERROR(__xludf.DUMMYFUNCTION("""COMPUTED_VALUE"""),417.224)</f>
        <v>417.224</v>
      </c>
      <c r="P1219" s="14">
        <f>IFERROR(__xludf.DUMMYFUNCTION("""COMPUTED_VALUE"""),416.784)</f>
        <v>416.784</v>
      </c>
      <c r="Q1219" s="14">
        <f>IFERROR(__xludf.DUMMYFUNCTION("""COMPUTED_VALUE"""),418.817)</f>
        <v>418.817</v>
      </c>
      <c r="R1219" s="48">
        <f>IFERROR(__xludf.DUMMYFUNCTION("""COMPUTED_VALUE"""),6.9)</f>
        <v>6.9</v>
      </c>
      <c r="S1219" s="48">
        <f>IFERROR(__xludf.DUMMYFUNCTION("""COMPUTED_VALUE"""),7.37)</f>
        <v>7.37</v>
      </c>
      <c r="T1219" s="48">
        <f>IFERROR(__xludf.DUMMYFUNCTION("""COMPUTED_VALUE"""),7.47)</f>
        <v>7.47</v>
      </c>
      <c r="U1219" s="48">
        <f>IFERROR(__xludf.DUMMYFUNCTION("""COMPUTED_VALUE"""),7.53)</f>
        <v>7.53</v>
      </c>
      <c r="V1219" s="48">
        <f>IFERROR(__xludf.DUMMYFUNCTION("""COMPUTED_VALUE"""),7.49)</f>
        <v>7.49</v>
      </c>
      <c r="W1219" s="14">
        <f>IFERROR(__xludf.DUMMYFUNCTION("""COMPUTED_VALUE"""),7.351999999999999)</f>
        <v>7.352</v>
      </c>
      <c r="X1219" s="14">
        <f>IFERROR(__xludf.DUMMYFUNCTION("""COMPUTED_VALUE"""),10.0)</f>
        <v>10</v>
      </c>
      <c r="Y1219" s="14">
        <f>IFERROR(__xludf.DUMMYFUNCTION("""COMPUTED_VALUE"""),9.9)</f>
        <v>9.9</v>
      </c>
      <c r="Z1219" s="14">
        <f>IFERROR(__xludf.DUMMYFUNCTION("""COMPUTED_VALUE"""),9.8)</f>
        <v>9.8</v>
      </c>
      <c r="AA1219" s="14">
        <f>IFERROR(__xludf.DUMMYFUNCTION("""COMPUTED_VALUE"""),10.1)</f>
        <v>10.1</v>
      </c>
      <c r="AB1219" s="14">
        <f>IFERROR(__xludf.DUMMYFUNCTION("""COMPUTED_VALUE"""),10.2)</f>
        <v>10.2</v>
      </c>
      <c r="AC1219" s="14">
        <f>IFERROR(__xludf.DUMMYFUNCTION("""COMPUTED_VALUE"""),10.0)</f>
        <v>10</v>
      </c>
      <c r="AD1219" s="48">
        <f>IFERROR(__xludf.DUMMYFUNCTION("""COMPUTED_VALUE"""),48.2)</f>
        <v>48.2</v>
      </c>
      <c r="AE1219" s="48">
        <f>IFERROR(__xludf.DUMMYFUNCTION("""COMPUTED_VALUE"""),36.8)</f>
        <v>36.8</v>
      </c>
      <c r="AF1219" s="48">
        <f>IFERROR(__xludf.DUMMYFUNCTION("""COMPUTED_VALUE"""),36.2)</f>
        <v>36.2</v>
      </c>
      <c r="AG1219" s="48">
        <f>IFERROR(__xludf.DUMMYFUNCTION("""COMPUTED_VALUE"""),37.9)</f>
        <v>37.9</v>
      </c>
      <c r="AH1219" s="48">
        <f>IFERROR(__xludf.DUMMYFUNCTION("""COMPUTED_VALUE"""),35.3)</f>
        <v>35.3</v>
      </c>
      <c r="AI1219" s="14">
        <f>IFERROR(__xludf.DUMMYFUNCTION("""COMPUTED_VALUE"""),38.879999999999995)</f>
        <v>38.88</v>
      </c>
      <c r="AJ1219" s="14">
        <f>IFERROR(__xludf.DUMMYFUNCTION("""COMPUTED_VALUE"""),6.14)</f>
        <v>6.14</v>
      </c>
      <c r="AK1219" s="14">
        <f>IFERROR(__xludf.DUMMYFUNCTION("""COMPUTED_VALUE"""),6.55)</f>
        <v>6.55</v>
      </c>
      <c r="AL1219" s="14">
        <f>IFERROR(__xludf.DUMMYFUNCTION("""COMPUTED_VALUE"""),6.56)</f>
        <v>6.56</v>
      </c>
      <c r="AM1219" s="14">
        <f>IFERROR(__xludf.DUMMYFUNCTION("""COMPUTED_VALUE"""),6.67)</f>
        <v>6.67</v>
      </c>
      <c r="AN1219" s="14">
        <f>IFERROR(__xludf.DUMMYFUNCTION("""COMPUTED_VALUE"""),6.31)</f>
        <v>6.31</v>
      </c>
      <c r="AO1219" s="14">
        <f>IFERROR(__xludf.DUMMYFUNCTION("""COMPUTED_VALUE"""),6.446000000000001)</f>
        <v>6.446</v>
      </c>
      <c r="AP1219" s="14">
        <f>IFERROR(__xludf.DUMMYFUNCTION("""COMPUTED_VALUE"""),2.0)</f>
        <v>2</v>
      </c>
      <c r="AQ1219" s="14">
        <f>IFERROR(__xludf.DUMMYFUNCTION("""COMPUTED_VALUE"""),5.0)</f>
        <v>5</v>
      </c>
      <c r="AR1219" s="14">
        <f>IFERROR(__xludf.DUMMYFUNCTION("""COMPUTED_VALUE"""),12.0)</f>
        <v>12</v>
      </c>
      <c r="AS1219" s="14">
        <f>IFERROR(__xludf.DUMMYFUNCTION("""COMPUTED_VALUE"""),8.1)</f>
        <v>8.1</v>
      </c>
      <c r="AT1219" s="14">
        <f>IFERROR(__xludf.DUMMYFUNCTION("""COMPUTED_VALUE"""),0.07)</f>
        <v>0.07</v>
      </c>
      <c r="AU1219" s="14">
        <f>IFERROR(__xludf.DUMMYFUNCTION("""COMPUTED_VALUE"""),1.631E8)</f>
        <v>163100000</v>
      </c>
      <c r="AV1219" s="14">
        <f>IFERROR(__xludf.DUMMYFUNCTION("""COMPUTED_VALUE"""),0.09)</f>
        <v>0.09</v>
      </c>
      <c r="AW1219" s="14">
        <f>IFERROR(__xludf.DUMMYFUNCTION("""COMPUTED_VALUE"""),1.0)</f>
        <v>1</v>
      </c>
      <c r="AX1219" s="14">
        <f>IFERROR(__xludf.DUMMYFUNCTION("""COMPUTED_VALUE"""),1.232E8)</f>
        <v>123200000</v>
      </c>
      <c r="AY1219" s="14">
        <f>IFERROR(__xludf.DUMMYFUNCTION("""COMPUTED_VALUE"""),0.6)</f>
        <v>0.6</v>
      </c>
      <c r="AZ1219" s="14">
        <f>IFERROR(__xludf.DUMMYFUNCTION("""COMPUTED_VALUE"""),0.007)</f>
        <v>0.007</v>
      </c>
      <c r="BA1219" s="14">
        <f t="shared" si="1"/>
        <v>1.607</v>
      </c>
    </row>
    <row r="1220" ht="14.25" customHeight="1">
      <c r="A1220" s="10" t="str">
        <f>IFERROR(__xludf.DUMMYFUNCTION("""COMPUTED_VALUE"""),"111024SA03")</f>
        <v>111024SA03</v>
      </c>
      <c r="B1220" s="12" t="str">
        <f>IFERROR(__xludf.DUMMYFUNCTION("""COMPUTED_VALUE"""),"QYO-Monte Blanco")</f>
        <v>QYO-Monte Blanco</v>
      </c>
      <c r="C1220" s="12"/>
      <c r="D1220" s="12"/>
      <c r="E1220" s="44">
        <f>IFERROR(__xludf.DUMMYFUNCTION("""COMPUTED_VALUE"""),45576.0)</f>
        <v>45576</v>
      </c>
      <c r="F1220" s="12" t="str">
        <f>IFERROR(__xludf.DUMMYFUNCTION("""COMPUTED_VALUE"""),"TIPO I")</f>
        <v>TIPO I</v>
      </c>
      <c r="G1220" s="12" t="str">
        <f>IFERROR(__xludf.DUMMYFUNCTION("""COMPUTED_VALUE"""),"Durante el desarrollo del monitoreo se percibe olor, se observa color y espumas en el cauce.
Altitud 2671 msnm")</f>
        <v>Durante el desarrollo del monitoreo se percibe olor, se observa color y espumas en el cauce.
Altitud 2671 msnm</v>
      </c>
      <c r="H1220" s="45">
        <f>IFERROR(__xludf.DUMMYFUNCTION("""COMPUTED_VALUE"""),0.5208333333321207)</f>
        <v>0.5208333333</v>
      </c>
      <c r="I1220" s="45">
        <f>IFERROR(__xludf.DUMMYFUNCTION("""COMPUTED_VALUE"""),0.6041666666678793)</f>
        <v>0.6041666667</v>
      </c>
      <c r="J1220" s="12">
        <f>IFERROR(__xludf.DUMMYFUNCTION("""COMPUTED_VALUE"""),4.4)</f>
        <v>4.4</v>
      </c>
      <c r="K1220" s="12">
        <f>IFERROR(__xludf.DUMMYFUNCTION("""COMPUTED_VALUE"""),0.47)</f>
        <v>0.47</v>
      </c>
      <c r="L1220" s="14">
        <f>IFERROR(__xludf.DUMMYFUNCTION("""COMPUTED_VALUE"""),471.065)</f>
        <v>471.065</v>
      </c>
      <c r="M1220" s="14">
        <f>IFERROR(__xludf.DUMMYFUNCTION("""COMPUTED_VALUE"""),471.83)</f>
        <v>471.83</v>
      </c>
      <c r="N1220" s="14">
        <f>IFERROR(__xludf.DUMMYFUNCTION("""COMPUTED_VALUE"""),472.815)</f>
        <v>472.815</v>
      </c>
      <c r="O1220" s="14">
        <f>IFERROR(__xludf.DUMMYFUNCTION("""COMPUTED_VALUE"""),477.171)</f>
        <v>477.171</v>
      </c>
      <c r="P1220" s="14">
        <f>IFERROR(__xludf.DUMMYFUNCTION("""COMPUTED_VALUE"""),480.664)</f>
        <v>480.664</v>
      </c>
      <c r="Q1220" s="14">
        <f>IFERROR(__xludf.DUMMYFUNCTION("""COMPUTED_VALUE"""),474.709)</f>
        <v>474.709</v>
      </c>
      <c r="R1220" s="48">
        <f>IFERROR(__xludf.DUMMYFUNCTION("""COMPUTED_VALUE"""),7.6)</f>
        <v>7.6</v>
      </c>
      <c r="S1220" s="48">
        <f>IFERROR(__xludf.DUMMYFUNCTION("""COMPUTED_VALUE"""),8.16)</f>
        <v>8.16</v>
      </c>
      <c r="T1220" s="48">
        <f>IFERROR(__xludf.DUMMYFUNCTION("""COMPUTED_VALUE"""),8.18)</f>
        <v>8.18</v>
      </c>
      <c r="U1220" s="48">
        <f>IFERROR(__xludf.DUMMYFUNCTION("""COMPUTED_VALUE"""),7.94)</f>
        <v>7.94</v>
      </c>
      <c r="V1220" s="48">
        <f>IFERROR(__xludf.DUMMYFUNCTION("""COMPUTED_VALUE"""),8.05)</f>
        <v>8.05</v>
      </c>
      <c r="W1220" s="14">
        <f>IFERROR(__xludf.DUMMYFUNCTION("""COMPUTED_VALUE"""),7.986)</f>
        <v>7.986</v>
      </c>
      <c r="X1220" s="14">
        <f>IFERROR(__xludf.DUMMYFUNCTION("""COMPUTED_VALUE"""),15.3)</f>
        <v>15.3</v>
      </c>
      <c r="Y1220" s="14">
        <f>IFERROR(__xludf.DUMMYFUNCTION("""COMPUTED_VALUE"""),15.6)</f>
        <v>15.6</v>
      </c>
      <c r="Z1220" s="14">
        <f>IFERROR(__xludf.DUMMYFUNCTION("""COMPUTED_VALUE"""),16.0)</f>
        <v>16</v>
      </c>
      <c r="AA1220" s="14">
        <f>IFERROR(__xludf.DUMMYFUNCTION("""COMPUTED_VALUE"""),16.5)</f>
        <v>16.5</v>
      </c>
      <c r="AB1220" s="14">
        <f>IFERROR(__xludf.DUMMYFUNCTION("""COMPUTED_VALUE"""),16.9)</f>
        <v>16.9</v>
      </c>
      <c r="AC1220" s="14">
        <f>IFERROR(__xludf.DUMMYFUNCTION("""COMPUTED_VALUE"""),16.06)</f>
        <v>16.06</v>
      </c>
      <c r="AD1220" s="48">
        <f>IFERROR(__xludf.DUMMYFUNCTION("""COMPUTED_VALUE"""),144.9)</f>
        <v>144.9</v>
      </c>
      <c r="AE1220" s="48">
        <f>IFERROR(__xludf.DUMMYFUNCTION("""COMPUTED_VALUE"""),142.1)</f>
        <v>142.1</v>
      </c>
      <c r="AF1220" s="48">
        <f>IFERROR(__xludf.DUMMYFUNCTION("""COMPUTED_VALUE"""),151.2)</f>
        <v>151.2</v>
      </c>
      <c r="AG1220" s="48">
        <f>IFERROR(__xludf.DUMMYFUNCTION("""COMPUTED_VALUE"""),157.5)</f>
        <v>157.5</v>
      </c>
      <c r="AH1220" s="48">
        <f>IFERROR(__xludf.DUMMYFUNCTION("""COMPUTED_VALUE"""),147.4)</f>
        <v>147.4</v>
      </c>
      <c r="AI1220" s="14">
        <f>IFERROR(__xludf.DUMMYFUNCTION("""COMPUTED_VALUE"""),148.62)</f>
        <v>148.62</v>
      </c>
      <c r="AJ1220" s="14">
        <f>IFERROR(__xludf.DUMMYFUNCTION("""COMPUTED_VALUE"""),6.03)</f>
        <v>6.03</v>
      </c>
      <c r="AK1220" s="14">
        <f>IFERROR(__xludf.DUMMYFUNCTION("""COMPUTED_VALUE"""),5.79)</f>
        <v>5.79</v>
      </c>
      <c r="AL1220" s="14">
        <f>IFERROR(__xludf.DUMMYFUNCTION("""COMPUTED_VALUE"""),5.88)</f>
        <v>5.88</v>
      </c>
      <c r="AM1220" s="14">
        <f>IFERROR(__xludf.DUMMYFUNCTION("""COMPUTED_VALUE"""),5.35)</f>
        <v>5.35</v>
      </c>
      <c r="AN1220" s="14">
        <f>IFERROR(__xludf.DUMMYFUNCTION("""COMPUTED_VALUE"""),5.45)</f>
        <v>5.45</v>
      </c>
      <c r="AO1220" s="14">
        <f>IFERROR(__xludf.DUMMYFUNCTION("""COMPUTED_VALUE"""),5.699999999999999)</f>
        <v>5.7</v>
      </c>
      <c r="AP1220" s="14">
        <f>IFERROR(__xludf.DUMMYFUNCTION("""COMPUTED_VALUE"""),7.0)</f>
        <v>7</v>
      </c>
      <c r="AQ1220" s="14">
        <f>IFERROR(__xludf.DUMMYFUNCTION("""COMPUTED_VALUE"""),36.0)</f>
        <v>36</v>
      </c>
      <c r="AR1220" s="14">
        <f>IFERROR(__xludf.DUMMYFUNCTION("""COMPUTED_VALUE"""),30.0)</f>
        <v>30</v>
      </c>
      <c r="AS1220" s="14">
        <f>IFERROR(__xludf.DUMMYFUNCTION("""COMPUTED_VALUE"""),15.6)</f>
        <v>15.6</v>
      </c>
      <c r="AT1220" s="14">
        <f>IFERROR(__xludf.DUMMYFUNCTION("""COMPUTED_VALUE"""),0.92)</f>
        <v>0.92</v>
      </c>
      <c r="AU1220" s="14">
        <f>IFERROR(__xludf.DUMMYFUNCTION("""COMPUTED_VALUE"""),1.51E8)</f>
        <v>151000000</v>
      </c>
      <c r="AV1220" s="14">
        <f>IFERROR(__xludf.DUMMYFUNCTION("""COMPUTED_VALUE"""),0.46)</f>
        <v>0.46</v>
      </c>
      <c r="AW1220" s="14">
        <f>IFERROR(__xludf.DUMMYFUNCTION("""COMPUTED_VALUE"""),5.6)</f>
        <v>5.6</v>
      </c>
      <c r="AX1220" s="14">
        <f>IFERROR(__xludf.DUMMYFUNCTION("""COMPUTED_VALUE"""),1.403E8)</f>
        <v>140300000</v>
      </c>
      <c r="AY1220" s="14">
        <f>IFERROR(__xludf.DUMMYFUNCTION("""COMPUTED_VALUE"""),0.3)</f>
        <v>0.3</v>
      </c>
      <c r="AZ1220" s="14">
        <f>IFERROR(__xludf.DUMMYFUNCTION("""COMPUTED_VALUE"""),0.007)</f>
        <v>0.007</v>
      </c>
      <c r="BA1220" s="14">
        <f t="shared" si="1"/>
        <v>5.907</v>
      </c>
    </row>
    <row r="1221" ht="14.25" customHeight="1">
      <c r="A1221" s="10" t="str">
        <f>IFERROR(__xludf.DUMMYFUNCTION("""COMPUTED_VALUE"""),"111024SA04")</f>
        <v>111024SA04</v>
      </c>
      <c r="B1221" s="12" t="str">
        <f>IFERROR(__xludf.DUMMYFUNCTION("""COMPUTED_VALUE"""),"QZA-Meissen")</f>
        <v>QZA-Meissen</v>
      </c>
      <c r="C1221" s="12"/>
      <c r="D1221" s="12"/>
      <c r="E1221" s="44">
        <f>IFERROR(__xludf.DUMMYFUNCTION("""COMPUTED_VALUE"""),45576.0)</f>
        <v>45576</v>
      </c>
      <c r="F1221" s="12" t="str">
        <f>IFERROR(__xludf.DUMMYFUNCTION("""COMPUTED_VALUE"""),"TIPO I")</f>
        <v>TIPO I</v>
      </c>
      <c r="G1221" s="12" t="str">
        <f>IFERROR(__xludf.DUMMYFUNCTION("""COMPUTED_VALUE"""),"Durante el desarrollo del monitoreo se observan espumas, color en el cuerpo de agua y se percibe olor. 
Altitud: 2560 msnm")</f>
        <v>Durante el desarrollo del monitoreo se observan espumas, color en el cuerpo de agua y se percibe olor. 
Altitud: 2560 msnm</v>
      </c>
      <c r="H1221" s="45">
        <f>IFERROR(__xludf.DUMMYFUNCTION("""COMPUTED_VALUE"""),0.6666666666678793)</f>
        <v>0.6666666667</v>
      </c>
      <c r="I1221" s="45">
        <f>IFERROR(__xludf.DUMMYFUNCTION("""COMPUTED_VALUE"""),0.75)</f>
        <v>0.75</v>
      </c>
      <c r="J1221" s="12">
        <f>IFERROR(__xludf.DUMMYFUNCTION("""COMPUTED_VALUE"""),12.0)</f>
        <v>12</v>
      </c>
      <c r="K1221" s="12">
        <f>IFERROR(__xludf.DUMMYFUNCTION("""COMPUTED_VALUE"""),0.09)</f>
        <v>0.09</v>
      </c>
      <c r="L1221" s="14">
        <f>IFERROR(__xludf.DUMMYFUNCTION("""COMPUTED_VALUE"""),430.858)</f>
        <v>430.858</v>
      </c>
      <c r="M1221" s="14">
        <f>IFERROR(__xludf.DUMMYFUNCTION("""COMPUTED_VALUE"""),428.535)</f>
        <v>428.535</v>
      </c>
      <c r="N1221" s="14">
        <f>IFERROR(__xludf.DUMMYFUNCTION("""COMPUTED_VALUE"""),430.529)</f>
        <v>430.529</v>
      </c>
      <c r="O1221" s="14">
        <f>IFERROR(__xludf.DUMMYFUNCTION("""COMPUTED_VALUE"""),435.601)</f>
        <v>435.601</v>
      </c>
      <c r="P1221" s="14">
        <f>IFERROR(__xludf.DUMMYFUNCTION("""COMPUTED_VALUE"""),434.66)</f>
        <v>434.66</v>
      </c>
      <c r="Q1221" s="14">
        <f>IFERROR(__xludf.DUMMYFUNCTION("""COMPUTED_VALUE"""),432.037)</f>
        <v>432.037</v>
      </c>
      <c r="R1221" s="48">
        <f>IFERROR(__xludf.DUMMYFUNCTION("""COMPUTED_VALUE"""),8.17)</f>
        <v>8.17</v>
      </c>
      <c r="S1221" s="48">
        <f>IFERROR(__xludf.DUMMYFUNCTION("""COMPUTED_VALUE"""),8.17)</f>
        <v>8.17</v>
      </c>
      <c r="T1221" s="48">
        <f>IFERROR(__xludf.DUMMYFUNCTION("""COMPUTED_VALUE"""),7.96)</f>
        <v>7.96</v>
      </c>
      <c r="U1221" s="48">
        <f>IFERROR(__xludf.DUMMYFUNCTION("""COMPUTED_VALUE"""),8.2)</f>
        <v>8.2</v>
      </c>
      <c r="V1221" s="48">
        <f>IFERROR(__xludf.DUMMYFUNCTION("""COMPUTED_VALUE"""),8.12)</f>
        <v>8.12</v>
      </c>
      <c r="W1221" s="14">
        <f>IFERROR(__xludf.DUMMYFUNCTION("""COMPUTED_VALUE"""),8.123999999999999)</f>
        <v>8.124</v>
      </c>
      <c r="X1221" s="14">
        <f>IFERROR(__xludf.DUMMYFUNCTION("""COMPUTED_VALUE"""),21.1)</f>
        <v>21.1</v>
      </c>
      <c r="Y1221" s="14">
        <f>IFERROR(__xludf.DUMMYFUNCTION("""COMPUTED_VALUE"""),20.0)</f>
        <v>20</v>
      </c>
      <c r="Z1221" s="14">
        <f>IFERROR(__xludf.DUMMYFUNCTION("""COMPUTED_VALUE"""),19.7)</f>
        <v>19.7</v>
      </c>
      <c r="AA1221" s="14">
        <f>IFERROR(__xludf.DUMMYFUNCTION("""COMPUTED_VALUE"""),19.9)</f>
        <v>19.9</v>
      </c>
      <c r="AB1221" s="14">
        <f>IFERROR(__xludf.DUMMYFUNCTION("""COMPUTED_VALUE"""),18.2)</f>
        <v>18.2</v>
      </c>
      <c r="AC1221" s="14">
        <f>IFERROR(__xludf.DUMMYFUNCTION("""COMPUTED_VALUE"""),19.779999999999998)</f>
        <v>19.78</v>
      </c>
      <c r="AD1221" s="48">
        <f>IFERROR(__xludf.DUMMYFUNCTION("""COMPUTED_VALUE"""),564.0)</f>
        <v>564</v>
      </c>
      <c r="AE1221" s="48">
        <f>IFERROR(__xludf.DUMMYFUNCTION("""COMPUTED_VALUE"""),568.0)</f>
        <v>568</v>
      </c>
      <c r="AF1221" s="48">
        <f>IFERROR(__xludf.DUMMYFUNCTION("""COMPUTED_VALUE"""),520.0)</f>
        <v>520</v>
      </c>
      <c r="AG1221" s="48">
        <f>IFERROR(__xludf.DUMMYFUNCTION("""COMPUTED_VALUE"""),576.0)</f>
        <v>576</v>
      </c>
      <c r="AH1221" s="48">
        <f>IFERROR(__xludf.DUMMYFUNCTION("""COMPUTED_VALUE"""),569.0)</f>
        <v>569</v>
      </c>
      <c r="AI1221" s="14">
        <f>IFERROR(__xludf.DUMMYFUNCTION("""COMPUTED_VALUE"""),559.4)</f>
        <v>559.4</v>
      </c>
      <c r="AJ1221" s="14">
        <f>IFERROR(__xludf.DUMMYFUNCTION("""COMPUTED_VALUE"""),1.03)</f>
        <v>1.03</v>
      </c>
      <c r="AK1221" s="14">
        <f>IFERROR(__xludf.DUMMYFUNCTION("""COMPUTED_VALUE"""),1.01)</f>
        <v>1.01</v>
      </c>
      <c r="AL1221" s="14">
        <f>IFERROR(__xludf.DUMMYFUNCTION("""COMPUTED_VALUE"""),0.97)</f>
        <v>0.97</v>
      </c>
      <c r="AM1221" s="14">
        <f>IFERROR(__xludf.DUMMYFUNCTION("""COMPUTED_VALUE"""),0.57)</f>
        <v>0.57</v>
      </c>
      <c r="AN1221" s="14">
        <f>IFERROR(__xludf.DUMMYFUNCTION("""COMPUTED_VALUE"""),0.47)</f>
        <v>0.47</v>
      </c>
      <c r="AO1221" s="14">
        <f>IFERROR(__xludf.DUMMYFUNCTION("""COMPUTED_VALUE"""),0.8099999999999999)</f>
        <v>0.81</v>
      </c>
      <c r="AP1221" s="14">
        <f>IFERROR(__xludf.DUMMYFUNCTION("""COMPUTED_VALUE"""),76.0)</f>
        <v>76</v>
      </c>
      <c r="AQ1221" s="14">
        <f>IFERROR(__xludf.DUMMYFUNCTION("""COMPUTED_VALUE"""),170.0)</f>
        <v>170</v>
      </c>
      <c r="AR1221" s="14">
        <f>IFERROR(__xludf.DUMMYFUNCTION("""COMPUTED_VALUE"""),75.0)</f>
        <v>75</v>
      </c>
      <c r="AS1221" s="14">
        <f>IFERROR(__xludf.DUMMYFUNCTION("""COMPUTED_VALUE"""),33.0)</f>
        <v>33</v>
      </c>
      <c r="AT1221" s="14">
        <f>IFERROR(__xludf.DUMMYFUNCTION("""COMPUTED_VALUE"""),5.08)</f>
        <v>5.08</v>
      </c>
      <c r="AU1221" s="14">
        <f>IFERROR(__xludf.DUMMYFUNCTION("""COMPUTED_VALUE"""),1.592E8)</f>
        <v>159200000</v>
      </c>
      <c r="AV1221" s="14">
        <f>IFERROR(__xludf.DUMMYFUNCTION("""COMPUTED_VALUE"""),5.04)</f>
        <v>5.04</v>
      </c>
      <c r="AW1221" s="14">
        <f>IFERROR(__xludf.DUMMYFUNCTION("""COMPUTED_VALUE"""),35.3)</f>
        <v>35.3</v>
      </c>
      <c r="AX1221" s="14">
        <f>IFERROR(__xludf.DUMMYFUNCTION("""COMPUTED_VALUE"""),1.367E8)</f>
        <v>136700000</v>
      </c>
      <c r="AY1221" s="14">
        <f>IFERROR(__xludf.DUMMYFUNCTION("""COMPUTED_VALUE"""),1.1)</f>
        <v>1.1</v>
      </c>
      <c r="AZ1221" s="14">
        <f>IFERROR(__xludf.DUMMYFUNCTION("""COMPUTED_VALUE"""),0.007)</f>
        <v>0.007</v>
      </c>
      <c r="BA1221" s="14">
        <f t="shared" si="1"/>
        <v>36.407</v>
      </c>
    </row>
    <row r="1222" ht="14.25" customHeight="1">
      <c r="A1222" s="10" t="str">
        <f>IFERROR(__xludf.DUMMYFUNCTION("""COMPUTED_VALUE"""),"111024DU03")</f>
        <v>111024DU03</v>
      </c>
      <c r="B1222" s="12" t="str">
        <f>IFERROR(__xludf.DUMMYFUNCTION("""COMPUTED_VALUE"""),"QSL-Portal Usme")</f>
        <v>QSL-Portal Usme</v>
      </c>
      <c r="C1222" s="12"/>
      <c r="D1222" s="12"/>
      <c r="E1222" s="44">
        <f>IFERROR(__xludf.DUMMYFUNCTION("""COMPUTED_VALUE"""),45576.0)</f>
        <v>45576</v>
      </c>
      <c r="F1222" s="12" t="str">
        <f>IFERROR(__xludf.DUMMYFUNCTION("""COMPUTED_VALUE"""),"TIPO I")</f>
        <v>TIPO I</v>
      </c>
      <c r="G1222" s="12" t="str">
        <f>IFERROR(__xludf.DUMMYFUNCTION("""COMPUTED_VALUE"""),"Durante el monitoreo se percibe olor y se observa color. 
Altitud: 2587 msnm")</f>
        <v>Durante el monitoreo se percibe olor y se observa color. 
Altitud: 2587 msnm</v>
      </c>
      <c r="H1222" s="45">
        <f>IFERROR(__xludf.DUMMYFUNCTION("""COMPUTED_VALUE"""),0.6666666666678793)</f>
        <v>0.6666666667</v>
      </c>
      <c r="I1222" s="45">
        <f>IFERROR(__xludf.DUMMYFUNCTION("""COMPUTED_VALUE"""),0.75)</f>
        <v>0.75</v>
      </c>
      <c r="J1222" s="12">
        <f>IFERROR(__xludf.DUMMYFUNCTION("""COMPUTED_VALUE"""),1.95)</f>
        <v>1.95</v>
      </c>
      <c r="K1222" s="12">
        <f>IFERROR(__xludf.DUMMYFUNCTION("""COMPUTED_VALUE"""),0.17)</f>
        <v>0.17</v>
      </c>
      <c r="L1222" s="14">
        <f>IFERROR(__xludf.DUMMYFUNCTION("""COMPUTED_VALUE"""),95.488)</f>
        <v>95.488</v>
      </c>
      <c r="M1222" s="14">
        <f>IFERROR(__xludf.DUMMYFUNCTION("""COMPUTED_VALUE"""),94.842)</f>
        <v>94.842</v>
      </c>
      <c r="N1222" s="14">
        <f>IFERROR(__xludf.DUMMYFUNCTION("""COMPUTED_VALUE"""),95.026)</f>
        <v>95.026</v>
      </c>
      <c r="O1222" s="14">
        <f>IFERROR(__xludf.DUMMYFUNCTION("""COMPUTED_VALUE"""),94.927)</f>
        <v>94.927</v>
      </c>
      <c r="P1222" s="14">
        <f>IFERROR(__xludf.DUMMYFUNCTION("""COMPUTED_VALUE"""),95.127)</f>
        <v>95.127</v>
      </c>
      <c r="Q1222" s="14">
        <f>IFERROR(__xludf.DUMMYFUNCTION("""COMPUTED_VALUE"""),95.082)</f>
        <v>95.082</v>
      </c>
      <c r="R1222" s="48">
        <f>IFERROR(__xludf.DUMMYFUNCTION("""COMPUTED_VALUE"""),8.19)</f>
        <v>8.19</v>
      </c>
      <c r="S1222" s="48">
        <f>IFERROR(__xludf.DUMMYFUNCTION("""COMPUTED_VALUE"""),8.16)</f>
        <v>8.16</v>
      </c>
      <c r="T1222" s="48">
        <f>IFERROR(__xludf.DUMMYFUNCTION("""COMPUTED_VALUE"""),8.23)</f>
        <v>8.23</v>
      </c>
      <c r="U1222" s="48">
        <f>IFERROR(__xludf.DUMMYFUNCTION("""COMPUTED_VALUE"""),8.21)</f>
        <v>8.21</v>
      </c>
      <c r="V1222" s="48">
        <f>IFERROR(__xludf.DUMMYFUNCTION("""COMPUTED_VALUE"""),8.17)</f>
        <v>8.17</v>
      </c>
      <c r="W1222" s="14">
        <f>IFERROR(__xludf.DUMMYFUNCTION("""COMPUTED_VALUE"""),8.192000000000002)</f>
        <v>8.192</v>
      </c>
      <c r="X1222" s="14">
        <f>IFERROR(__xludf.DUMMYFUNCTION("""COMPUTED_VALUE"""),16.2)</f>
        <v>16.2</v>
      </c>
      <c r="Y1222" s="14">
        <f>IFERROR(__xludf.DUMMYFUNCTION("""COMPUTED_VALUE"""),16.0)</f>
        <v>16</v>
      </c>
      <c r="Z1222" s="14">
        <f>IFERROR(__xludf.DUMMYFUNCTION("""COMPUTED_VALUE"""),16.0)</f>
        <v>16</v>
      </c>
      <c r="AA1222" s="14">
        <f>IFERROR(__xludf.DUMMYFUNCTION("""COMPUTED_VALUE"""),16.2)</f>
        <v>16.2</v>
      </c>
      <c r="AB1222" s="14">
        <f>IFERROR(__xludf.DUMMYFUNCTION("""COMPUTED_VALUE"""),16.1)</f>
        <v>16.1</v>
      </c>
      <c r="AC1222" s="14">
        <f>IFERROR(__xludf.DUMMYFUNCTION("""COMPUTED_VALUE"""),16.1)</f>
        <v>16.1</v>
      </c>
      <c r="AD1222" s="48">
        <f>IFERROR(__xludf.DUMMYFUNCTION("""COMPUTED_VALUE"""),359.0)</f>
        <v>359</v>
      </c>
      <c r="AE1222" s="48">
        <f>IFERROR(__xludf.DUMMYFUNCTION("""COMPUTED_VALUE"""),361.0)</f>
        <v>361</v>
      </c>
      <c r="AF1222" s="48">
        <f>IFERROR(__xludf.DUMMYFUNCTION("""COMPUTED_VALUE"""),362.0)</f>
        <v>362</v>
      </c>
      <c r="AG1222" s="48">
        <f>IFERROR(__xludf.DUMMYFUNCTION("""COMPUTED_VALUE"""),361.0)</f>
        <v>361</v>
      </c>
      <c r="AH1222" s="48">
        <f>IFERROR(__xludf.DUMMYFUNCTION("""COMPUTED_VALUE"""),365.0)</f>
        <v>365</v>
      </c>
      <c r="AI1222" s="14">
        <f>IFERROR(__xludf.DUMMYFUNCTION("""COMPUTED_VALUE"""),361.6)</f>
        <v>361.6</v>
      </c>
      <c r="AJ1222" s="14">
        <f>IFERROR(__xludf.DUMMYFUNCTION("""COMPUTED_VALUE"""),1.95)</f>
        <v>1.95</v>
      </c>
      <c r="AK1222" s="14">
        <f>IFERROR(__xludf.DUMMYFUNCTION("""COMPUTED_VALUE"""),2.0)</f>
        <v>2</v>
      </c>
      <c r="AL1222" s="14">
        <f>IFERROR(__xludf.DUMMYFUNCTION("""COMPUTED_VALUE"""),1.72)</f>
        <v>1.72</v>
      </c>
      <c r="AM1222" s="14">
        <f>IFERROR(__xludf.DUMMYFUNCTION("""COMPUTED_VALUE"""),1.73)</f>
        <v>1.73</v>
      </c>
      <c r="AN1222" s="14">
        <f>IFERROR(__xludf.DUMMYFUNCTION("""COMPUTED_VALUE"""),1.64)</f>
        <v>1.64</v>
      </c>
      <c r="AO1222" s="14">
        <f>IFERROR(__xludf.DUMMYFUNCTION("""COMPUTED_VALUE"""),1.8080000000000003)</f>
        <v>1.808</v>
      </c>
      <c r="AP1222" s="14">
        <f>IFERROR(__xludf.DUMMYFUNCTION("""COMPUTED_VALUE"""),35.0)</f>
        <v>35</v>
      </c>
      <c r="AQ1222" s="14">
        <f>IFERROR(__xludf.DUMMYFUNCTION("""COMPUTED_VALUE"""),73.0)</f>
        <v>73</v>
      </c>
      <c r="AR1222" s="14">
        <f>IFERROR(__xludf.DUMMYFUNCTION("""COMPUTED_VALUE"""),36.0)</f>
        <v>36</v>
      </c>
      <c r="AS1222" s="14">
        <f>IFERROR(__xludf.DUMMYFUNCTION("""COMPUTED_VALUE"""),14.5)</f>
        <v>14.5</v>
      </c>
      <c r="AT1222" s="14">
        <f>IFERROR(__xludf.DUMMYFUNCTION("""COMPUTED_VALUE"""),1.88)</f>
        <v>1.88</v>
      </c>
      <c r="AU1222" s="14">
        <f>IFERROR(__xludf.DUMMYFUNCTION("""COMPUTED_VALUE"""),1.539E8)</f>
        <v>153900000</v>
      </c>
      <c r="AV1222" s="14">
        <f>IFERROR(__xludf.DUMMYFUNCTION("""COMPUTED_VALUE"""),1.22)</f>
        <v>1.22</v>
      </c>
      <c r="AW1222" s="14">
        <f>IFERROR(__xludf.DUMMYFUNCTION("""COMPUTED_VALUE"""),18.5)</f>
        <v>18.5</v>
      </c>
      <c r="AX1222" s="14">
        <f>IFERROR(__xludf.DUMMYFUNCTION("""COMPUTED_VALUE"""),1.421E8)</f>
        <v>142100000</v>
      </c>
      <c r="AY1222" s="14">
        <f>IFERROR(__xludf.DUMMYFUNCTION("""COMPUTED_VALUE"""),0.3)</f>
        <v>0.3</v>
      </c>
      <c r="AZ1222" s="14">
        <f>IFERROR(__xludf.DUMMYFUNCTION("""COMPUTED_VALUE"""),0.007)</f>
        <v>0.007</v>
      </c>
      <c r="BA1222" s="14">
        <f t="shared" si="1"/>
        <v>18.807</v>
      </c>
    </row>
    <row r="1223" ht="14.25" customHeight="1">
      <c r="A1223" s="10" t="str">
        <f>IFERROR(__xludf.DUMMYFUNCTION("""COMPUTED_VALUE"""),"111024AN03")</f>
        <v>111024AN03</v>
      </c>
      <c r="B1223" s="12" t="str">
        <f>IFERROR(__xludf.DUMMYFUNCTION("""COMPUTED_VALUE"""),"COR-Prado Veraniego")</f>
        <v>COR-Prado Veraniego</v>
      </c>
      <c r="C1223" s="12"/>
      <c r="D1223" s="12"/>
      <c r="E1223" s="44">
        <f>IFERROR(__xludf.DUMMYFUNCTION("""COMPUTED_VALUE"""),45576.0)</f>
        <v>45576</v>
      </c>
      <c r="F1223" s="12" t="str">
        <f>IFERROR(__xludf.DUMMYFUNCTION("""COMPUTED_VALUE"""),"TIPO I")</f>
        <v>TIPO I</v>
      </c>
      <c r="G1223" s="12" t="str">
        <f>IFERROR(__xludf.DUMMYFUNCTION("""COMPUTED_VALUE"""),"Durante el monitoreo no se percibe olor y se observa color.
Altitud 2554 msnm")</f>
        <v>Durante el monitoreo no se percibe olor y se observa color.
Altitud 2554 msnm</v>
      </c>
      <c r="H1223" s="45">
        <f>IFERROR(__xludf.DUMMYFUNCTION("""COMPUTED_VALUE"""),0.6666666666678793)</f>
        <v>0.6666666667</v>
      </c>
      <c r="I1223" s="45">
        <f>IFERROR(__xludf.DUMMYFUNCTION("""COMPUTED_VALUE"""),0.75)</f>
        <v>0.75</v>
      </c>
      <c r="J1223" s="12">
        <f>IFERROR(__xludf.DUMMYFUNCTION("""COMPUTED_VALUE"""),2.9)</f>
        <v>2.9</v>
      </c>
      <c r="K1223" s="12">
        <f>IFERROR(__xludf.DUMMYFUNCTION("""COMPUTED_VALUE"""),0.12)</f>
        <v>0.12</v>
      </c>
      <c r="L1223" s="14">
        <f>IFERROR(__xludf.DUMMYFUNCTION("""COMPUTED_VALUE"""),63.885)</f>
        <v>63.885</v>
      </c>
      <c r="M1223" s="14">
        <f>IFERROR(__xludf.DUMMYFUNCTION("""COMPUTED_VALUE"""),50.963)</f>
        <v>50.963</v>
      </c>
      <c r="N1223" s="14">
        <f>IFERROR(__xludf.DUMMYFUNCTION("""COMPUTED_VALUE"""),56.049)</f>
        <v>56.049</v>
      </c>
      <c r="O1223" s="14">
        <f>IFERROR(__xludf.DUMMYFUNCTION("""COMPUTED_VALUE"""),53.203)</f>
        <v>53.203</v>
      </c>
      <c r="P1223" s="14">
        <f>IFERROR(__xludf.DUMMYFUNCTION("""COMPUTED_VALUE"""),53.944)</f>
        <v>53.944</v>
      </c>
      <c r="Q1223" s="14">
        <f>IFERROR(__xludf.DUMMYFUNCTION("""COMPUTED_VALUE"""),55.609)</f>
        <v>55.609</v>
      </c>
      <c r="R1223" s="48">
        <f>IFERROR(__xludf.DUMMYFUNCTION("""COMPUTED_VALUE"""),8.6)</f>
        <v>8.6</v>
      </c>
      <c r="S1223" s="48">
        <f>IFERROR(__xludf.DUMMYFUNCTION("""COMPUTED_VALUE"""),8.62)</f>
        <v>8.62</v>
      </c>
      <c r="T1223" s="48">
        <f>IFERROR(__xludf.DUMMYFUNCTION("""COMPUTED_VALUE"""),8.52)</f>
        <v>8.52</v>
      </c>
      <c r="U1223" s="48">
        <f>IFERROR(__xludf.DUMMYFUNCTION("""COMPUTED_VALUE"""),8.42)</f>
        <v>8.42</v>
      </c>
      <c r="V1223" s="48">
        <f>IFERROR(__xludf.DUMMYFUNCTION("""COMPUTED_VALUE"""),8.43)</f>
        <v>8.43</v>
      </c>
      <c r="W1223" s="14">
        <f>IFERROR(__xludf.DUMMYFUNCTION("""COMPUTED_VALUE"""),8.517999999999999)</f>
        <v>8.518</v>
      </c>
      <c r="X1223" s="14">
        <f>IFERROR(__xludf.DUMMYFUNCTION("""COMPUTED_VALUE"""),23.8)</f>
        <v>23.8</v>
      </c>
      <c r="Y1223" s="14">
        <f>IFERROR(__xludf.DUMMYFUNCTION("""COMPUTED_VALUE"""),23.0)</f>
        <v>23</v>
      </c>
      <c r="Z1223" s="14">
        <f>IFERROR(__xludf.DUMMYFUNCTION("""COMPUTED_VALUE"""),21.4)</f>
        <v>21.4</v>
      </c>
      <c r="AA1223" s="14">
        <f>IFERROR(__xludf.DUMMYFUNCTION("""COMPUTED_VALUE"""),20.7)</f>
        <v>20.7</v>
      </c>
      <c r="AB1223" s="14">
        <f>IFERROR(__xludf.DUMMYFUNCTION("""COMPUTED_VALUE"""),19.8)</f>
        <v>19.8</v>
      </c>
      <c r="AC1223" s="14">
        <f>IFERROR(__xludf.DUMMYFUNCTION("""COMPUTED_VALUE"""),21.74)</f>
        <v>21.74</v>
      </c>
      <c r="AD1223" s="48">
        <f>IFERROR(__xludf.DUMMYFUNCTION("""COMPUTED_VALUE"""),494.0)</f>
        <v>494</v>
      </c>
      <c r="AE1223" s="48">
        <f>IFERROR(__xludf.DUMMYFUNCTION("""COMPUTED_VALUE"""),489.0)</f>
        <v>489</v>
      </c>
      <c r="AF1223" s="48">
        <f>IFERROR(__xludf.DUMMYFUNCTION("""COMPUTED_VALUE"""),491.0)</f>
        <v>491</v>
      </c>
      <c r="AG1223" s="48">
        <f>IFERROR(__xludf.DUMMYFUNCTION("""COMPUTED_VALUE"""),473.0)</f>
        <v>473</v>
      </c>
      <c r="AH1223" s="48">
        <f>IFERROR(__xludf.DUMMYFUNCTION("""COMPUTED_VALUE"""),486.0)</f>
        <v>486</v>
      </c>
      <c r="AI1223" s="14">
        <f>IFERROR(__xludf.DUMMYFUNCTION("""COMPUTED_VALUE"""),486.6)</f>
        <v>486.6</v>
      </c>
      <c r="AJ1223" s="14">
        <f>IFERROR(__xludf.DUMMYFUNCTION("""COMPUTED_VALUE"""),5.4)</f>
        <v>5.4</v>
      </c>
      <c r="AK1223" s="14">
        <f>IFERROR(__xludf.DUMMYFUNCTION("""COMPUTED_VALUE"""),4.8)</f>
        <v>4.8</v>
      </c>
      <c r="AL1223" s="14">
        <f>IFERROR(__xludf.DUMMYFUNCTION("""COMPUTED_VALUE"""),4.5)</f>
        <v>4.5</v>
      </c>
      <c r="AM1223" s="14">
        <f>IFERROR(__xludf.DUMMYFUNCTION("""COMPUTED_VALUE"""),4.2)</f>
        <v>4.2</v>
      </c>
      <c r="AN1223" s="14">
        <f>IFERROR(__xludf.DUMMYFUNCTION("""COMPUTED_VALUE"""),4.4)</f>
        <v>4.4</v>
      </c>
      <c r="AO1223" s="14">
        <f>IFERROR(__xludf.DUMMYFUNCTION("""COMPUTED_VALUE"""),4.659999999999999)</f>
        <v>4.66</v>
      </c>
      <c r="AP1223" s="14">
        <f>IFERROR(__xludf.DUMMYFUNCTION("""COMPUTED_VALUE"""),12.0)</f>
        <v>12</v>
      </c>
      <c r="AQ1223" s="14">
        <f>IFERROR(__xludf.DUMMYFUNCTION("""COMPUTED_VALUE"""),69.0)</f>
        <v>69</v>
      </c>
      <c r="AR1223" s="14">
        <f>IFERROR(__xludf.DUMMYFUNCTION("""COMPUTED_VALUE"""),20.0)</f>
        <v>20</v>
      </c>
      <c r="AS1223" s="14">
        <f>IFERROR(__xludf.DUMMYFUNCTION("""COMPUTED_VALUE"""),9.3)</f>
        <v>9.3</v>
      </c>
      <c r="AT1223" s="14">
        <f>IFERROR(__xludf.DUMMYFUNCTION("""COMPUTED_VALUE"""),1.67)</f>
        <v>1.67</v>
      </c>
      <c r="AU1223" s="14">
        <f>IFERROR(__xludf.DUMMYFUNCTION("""COMPUTED_VALUE"""),1.559E8)</f>
        <v>155900000</v>
      </c>
      <c r="AV1223" s="14">
        <f>IFERROR(__xludf.DUMMYFUNCTION("""COMPUTED_VALUE"""),1.38)</f>
        <v>1.38</v>
      </c>
      <c r="AW1223" s="14">
        <f>IFERROR(__xludf.DUMMYFUNCTION("""COMPUTED_VALUE"""),14.0)</f>
        <v>14</v>
      </c>
      <c r="AX1223" s="14">
        <f>IFERROR(__xludf.DUMMYFUNCTION("""COMPUTED_VALUE"""),1.408E8)</f>
        <v>140800000</v>
      </c>
      <c r="AY1223" s="14">
        <f>IFERROR(__xludf.DUMMYFUNCTION("""COMPUTED_VALUE"""),0.7)</f>
        <v>0.7</v>
      </c>
      <c r="AZ1223" s="14">
        <f>IFERROR(__xludf.DUMMYFUNCTION("""COMPUTED_VALUE"""),0.471)</f>
        <v>0.471</v>
      </c>
      <c r="BA1223" s="14">
        <f t="shared" si="1"/>
        <v>15.171</v>
      </c>
    </row>
    <row r="1224" ht="14.25" customHeight="1">
      <c r="A1224" s="10" t="str">
        <f>IFERROR(__xludf.DUMMYFUNCTION("""COMPUTED_VALUE"""),"081024FM04")</f>
        <v>081024FM04</v>
      </c>
      <c r="B1224" s="12" t="str">
        <f>IFERROR(__xludf.DUMMYFUNCTION("""COMPUTED_VALUE"""),"CMO-Santa Ana")</f>
        <v>CMO-Santa Ana</v>
      </c>
      <c r="C1224" s="12"/>
      <c r="D1224" s="12"/>
      <c r="E1224" s="44">
        <f>IFERROR(__xludf.DUMMYFUNCTION("""COMPUTED_VALUE"""),45573.0)</f>
        <v>45573</v>
      </c>
      <c r="F1224" s="12" t="str">
        <f>IFERROR(__xludf.DUMMYFUNCTION("""COMPUTED_VALUE"""),"TIPO I")</f>
        <v>TIPO I</v>
      </c>
      <c r="G1224" s="12" t="str">
        <f>IFERROR(__xludf.DUMMYFUNCTION("""COMPUTED_VALUE"""),"Durante el monitoreo se percibe olor y se observa color, material en suspensión y flotante, además se observan algas. 
Altitud: 2556 msnm")</f>
        <v>Durante el monitoreo se percibe olor y se observa color, material en suspensión y flotante, además se observan algas. 
Altitud: 2556 msnm</v>
      </c>
      <c r="H1224" s="45">
        <f>IFERROR(__xludf.DUMMYFUNCTION("""COMPUTED_VALUE"""),0.6666666666678793)</f>
        <v>0.6666666667</v>
      </c>
      <c r="I1224" s="45">
        <f>IFERROR(__xludf.DUMMYFUNCTION("""COMPUTED_VALUE"""),0.75)</f>
        <v>0.75</v>
      </c>
      <c r="J1224" s="12">
        <f>IFERROR(__xludf.DUMMYFUNCTION("""COMPUTED_VALUE"""),3.5)</f>
        <v>3.5</v>
      </c>
      <c r="K1224" s="12">
        <f>IFERROR(__xludf.DUMMYFUNCTION("""COMPUTED_VALUE"""),0.13)</f>
        <v>0.13</v>
      </c>
      <c r="L1224" s="14">
        <f>IFERROR(__xludf.DUMMYFUNCTION("""COMPUTED_VALUE"""),156.792)</f>
        <v>156.792</v>
      </c>
      <c r="M1224" s="14">
        <f>IFERROR(__xludf.DUMMYFUNCTION("""COMPUTED_VALUE"""),165.441)</f>
        <v>165.441</v>
      </c>
      <c r="N1224" s="14">
        <f>IFERROR(__xludf.DUMMYFUNCTION("""COMPUTED_VALUE"""),160.045)</f>
        <v>160.045</v>
      </c>
      <c r="O1224" s="14">
        <f>IFERROR(__xludf.DUMMYFUNCTION("""COMPUTED_VALUE"""),167.137)</f>
        <v>167.137</v>
      </c>
      <c r="P1224" s="14">
        <f>IFERROR(__xludf.DUMMYFUNCTION("""COMPUTED_VALUE"""),164.461)</f>
        <v>164.461</v>
      </c>
      <c r="Q1224" s="14">
        <f>IFERROR(__xludf.DUMMYFUNCTION("""COMPUTED_VALUE"""),162.775)</f>
        <v>162.775</v>
      </c>
      <c r="R1224" s="48">
        <f>IFERROR(__xludf.DUMMYFUNCTION("""COMPUTED_VALUE"""),8.42)</f>
        <v>8.42</v>
      </c>
      <c r="S1224" s="48">
        <f>IFERROR(__xludf.DUMMYFUNCTION("""COMPUTED_VALUE"""),8.43)</f>
        <v>8.43</v>
      </c>
      <c r="T1224" s="48">
        <f>IFERROR(__xludf.DUMMYFUNCTION("""COMPUTED_VALUE"""),8.44)</f>
        <v>8.44</v>
      </c>
      <c r="U1224" s="48">
        <f>IFERROR(__xludf.DUMMYFUNCTION("""COMPUTED_VALUE"""),8.44)</f>
        <v>8.44</v>
      </c>
      <c r="V1224" s="48">
        <f>IFERROR(__xludf.DUMMYFUNCTION("""COMPUTED_VALUE"""),8.42)</f>
        <v>8.42</v>
      </c>
      <c r="W1224" s="14">
        <f>IFERROR(__xludf.DUMMYFUNCTION("""COMPUTED_VALUE"""),8.43)</f>
        <v>8.43</v>
      </c>
      <c r="X1224" s="14">
        <f>IFERROR(__xludf.DUMMYFUNCTION("""COMPUTED_VALUE"""),17.3)</f>
        <v>17.3</v>
      </c>
      <c r="Y1224" s="14">
        <f>IFERROR(__xludf.DUMMYFUNCTION("""COMPUTED_VALUE"""),16.8)</f>
        <v>16.8</v>
      </c>
      <c r="Z1224" s="14">
        <f>IFERROR(__xludf.DUMMYFUNCTION("""COMPUTED_VALUE"""),16.9)</f>
        <v>16.9</v>
      </c>
      <c r="AA1224" s="14">
        <f>IFERROR(__xludf.DUMMYFUNCTION("""COMPUTED_VALUE"""),16.7)</f>
        <v>16.7</v>
      </c>
      <c r="AB1224" s="14">
        <f>IFERROR(__xludf.DUMMYFUNCTION("""COMPUTED_VALUE"""),16.8)</f>
        <v>16.8</v>
      </c>
      <c r="AC1224" s="14">
        <f>IFERROR(__xludf.DUMMYFUNCTION("""COMPUTED_VALUE"""),16.9)</f>
        <v>16.9</v>
      </c>
      <c r="AD1224" s="48">
        <f>IFERROR(__xludf.DUMMYFUNCTION("""COMPUTED_VALUE"""),492.0)</f>
        <v>492</v>
      </c>
      <c r="AE1224" s="48">
        <f>IFERROR(__xludf.DUMMYFUNCTION("""COMPUTED_VALUE"""),498.0)</f>
        <v>498</v>
      </c>
      <c r="AF1224" s="48">
        <f>IFERROR(__xludf.DUMMYFUNCTION("""COMPUTED_VALUE"""),507.0)</f>
        <v>507</v>
      </c>
      <c r="AG1224" s="48">
        <f>IFERROR(__xludf.DUMMYFUNCTION("""COMPUTED_VALUE"""),513.0)</f>
        <v>513</v>
      </c>
      <c r="AH1224" s="48">
        <f>IFERROR(__xludf.DUMMYFUNCTION("""COMPUTED_VALUE"""),513.0)</f>
        <v>513</v>
      </c>
      <c r="AI1224" s="14">
        <f>IFERROR(__xludf.DUMMYFUNCTION("""COMPUTED_VALUE"""),504.6)</f>
        <v>504.6</v>
      </c>
      <c r="AJ1224" s="14">
        <f>IFERROR(__xludf.DUMMYFUNCTION("""COMPUTED_VALUE"""),2.18)</f>
        <v>2.18</v>
      </c>
      <c r="AK1224" s="14">
        <f>IFERROR(__xludf.DUMMYFUNCTION("""COMPUTED_VALUE"""),2.57)</f>
        <v>2.57</v>
      </c>
      <c r="AL1224" s="14">
        <f>IFERROR(__xludf.DUMMYFUNCTION("""COMPUTED_VALUE"""),2.41)</f>
        <v>2.41</v>
      </c>
      <c r="AM1224" s="14">
        <f>IFERROR(__xludf.DUMMYFUNCTION("""COMPUTED_VALUE"""),2.53)</f>
        <v>2.53</v>
      </c>
      <c r="AN1224" s="14">
        <f>IFERROR(__xludf.DUMMYFUNCTION("""COMPUTED_VALUE"""),2.29)</f>
        <v>2.29</v>
      </c>
      <c r="AO1224" s="14">
        <f>IFERROR(__xludf.DUMMYFUNCTION("""COMPUTED_VALUE"""),2.396)</f>
        <v>2.396</v>
      </c>
      <c r="AP1224" s="14">
        <f>IFERROR(__xludf.DUMMYFUNCTION("""COMPUTED_VALUE"""),33.0)</f>
        <v>33</v>
      </c>
      <c r="AQ1224" s="14">
        <f>IFERROR(__xludf.DUMMYFUNCTION("""COMPUTED_VALUE"""),118.0)</f>
        <v>118</v>
      </c>
      <c r="AR1224" s="14">
        <f>IFERROR(__xludf.DUMMYFUNCTION("""COMPUTED_VALUE"""),36.0)</f>
        <v>36</v>
      </c>
      <c r="AS1224" s="14">
        <f>IFERROR(__xludf.DUMMYFUNCTION("""COMPUTED_VALUE"""),23.0)</f>
        <v>23</v>
      </c>
      <c r="AT1224" s="14">
        <f>IFERROR(__xludf.DUMMYFUNCTION("""COMPUTED_VALUE"""),1.85)</f>
        <v>1.85</v>
      </c>
      <c r="AU1224" s="14">
        <f>IFERROR(__xludf.DUMMYFUNCTION("""COMPUTED_VALUE"""),9.88E7)</f>
        <v>98800000</v>
      </c>
      <c r="AV1224" s="14">
        <f>IFERROR(__xludf.DUMMYFUNCTION("""COMPUTED_VALUE"""),0.63)</f>
        <v>0.63</v>
      </c>
      <c r="AW1224" s="14">
        <f>IFERROR(__xludf.DUMMYFUNCTION("""COMPUTED_VALUE"""),3.4)</f>
        <v>3.4</v>
      </c>
      <c r="AX1224" s="14">
        <f>IFERROR(__xludf.DUMMYFUNCTION("""COMPUTED_VALUE"""),6.63E7)</f>
        <v>66300000</v>
      </c>
      <c r="AY1224" s="14">
        <f>IFERROR(__xludf.DUMMYFUNCTION("""COMPUTED_VALUE"""),0.8)</f>
        <v>0.8</v>
      </c>
      <c r="AZ1224" s="14">
        <f>IFERROR(__xludf.DUMMYFUNCTION("""COMPUTED_VALUE"""),0.007)</f>
        <v>0.007</v>
      </c>
      <c r="BA1224" s="14">
        <f t="shared" si="1"/>
        <v>4.207</v>
      </c>
    </row>
    <row r="1225" ht="14.25" customHeight="1">
      <c r="A1225" s="10" t="str">
        <f>IFERROR(__xludf.DUMMYFUNCTION("""COMPUTED_VALUE"""),"081024FM03")</f>
        <v>081024FM03</v>
      </c>
      <c r="B1225" s="12" t="str">
        <f>IFERROR(__xludf.DUMMYFUNCTION("""COMPUTED_VALUE"""),"CMO-Cantón Norte")</f>
        <v>CMO-Cantón Norte</v>
      </c>
      <c r="C1225" s="12"/>
      <c r="D1225" s="12"/>
      <c r="E1225" s="44">
        <f>IFERROR(__xludf.DUMMYFUNCTION("""COMPUTED_VALUE"""),45573.0)</f>
        <v>45573</v>
      </c>
      <c r="F1225" s="12" t="str">
        <f>IFERROR(__xludf.DUMMYFUNCTION("""COMPUTED_VALUE"""),"TIPO I")</f>
        <v>TIPO I</v>
      </c>
      <c r="G1225" s="12" t="str">
        <f>IFERROR(__xludf.DUMMYFUNCTION("""COMPUTED_VALUE"""),"Durante el desarrollo del monitoreo no se percibe olor, ni se observa color, se observan espumas en la superficie del agua.  En las margenes del canal se encuentra personal del acueducto realizando actividades de limpieza del canal. 
Altitud. 2619 msnm ")</f>
        <v>Durante el desarrollo del monitoreo no se percibe olor, ni se observa color, se observan espumas en la superficie del agua.  En las margenes del canal se encuentra personal del acueducto realizando actividades de limpieza del canal. 
Altitud. 2619 msnm </v>
      </c>
      <c r="H1225" s="45">
        <f>IFERROR(__xludf.DUMMYFUNCTION("""COMPUTED_VALUE"""),0.5)</f>
        <v>0.5</v>
      </c>
      <c r="I1225" s="45">
        <f>IFERROR(__xludf.DUMMYFUNCTION("""COMPUTED_VALUE"""),0.5833333333321207)</f>
        <v>0.5833333333</v>
      </c>
      <c r="J1225" s="12">
        <f>IFERROR(__xludf.DUMMYFUNCTION("""COMPUTED_VALUE"""),1.8)</f>
        <v>1.8</v>
      </c>
      <c r="K1225" s="12">
        <f>IFERROR(__xludf.DUMMYFUNCTION("""COMPUTED_VALUE"""),0.11)</f>
        <v>0.11</v>
      </c>
      <c r="L1225" s="14">
        <f>IFERROR(__xludf.DUMMYFUNCTION("""COMPUTED_VALUE"""),79.19)</f>
        <v>79.19</v>
      </c>
      <c r="M1225" s="14">
        <f>IFERROR(__xludf.DUMMYFUNCTION("""COMPUTED_VALUE"""),83.025)</f>
        <v>83.025</v>
      </c>
      <c r="N1225" s="14">
        <f>IFERROR(__xludf.DUMMYFUNCTION("""COMPUTED_VALUE"""),87.543)</f>
        <v>87.543</v>
      </c>
      <c r="O1225" s="14">
        <f>IFERROR(__xludf.DUMMYFUNCTION("""COMPUTED_VALUE"""),87.476)</f>
        <v>87.476</v>
      </c>
      <c r="P1225" s="14">
        <f>IFERROR(__xludf.DUMMYFUNCTION("""COMPUTED_VALUE"""),87.854)</f>
        <v>87.854</v>
      </c>
      <c r="Q1225" s="14">
        <f>IFERROR(__xludf.DUMMYFUNCTION("""COMPUTED_VALUE"""),85.018)</f>
        <v>85.018</v>
      </c>
      <c r="R1225" s="48">
        <f>IFERROR(__xludf.DUMMYFUNCTION("""COMPUTED_VALUE"""),8.4)</f>
        <v>8.4</v>
      </c>
      <c r="S1225" s="48">
        <f>IFERROR(__xludf.DUMMYFUNCTION("""COMPUTED_VALUE"""),8.49)</f>
        <v>8.49</v>
      </c>
      <c r="T1225" s="48">
        <f>IFERROR(__xludf.DUMMYFUNCTION("""COMPUTED_VALUE"""),8.5)</f>
        <v>8.5</v>
      </c>
      <c r="U1225" s="48">
        <f>IFERROR(__xludf.DUMMYFUNCTION("""COMPUTED_VALUE"""),8.51)</f>
        <v>8.51</v>
      </c>
      <c r="V1225" s="48">
        <f>IFERROR(__xludf.DUMMYFUNCTION("""COMPUTED_VALUE"""),8.55)</f>
        <v>8.55</v>
      </c>
      <c r="W1225" s="14">
        <f>IFERROR(__xludf.DUMMYFUNCTION("""COMPUTED_VALUE"""),8.49)</f>
        <v>8.49</v>
      </c>
      <c r="X1225" s="14">
        <f>IFERROR(__xludf.DUMMYFUNCTION("""COMPUTED_VALUE"""),14.4)</f>
        <v>14.4</v>
      </c>
      <c r="Y1225" s="14">
        <f>IFERROR(__xludf.DUMMYFUNCTION("""COMPUTED_VALUE"""),14.1)</f>
        <v>14.1</v>
      </c>
      <c r="Z1225" s="14">
        <f>IFERROR(__xludf.DUMMYFUNCTION("""COMPUTED_VALUE"""),14.2)</f>
        <v>14.2</v>
      </c>
      <c r="AA1225" s="14">
        <f>IFERROR(__xludf.DUMMYFUNCTION("""COMPUTED_VALUE"""),14.1)</f>
        <v>14.1</v>
      </c>
      <c r="AB1225" s="14">
        <f>IFERROR(__xludf.DUMMYFUNCTION("""COMPUTED_VALUE"""),14.2)</f>
        <v>14.2</v>
      </c>
      <c r="AC1225" s="14">
        <f>IFERROR(__xludf.DUMMYFUNCTION("""COMPUTED_VALUE"""),14.2)</f>
        <v>14.2</v>
      </c>
      <c r="AD1225" s="48">
        <f>IFERROR(__xludf.DUMMYFUNCTION("""COMPUTED_VALUE"""),302.0)</f>
        <v>302</v>
      </c>
      <c r="AE1225" s="48">
        <f>IFERROR(__xludf.DUMMYFUNCTION("""COMPUTED_VALUE"""),298.0)</f>
        <v>298</v>
      </c>
      <c r="AF1225" s="48">
        <f>IFERROR(__xludf.DUMMYFUNCTION("""COMPUTED_VALUE"""),298.0)</f>
        <v>298</v>
      </c>
      <c r="AG1225" s="48">
        <f>IFERROR(__xludf.DUMMYFUNCTION("""COMPUTED_VALUE"""),310.0)</f>
        <v>310</v>
      </c>
      <c r="AH1225" s="48">
        <f>IFERROR(__xludf.DUMMYFUNCTION("""COMPUTED_VALUE"""),324.0)</f>
        <v>324</v>
      </c>
      <c r="AI1225" s="14">
        <f>IFERROR(__xludf.DUMMYFUNCTION("""COMPUTED_VALUE"""),306.4)</f>
        <v>306.4</v>
      </c>
      <c r="AJ1225" s="14">
        <f>IFERROR(__xludf.DUMMYFUNCTION("""COMPUTED_VALUE"""),6.4)</f>
        <v>6.4</v>
      </c>
      <c r="AK1225" s="14">
        <f>IFERROR(__xludf.DUMMYFUNCTION("""COMPUTED_VALUE"""),5.96)</f>
        <v>5.96</v>
      </c>
      <c r="AL1225" s="14">
        <f>IFERROR(__xludf.DUMMYFUNCTION("""COMPUTED_VALUE"""),6.0)</f>
        <v>6</v>
      </c>
      <c r="AM1225" s="14">
        <f>IFERROR(__xludf.DUMMYFUNCTION("""COMPUTED_VALUE"""),5.72)</f>
        <v>5.72</v>
      </c>
      <c r="AN1225" s="14">
        <f>IFERROR(__xludf.DUMMYFUNCTION("""COMPUTED_VALUE"""),6.23)</f>
        <v>6.23</v>
      </c>
      <c r="AO1225" s="14">
        <f>IFERROR(__xludf.DUMMYFUNCTION("""COMPUTED_VALUE"""),6.061999999999999)</f>
        <v>6.062</v>
      </c>
      <c r="AP1225" s="14">
        <f>IFERROR(__xludf.DUMMYFUNCTION("""COMPUTED_VALUE"""),8.0)</f>
        <v>8</v>
      </c>
      <c r="AQ1225" s="14">
        <f>IFERROR(__xludf.DUMMYFUNCTION("""COMPUTED_VALUE"""),26.0)</f>
        <v>26</v>
      </c>
      <c r="AR1225" s="14">
        <f>IFERROR(__xludf.DUMMYFUNCTION("""COMPUTED_VALUE"""),8.0)</f>
        <v>8</v>
      </c>
      <c r="AS1225" s="14">
        <f>IFERROR(__xludf.DUMMYFUNCTION("""COMPUTED_VALUE"""),12.4)</f>
        <v>12.4</v>
      </c>
      <c r="AT1225" s="14">
        <f>IFERROR(__xludf.DUMMYFUNCTION("""COMPUTED_VALUE"""),1.25)</f>
        <v>1.25</v>
      </c>
      <c r="AU1225" s="14">
        <f>IFERROR(__xludf.DUMMYFUNCTION("""COMPUTED_VALUE"""),1.661E7)</f>
        <v>16610000</v>
      </c>
      <c r="AV1225" s="14">
        <f>IFERROR(__xludf.DUMMYFUNCTION("""COMPUTED_VALUE"""),2.01)</f>
        <v>2.01</v>
      </c>
      <c r="AW1225" s="14">
        <f>IFERROR(__xludf.DUMMYFUNCTION("""COMPUTED_VALUE"""),17.4)</f>
        <v>17.4</v>
      </c>
      <c r="AX1225" s="14">
        <f>IFERROR(__xludf.DUMMYFUNCTION("""COMPUTED_VALUE"""),1.395E7)</f>
        <v>13950000</v>
      </c>
      <c r="AY1225" s="14">
        <f>IFERROR(__xludf.DUMMYFUNCTION("""COMPUTED_VALUE"""),1.0)</f>
        <v>1</v>
      </c>
      <c r="AZ1225" s="14">
        <f>IFERROR(__xludf.DUMMYFUNCTION("""COMPUTED_VALUE"""),0.109)</f>
        <v>0.109</v>
      </c>
      <c r="BA1225" s="14">
        <f t="shared" si="1"/>
        <v>18.509</v>
      </c>
    </row>
    <row r="1226" ht="14.25" customHeight="1">
      <c r="A1226" s="10"/>
      <c r="B1226" s="12"/>
      <c r="C1226" s="12"/>
      <c r="D1226" s="12"/>
      <c r="E1226" s="44"/>
      <c r="F1226" s="12"/>
      <c r="G1226" s="12"/>
      <c r="H1226" s="45"/>
      <c r="I1226" s="45"/>
      <c r="J1226" s="12"/>
      <c r="K1226" s="12"/>
      <c r="L1226" s="14"/>
      <c r="M1226" s="14"/>
      <c r="N1226" s="14"/>
      <c r="O1226" s="14"/>
      <c r="P1226" s="14"/>
      <c r="Q1226" s="14"/>
      <c r="R1226" s="48"/>
      <c r="S1226" s="48"/>
      <c r="T1226" s="48"/>
      <c r="U1226" s="48"/>
      <c r="V1226" s="48"/>
      <c r="W1226" s="14"/>
      <c r="X1226" s="14"/>
      <c r="Y1226" s="14"/>
      <c r="Z1226" s="14"/>
      <c r="AA1226" s="14"/>
      <c r="AB1226" s="14"/>
      <c r="AC1226" s="14"/>
      <c r="AD1226" s="48"/>
      <c r="AE1226" s="48"/>
      <c r="AF1226" s="48"/>
      <c r="AG1226" s="48"/>
      <c r="AH1226" s="48"/>
      <c r="AI1226" s="14"/>
      <c r="AJ1226" s="14"/>
      <c r="AK1226" s="14"/>
      <c r="AL1226" s="14"/>
      <c r="AM1226" s="14"/>
      <c r="AN1226" s="14"/>
      <c r="AO1226" s="14"/>
      <c r="AP1226" s="14"/>
      <c r="AQ1226" s="14"/>
      <c r="AR1226" s="14"/>
      <c r="AS1226" s="14"/>
      <c r="AT1226" s="14"/>
      <c r="AU1226" s="14"/>
      <c r="AV1226" s="14"/>
      <c r="AW1226" s="14"/>
      <c r="AX1226" s="14"/>
      <c r="AY1226" s="14"/>
      <c r="AZ1226" s="14"/>
      <c r="BA1226" s="14">
        <f t="shared" si="1"/>
        <v>0</v>
      </c>
    </row>
    <row r="1227" ht="14.25" customHeight="1">
      <c r="A1227" s="10"/>
      <c r="B1227" s="12"/>
      <c r="C1227" s="12"/>
      <c r="D1227" s="12"/>
      <c r="E1227" s="44"/>
      <c r="F1227" s="12"/>
      <c r="G1227" s="12"/>
      <c r="H1227" s="45"/>
      <c r="I1227" s="45"/>
      <c r="J1227" s="12"/>
      <c r="K1227" s="12"/>
      <c r="L1227" s="14"/>
      <c r="M1227" s="14"/>
      <c r="N1227" s="14"/>
      <c r="O1227" s="14"/>
      <c r="P1227" s="14"/>
      <c r="Q1227" s="14"/>
      <c r="R1227" s="48"/>
      <c r="S1227" s="48"/>
      <c r="T1227" s="48"/>
      <c r="U1227" s="48"/>
      <c r="V1227" s="48"/>
      <c r="W1227" s="14"/>
      <c r="X1227" s="14"/>
      <c r="Y1227" s="14"/>
      <c r="Z1227" s="14"/>
      <c r="AA1227" s="14"/>
      <c r="AB1227" s="14"/>
      <c r="AC1227" s="14"/>
      <c r="AD1227" s="48"/>
      <c r="AE1227" s="48"/>
      <c r="AF1227" s="48"/>
      <c r="AG1227" s="48"/>
      <c r="AH1227" s="48"/>
      <c r="AI1227" s="14"/>
      <c r="AJ1227" s="14"/>
      <c r="AK1227" s="14"/>
      <c r="AL1227" s="14"/>
      <c r="AM1227" s="14"/>
      <c r="AN1227" s="14"/>
      <c r="AO1227" s="14"/>
      <c r="AP1227" s="14"/>
      <c r="AQ1227" s="14"/>
      <c r="AR1227" s="14"/>
      <c r="AS1227" s="14"/>
      <c r="AT1227" s="14"/>
      <c r="AU1227" s="14"/>
      <c r="AV1227" s="14"/>
      <c r="AW1227" s="14"/>
      <c r="AX1227" s="14"/>
      <c r="AY1227" s="14"/>
      <c r="AZ1227" s="14"/>
      <c r="BA1227" s="14">
        <f t="shared" si="1"/>
        <v>0</v>
      </c>
    </row>
    <row r="1228" ht="14.25" customHeight="1">
      <c r="A1228" s="10"/>
      <c r="B1228" s="12"/>
      <c r="C1228" s="12"/>
      <c r="D1228" s="12"/>
      <c r="E1228" s="44"/>
      <c r="F1228" s="12"/>
      <c r="G1228" s="12"/>
      <c r="H1228" s="45"/>
      <c r="I1228" s="45"/>
      <c r="J1228" s="12"/>
      <c r="K1228" s="12"/>
      <c r="L1228" s="14"/>
      <c r="M1228" s="14"/>
      <c r="N1228" s="14"/>
      <c r="O1228" s="14"/>
      <c r="P1228" s="14"/>
      <c r="Q1228" s="14"/>
      <c r="R1228" s="48"/>
      <c r="S1228" s="48"/>
      <c r="T1228" s="48"/>
      <c r="U1228" s="48"/>
      <c r="V1228" s="48"/>
      <c r="W1228" s="14"/>
      <c r="X1228" s="14"/>
      <c r="Y1228" s="14"/>
      <c r="Z1228" s="14"/>
      <c r="AA1228" s="14"/>
      <c r="AB1228" s="14"/>
      <c r="AC1228" s="14"/>
      <c r="AD1228" s="48"/>
      <c r="AE1228" s="48"/>
      <c r="AF1228" s="48"/>
      <c r="AG1228" s="48"/>
      <c r="AH1228" s="48"/>
      <c r="AI1228" s="14"/>
      <c r="AJ1228" s="14"/>
      <c r="AK1228" s="14"/>
      <c r="AL1228" s="14"/>
      <c r="AM1228" s="14"/>
      <c r="AN1228" s="14"/>
      <c r="AO1228" s="14"/>
      <c r="AP1228" s="14"/>
      <c r="AQ1228" s="14"/>
      <c r="AR1228" s="14"/>
      <c r="AS1228" s="14"/>
      <c r="AT1228" s="14"/>
      <c r="AU1228" s="14"/>
      <c r="AV1228" s="14"/>
      <c r="AW1228" s="14"/>
      <c r="AX1228" s="14"/>
      <c r="AY1228" s="14"/>
      <c r="AZ1228" s="14"/>
      <c r="BA1228" s="14">
        <f t="shared" si="1"/>
        <v>0</v>
      </c>
    </row>
    <row r="1229" ht="14.25" customHeight="1">
      <c r="A1229" s="10"/>
      <c r="B1229" s="12"/>
      <c r="C1229" s="12"/>
      <c r="D1229" s="12"/>
      <c r="E1229" s="44"/>
      <c r="F1229" s="12"/>
      <c r="G1229" s="12"/>
      <c r="H1229" s="45"/>
      <c r="I1229" s="45"/>
      <c r="J1229" s="12"/>
      <c r="K1229" s="12"/>
      <c r="L1229" s="14"/>
      <c r="M1229" s="14"/>
      <c r="N1229" s="14"/>
      <c r="O1229" s="14"/>
      <c r="P1229" s="14"/>
      <c r="Q1229" s="14"/>
      <c r="R1229" s="48"/>
      <c r="S1229" s="48"/>
      <c r="T1229" s="48"/>
      <c r="U1229" s="48"/>
      <c r="V1229" s="48"/>
      <c r="W1229" s="14"/>
      <c r="X1229" s="14"/>
      <c r="Y1229" s="14"/>
      <c r="Z1229" s="14"/>
      <c r="AA1229" s="14"/>
      <c r="AB1229" s="14"/>
      <c r="AC1229" s="14"/>
      <c r="AD1229" s="48"/>
      <c r="AE1229" s="48"/>
      <c r="AF1229" s="48"/>
      <c r="AG1229" s="48"/>
      <c r="AH1229" s="48"/>
      <c r="AI1229" s="14"/>
      <c r="AJ1229" s="14"/>
      <c r="AK1229" s="14"/>
      <c r="AL1229" s="14"/>
      <c r="AM1229" s="14"/>
      <c r="AN1229" s="14"/>
      <c r="AO1229" s="14"/>
      <c r="AP1229" s="14"/>
      <c r="AQ1229" s="14"/>
      <c r="AR1229" s="14"/>
      <c r="AS1229" s="14"/>
      <c r="AT1229" s="14"/>
      <c r="AU1229" s="14"/>
      <c r="AV1229" s="14"/>
      <c r="AW1229" s="14"/>
      <c r="AX1229" s="14"/>
      <c r="AY1229" s="14"/>
      <c r="AZ1229" s="14"/>
      <c r="BA1229" s="14">
        <f t="shared" si="1"/>
        <v>0</v>
      </c>
    </row>
    <row r="1230" ht="14.25" customHeight="1">
      <c r="A1230" s="10"/>
      <c r="B1230" s="12"/>
      <c r="C1230" s="12"/>
      <c r="D1230" s="12"/>
      <c r="E1230" s="44"/>
      <c r="F1230" s="12"/>
      <c r="G1230" s="12"/>
      <c r="H1230" s="45"/>
      <c r="I1230" s="45"/>
      <c r="J1230" s="12"/>
      <c r="K1230" s="12"/>
      <c r="L1230" s="14"/>
      <c r="M1230" s="14"/>
      <c r="N1230" s="14"/>
      <c r="O1230" s="14"/>
      <c r="P1230" s="14"/>
      <c r="Q1230" s="14"/>
      <c r="R1230" s="48"/>
      <c r="S1230" s="48"/>
      <c r="T1230" s="48"/>
      <c r="U1230" s="48"/>
      <c r="V1230" s="48"/>
      <c r="W1230" s="14"/>
      <c r="X1230" s="14"/>
      <c r="Y1230" s="14"/>
      <c r="Z1230" s="14"/>
      <c r="AA1230" s="14"/>
      <c r="AB1230" s="14"/>
      <c r="AC1230" s="14"/>
      <c r="AD1230" s="48"/>
      <c r="AE1230" s="48"/>
      <c r="AF1230" s="48"/>
      <c r="AG1230" s="48"/>
      <c r="AH1230" s="48"/>
      <c r="AI1230" s="14"/>
      <c r="AJ1230" s="14"/>
      <c r="AK1230" s="14"/>
      <c r="AL1230" s="14"/>
      <c r="AM1230" s="14"/>
      <c r="AN1230" s="14"/>
      <c r="AO1230" s="14"/>
      <c r="AP1230" s="14"/>
      <c r="AQ1230" s="14"/>
      <c r="AR1230" s="14"/>
      <c r="AS1230" s="14"/>
      <c r="AT1230" s="14"/>
      <c r="AU1230" s="14"/>
      <c r="AV1230" s="14"/>
      <c r="AW1230" s="14"/>
      <c r="AX1230" s="14"/>
      <c r="AY1230" s="14"/>
      <c r="AZ1230" s="14"/>
      <c r="BA1230" s="14">
        <f t="shared" si="1"/>
        <v>0</v>
      </c>
    </row>
    <row r="1231" ht="14.25" customHeight="1">
      <c r="A1231" s="10"/>
      <c r="B1231" s="12"/>
      <c r="C1231" s="12"/>
      <c r="D1231" s="12"/>
      <c r="E1231" s="44"/>
      <c r="F1231" s="12"/>
      <c r="G1231" s="12"/>
      <c r="H1231" s="45"/>
      <c r="I1231" s="45"/>
      <c r="J1231" s="12"/>
      <c r="K1231" s="12"/>
      <c r="L1231" s="14"/>
      <c r="M1231" s="14"/>
      <c r="N1231" s="14"/>
      <c r="O1231" s="14"/>
      <c r="P1231" s="14"/>
      <c r="Q1231" s="14"/>
      <c r="R1231" s="48"/>
      <c r="S1231" s="48"/>
      <c r="T1231" s="48"/>
      <c r="U1231" s="48"/>
      <c r="V1231" s="48"/>
      <c r="W1231" s="14"/>
      <c r="X1231" s="14"/>
      <c r="Y1231" s="14"/>
      <c r="Z1231" s="14"/>
      <c r="AA1231" s="14"/>
      <c r="AB1231" s="14"/>
      <c r="AC1231" s="14"/>
      <c r="AD1231" s="48"/>
      <c r="AE1231" s="48"/>
      <c r="AF1231" s="48"/>
      <c r="AG1231" s="48"/>
      <c r="AH1231" s="48"/>
      <c r="AI1231" s="14"/>
      <c r="AJ1231" s="14"/>
      <c r="AK1231" s="14"/>
      <c r="AL1231" s="14"/>
      <c r="AM1231" s="14"/>
      <c r="AN1231" s="14"/>
      <c r="AO1231" s="14"/>
      <c r="AP1231" s="14"/>
      <c r="AQ1231" s="14"/>
      <c r="AR1231" s="14"/>
      <c r="AS1231" s="14"/>
      <c r="AT1231" s="14"/>
      <c r="AU1231" s="14"/>
      <c r="AV1231" s="14"/>
      <c r="AW1231" s="14"/>
      <c r="AX1231" s="14"/>
      <c r="AY1231" s="14"/>
      <c r="AZ1231" s="14"/>
      <c r="BA1231" s="14">
        <f t="shared" si="1"/>
        <v>0</v>
      </c>
    </row>
    <row r="1232" ht="14.25" customHeight="1">
      <c r="A1232" s="10"/>
      <c r="B1232" s="12"/>
      <c r="C1232" s="12"/>
      <c r="D1232" s="12"/>
      <c r="E1232" s="44"/>
      <c r="F1232" s="12"/>
      <c r="G1232" s="12"/>
      <c r="H1232" s="45"/>
      <c r="I1232" s="45"/>
      <c r="J1232" s="12"/>
      <c r="K1232" s="12"/>
      <c r="L1232" s="14"/>
      <c r="M1232" s="14"/>
      <c r="N1232" s="14"/>
      <c r="O1232" s="14"/>
      <c r="P1232" s="14"/>
      <c r="Q1232" s="14"/>
      <c r="R1232" s="48"/>
      <c r="S1232" s="48"/>
      <c r="T1232" s="48"/>
      <c r="U1232" s="48"/>
      <c r="V1232" s="48"/>
      <c r="W1232" s="14"/>
      <c r="X1232" s="14"/>
      <c r="Y1232" s="14"/>
      <c r="Z1232" s="14"/>
      <c r="AA1232" s="14"/>
      <c r="AB1232" s="14"/>
      <c r="AC1232" s="14"/>
      <c r="AD1232" s="48"/>
      <c r="AE1232" s="48"/>
      <c r="AF1232" s="48"/>
      <c r="AG1232" s="48"/>
      <c r="AH1232" s="48"/>
      <c r="AI1232" s="14"/>
      <c r="AJ1232" s="14"/>
      <c r="AK1232" s="14"/>
      <c r="AL1232" s="14"/>
      <c r="AM1232" s="14"/>
      <c r="AN1232" s="14"/>
      <c r="AO1232" s="14"/>
      <c r="AP1232" s="14"/>
      <c r="AQ1232" s="14"/>
      <c r="AR1232" s="14"/>
      <c r="AS1232" s="14"/>
      <c r="AT1232" s="14"/>
      <c r="AU1232" s="14"/>
      <c r="AV1232" s="14"/>
      <c r="AW1232" s="14"/>
      <c r="AX1232" s="14"/>
      <c r="AY1232" s="14"/>
      <c r="AZ1232" s="14"/>
      <c r="BA1232" s="14">
        <f t="shared" si="1"/>
        <v>0</v>
      </c>
    </row>
    <row r="1233" ht="14.25" customHeight="1">
      <c r="A1233" s="10"/>
      <c r="B1233" s="12"/>
      <c r="C1233" s="12"/>
      <c r="D1233" s="12"/>
      <c r="E1233" s="44"/>
      <c r="F1233" s="12"/>
      <c r="G1233" s="12"/>
      <c r="H1233" s="45"/>
      <c r="I1233" s="45"/>
      <c r="J1233" s="12"/>
      <c r="K1233" s="12"/>
      <c r="L1233" s="14"/>
      <c r="M1233" s="14"/>
      <c r="N1233" s="14"/>
      <c r="O1233" s="14"/>
      <c r="P1233" s="14"/>
      <c r="Q1233" s="14"/>
      <c r="R1233" s="48"/>
      <c r="S1233" s="48"/>
      <c r="T1233" s="48"/>
      <c r="U1233" s="48"/>
      <c r="V1233" s="48"/>
      <c r="W1233" s="14"/>
      <c r="X1233" s="14"/>
      <c r="Y1233" s="14"/>
      <c r="Z1233" s="14"/>
      <c r="AA1233" s="14"/>
      <c r="AB1233" s="14"/>
      <c r="AC1233" s="14"/>
      <c r="AD1233" s="48"/>
      <c r="AE1233" s="48"/>
      <c r="AF1233" s="48"/>
      <c r="AG1233" s="48"/>
      <c r="AH1233" s="48"/>
      <c r="AI1233" s="14"/>
      <c r="AJ1233" s="14"/>
      <c r="AK1233" s="14"/>
      <c r="AL1233" s="14"/>
      <c r="AM1233" s="14"/>
      <c r="AN1233" s="14"/>
      <c r="AO1233" s="14"/>
      <c r="AP1233" s="14"/>
      <c r="AQ1233" s="14"/>
      <c r="AR1233" s="14"/>
      <c r="AS1233" s="14"/>
      <c r="AT1233" s="14"/>
      <c r="AU1233" s="14"/>
      <c r="AV1233" s="14"/>
      <c r="AW1233" s="14"/>
      <c r="AX1233" s="14"/>
      <c r="AY1233" s="14"/>
      <c r="AZ1233" s="14"/>
      <c r="BA1233" s="14">
        <f t="shared" si="1"/>
        <v>0</v>
      </c>
    </row>
    <row r="1234" ht="14.25" customHeight="1">
      <c r="A1234" s="10"/>
      <c r="B1234" s="12"/>
      <c r="C1234" s="12"/>
      <c r="D1234" s="12"/>
      <c r="E1234" s="44"/>
      <c r="F1234" s="12"/>
      <c r="G1234" s="12"/>
      <c r="H1234" s="45"/>
      <c r="I1234" s="45"/>
      <c r="J1234" s="12"/>
      <c r="K1234" s="12"/>
      <c r="L1234" s="14"/>
      <c r="M1234" s="14"/>
      <c r="N1234" s="14"/>
      <c r="O1234" s="14"/>
      <c r="P1234" s="14"/>
      <c r="Q1234" s="14"/>
      <c r="R1234" s="48"/>
      <c r="S1234" s="48"/>
      <c r="T1234" s="48"/>
      <c r="U1234" s="48"/>
      <c r="V1234" s="48"/>
      <c r="W1234" s="14"/>
      <c r="X1234" s="14"/>
      <c r="Y1234" s="14"/>
      <c r="Z1234" s="14"/>
      <c r="AA1234" s="14"/>
      <c r="AB1234" s="14"/>
      <c r="AC1234" s="14"/>
      <c r="AD1234" s="48"/>
      <c r="AE1234" s="48"/>
      <c r="AF1234" s="48"/>
      <c r="AG1234" s="48"/>
      <c r="AH1234" s="48"/>
      <c r="AI1234" s="14"/>
      <c r="AJ1234" s="14"/>
      <c r="AK1234" s="14"/>
      <c r="AL1234" s="14"/>
      <c r="AM1234" s="14"/>
      <c r="AN1234" s="14"/>
      <c r="AO1234" s="14"/>
      <c r="AP1234" s="14"/>
      <c r="AQ1234" s="14"/>
      <c r="AR1234" s="14"/>
      <c r="AS1234" s="14"/>
      <c r="AT1234" s="14"/>
      <c r="AU1234" s="14"/>
      <c r="AV1234" s="14"/>
      <c r="AW1234" s="14"/>
      <c r="AX1234" s="14"/>
      <c r="AY1234" s="14"/>
      <c r="AZ1234" s="14"/>
      <c r="BA1234" s="14">
        <f t="shared" si="1"/>
        <v>0</v>
      </c>
    </row>
    <row r="1235" ht="14.25" customHeight="1">
      <c r="A1235" s="10"/>
      <c r="B1235" s="12"/>
      <c r="C1235" s="12"/>
      <c r="D1235" s="12"/>
      <c r="E1235" s="44"/>
      <c r="F1235" s="12"/>
      <c r="G1235" s="12"/>
      <c r="H1235" s="45"/>
      <c r="I1235" s="45"/>
      <c r="J1235" s="12"/>
      <c r="K1235" s="12"/>
      <c r="L1235" s="14"/>
      <c r="M1235" s="14"/>
      <c r="N1235" s="14"/>
      <c r="O1235" s="14"/>
      <c r="P1235" s="14"/>
      <c r="Q1235" s="14"/>
      <c r="R1235" s="48"/>
      <c r="S1235" s="48"/>
      <c r="T1235" s="48"/>
      <c r="U1235" s="48"/>
      <c r="V1235" s="48"/>
      <c r="W1235" s="14"/>
      <c r="X1235" s="14"/>
      <c r="Y1235" s="14"/>
      <c r="Z1235" s="14"/>
      <c r="AA1235" s="14"/>
      <c r="AB1235" s="14"/>
      <c r="AC1235" s="14"/>
      <c r="AD1235" s="48"/>
      <c r="AE1235" s="48"/>
      <c r="AF1235" s="48"/>
      <c r="AG1235" s="48"/>
      <c r="AH1235" s="48"/>
      <c r="AI1235" s="14"/>
      <c r="AJ1235" s="14"/>
      <c r="AK1235" s="14"/>
      <c r="AL1235" s="14"/>
      <c r="AM1235" s="14"/>
      <c r="AN1235" s="14"/>
      <c r="AO1235" s="14"/>
      <c r="AP1235" s="14"/>
      <c r="AQ1235" s="14"/>
      <c r="AR1235" s="14"/>
      <c r="AS1235" s="14"/>
      <c r="AT1235" s="14"/>
      <c r="AU1235" s="14"/>
      <c r="AV1235" s="14"/>
      <c r="AW1235" s="14"/>
      <c r="AX1235" s="14"/>
      <c r="AY1235" s="14"/>
      <c r="AZ1235" s="14"/>
      <c r="BA1235" s="14">
        <f t="shared" si="1"/>
        <v>0</v>
      </c>
    </row>
    <row r="1236" ht="14.25" customHeight="1">
      <c r="A1236" s="10"/>
      <c r="B1236" s="12"/>
      <c r="C1236" s="12"/>
      <c r="D1236" s="12"/>
      <c r="E1236" s="44"/>
      <c r="F1236" s="12"/>
      <c r="G1236" s="12"/>
      <c r="H1236" s="45"/>
      <c r="I1236" s="45"/>
      <c r="J1236" s="12"/>
      <c r="K1236" s="12"/>
      <c r="L1236" s="14"/>
      <c r="M1236" s="14"/>
      <c r="N1236" s="14"/>
      <c r="O1236" s="14"/>
      <c r="P1236" s="14"/>
      <c r="Q1236" s="14"/>
      <c r="R1236" s="48"/>
      <c r="S1236" s="48"/>
      <c r="T1236" s="48"/>
      <c r="U1236" s="48"/>
      <c r="V1236" s="48"/>
      <c r="W1236" s="14"/>
      <c r="X1236" s="14"/>
      <c r="Y1236" s="14"/>
      <c r="Z1236" s="14"/>
      <c r="AA1236" s="14"/>
      <c r="AB1236" s="14"/>
      <c r="AC1236" s="14"/>
      <c r="AD1236" s="48"/>
      <c r="AE1236" s="48"/>
      <c r="AF1236" s="48"/>
      <c r="AG1236" s="48"/>
      <c r="AH1236" s="48"/>
      <c r="AI1236" s="14"/>
      <c r="AJ1236" s="14"/>
      <c r="AK1236" s="14"/>
      <c r="AL1236" s="14"/>
      <c r="AM1236" s="14"/>
      <c r="AN1236" s="14"/>
      <c r="AO1236" s="14"/>
      <c r="AP1236" s="14"/>
      <c r="AQ1236" s="14"/>
      <c r="AR1236" s="14"/>
      <c r="AS1236" s="14"/>
      <c r="AT1236" s="14"/>
      <c r="AU1236" s="14"/>
      <c r="AV1236" s="14"/>
      <c r="AW1236" s="14"/>
      <c r="AX1236" s="14"/>
      <c r="AY1236" s="14"/>
      <c r="AZ1236" s="14"/>
      <c r="BA1236" s="14">
        <f t="shared" si="1"/>
        <v>0</v>
      </c>
    </row>
    <row r="1237" ht="14.25" customHeight="1">
      <c r="A1237" s="10"/>
      <c r="B1237" s="12"/>
      <c r="C1237" s="12"/>
      <c r="D1237" s="12"/>
      <c r="E1237" s="44"/>
      <c r="F1237" s="12"/>
      <c r="G1237" s="12"/>
      <c r="H1237" s="45"/>
      <c r="I1237" s="45"/>
      <c r="J1237" s="12"/>
      <c r="K1237" s="12"/>
      <c r="L1237" s="14"/>
      <c r="M1237" s="14"/>
      <c r="N1237" s="14"/>
      <c r="O1237" s="14"/>
      <c r="P1237" s="14"/>
      <c r="Q1237" s="14"/>
      <c r="R1237" s="48"/>
      <c r="S1237" s="48"/>
      <c r="T1237" s="48"/>
      <c r="U1237" s="48"/>
      <c r="V1237" s="48"/>
      <c r="W1237" s="14"/>
      <c r="X1237" s="14"/>
      <c r="Y1237" s="14"/>
      <c r="Z1237" s="14"/>
      <c r="AA1237" s="14"/>
      <c r="AB1237" s="14"/>
      <c r="AC1237" s="14"/>
      <c r="AD1237" s="48"/>
      <c r="AE1237" s="48"/>
      <c r="AF1237" s="48"/>
      <c r="AG1237" s="48"/>
      <c r="AH1237" s="48"/>
      <c r="AI1237" s="14"/>
      <c r="AJ1237" s="14"/>
      <c r="AK1237" s="14"/>
      <c r="AL1237" s="14"/>
      <c r="AM1237" s="14"/>
      <c r="AN1237" s="14"/>
      <c r="AO1237" s="14"/>
      <c r="AP1237" s="14"/>
      <c r="AQ1237" s="14"/>
      <c r="AR1237" s="14"/>
      <c r="AS1237" s="14"/>
      <c r="AT1237" s="14"/>
      <c r="AU1237" s="14"/>
      <c r="AV1237" s="14"/>
      <c r="AW1237" s="14"/>
      <c r="AX1237" s="14"/>
      <c r="AY1237" s="14"/>
      <c r="AZ1237" s="14"/>
      <c r="BA1237" s="14"/>
    </row>
    <row r="1238" ht="14.25" customHeight="1">
      <c r="A1238" s="10"/>
      <c r="B1238" s="12"/>
      <c r="C1238" s="12"/>
      <c r="D1238" s="12"/>
      <c r="E1238" s="44"/>
      <c r="F1238" s="12"/>
      <c r="G1238" s="12"/>
      <c r="H1238" s="45"/>
      <c r="I1238" s="45"/>
      <c r="J1238" s="12"/>
      <c r="K1238" s="12"/>
      <c r="L1238" s="14"/>
      <c r="M1238" s="14"/>
      <c r="N1238" s="14"/>
      <c r="O1238" s="14"/>
      <c r="P1238" s="14"/>
      <c r="Q1238" s="14"/>
      <c r="R1238" s="48"/>
      <c r="S1238" s="48"/>
      <c r="T1238" s="48"/>
      <c r="U1238" s="48"/>
      <c r="V1238" s="48"/>
      <c r="W1238" s="14"/>
      <c r="X1238" s="14"/>
      <c r="Y1238" s="14"/>
      <c r="Z1238" s="14"/>
      <c r="AA1238" s="14"/>
      <c r="AB1238" s="14"/>
      <c r="AC1238" s="14"/>
      <c r="AD1238" s="48"/>
      <c r="AE1238" s="48"/>
      <c r="AF1238" s="48"/>
      <c r="AG1238" s="48"/>
      <c r="AH1238" s="48"/>
      <c r="AI1238" s="14"/>
      <c r="AJ1238" s="14"/>
      <c r="AK1238" s="14"/>
      <c r="AL1238" s="14"/>
      <c r="AM1238" s="14"/>
      <c r="AN1238" s="14"/>
      <c r="AO1238" s="14"/>
      <c r="AP1238" s="14"/>
      <c r="AQ1238" s="14"/>
      <c r="AR1238" s="14"/>
      <c r="AS1238" s="14"/>
      <c r="AT1238" s="14"/>
      <c r="AU1238" s="14"/>
      <c r="AV1238" s="14"/>
      <c r="AW1238" s="14"/>
      <c r="AX1238" s="14"/>
      <c r="AY1238" s="14"/>
      <c r="AZ1238" s="14"/>
      <c r="BA1238" s="14"/>
    </row>
    <row r="1239" ht="14.25" customHeight="1">
      <c r="A1239" s="10"/>
      <c r="B1239" s="12"/>
      <c r="C1239" s="12"/>
      <c r="D1239" s="12"/>
      <c r="E1239" s="44"/>
      <c r="F1239" s="12"/>
      <c r="G1239" s="12"/>
      <c r="H1239" s="45"/>
      <c r="I1239" s="45"/>
      <c r="J1239" s="12"/>
      <c r="K1239" s="12"/>
      <c r="L1239" s="14"/>
      <c r="M1239" s="14"/>
      <c r="N1239" s="14"/>
      <c r="O1239" s="14"/>
      <c r="P1239" s="14"/>
      <c r="Q1239" s="14"/>
      <c r="R1239" s="48"/>
      <c r="S1239" s="48"/>
      <c r="T1239" s="48"/>
      <c r="U1239" s="48"/>
      <c r="V1239" s="48"/>
      <c r="W1239" s="14"/>
      <c r="X1239" s="14"/>
      <c r="Y1239" s="14"/>
      <c r="Z1239" s="14"/>
      <c r="AA1239" s="14"/>
      <c r="AB1239" s="14"/>
      <c r="AC1239" s="14"/>
      <c r="AD1239" s="48"/>
      <c r="AE1239" s="48"/>
      <c r="AF1239" s="48"/>
      <c r="AG1239" s="48"/>
      <c r="AH1239" s="48"/>
      <c r="AI1239" s="14"/>
      <c r="AJ1239" s="14"/>
      <c r="AK1239" s="14"/>
      <c r="AL1239" s="14"/>
      <c r="AM1239" s="14"/>
      <c r="AN1239" s="14"/>
      <c r="AO1239" s="14"/>
      <c r="AP1239" s="14"/>
      <c r="AQ1239" s="14"/>
      <c r="AR1239" s="14"/>
      <c r="AS1239" s="14"/>
      <c r="AT1239" s="14"/>
      <c r="AU1239" s="14"/>
      <c r="AV1239" s="14"/>
      <c r="AW1239" s="14"/>
      <c r="AX1239" s="14"/>
      <c r="AY1239" s="14"/>
      <c r="AZ1239" s="14"/>
      <c r="BA1239" s="14"/>
    </row>
    <row r="1240" ht="14.25" customHeight="1">
      <c r="A1240" s="10"/>
      <c r="B1240" s="12"/>
      <c r="C1240" s="12"/>
      <c r="D1240" s="12"/>
      <c r="E1240" s="44"/>
      <c r="F1240" s="12"/>
      <c r="G1240" s="12"/>
      <c r="H1240" s="45"/>
      <c r="I1240" s="45"/>
      <c r="J1240" s="12"/>
      <c r="K1240" s="12"/>
      <c r="L1240" s="14"/>
      <c r="M1240" s="14"/>
      <c r="N1240" s="14"/>
      <c r="O1240" s="14"/>
      <c r="P1240" s="14"/>
      <c r="Q1240" s="14"/>
      <c r="R1240" s="48"/>
      <c r="S1240" s="48"/>
      <c r="T1240" s="48"/>
      <c r="U1240" s="48"/>
      <c r="V1240" s="48"/>
      <c r="W1240" s="14"/>
      <c r="X1240" s="14"/>
      <c r="Y1240" s="14"/>
      <c r="Z1240" s="14"/>
      <c r="AA1240" s="14"/>
      <c r="AB1240" s="14"/>
      <c r="AC1240" s="14"/>
      <c r="AD1240" s="48"/>
      <c r="AE1240" s="48"/>
      <c r="AF1240" s="48"/>
      <c r="AG1240" s="48"/>
      <c r="AH1240" s="48"/>
      <c r="AI1240" s="14"/>
      <c r="AJ1240" s="14"/>
      <c r="AK1240" s="14"/>
      <c r="AL1240" s="14"/>
      <c r="AM1240" s="14"/>
      <c r="AN1240" s="14"/>
      <c r="AO1240" s="14"/>
      <c r="AP1240" s="14"/>
      <c r="AQ1240" s="14"/>
      <c r="AR1240" s="14"/>
      <c r="AS1240" s="14"/>
      <c r="AT1240" s="14"/>
      <c r="AU1240" s="14"/>
      <c r="AV1240" s="14"/>
      <c r="AW1240" s="14"/>
      <c r="AX1240" s="14"/>
      <c r="AY1240" s="14"/>
      <c r="AZ1240" s="14"/>
      <c r="BA1240" s="14"/>
    </row>
    <row r="1241" ht="14.25" customHeight="1">
      <c r="A1241" s="10"/>
      <c r="B1241" s="12"/>
      <c r="C1241" s="12"/>
      <c r="D1241" s="12"/>
      <c r="E1241" s="44"/>
      <c r="F1241" s="12"/>
      <c r="G1241" s="12"/>
      <c r="H1241" s="45"/>
      <c r="I1241" s="45"/>
      <c r="J1241" s="12"/>
      <c r="K1241" s="12"/>
      <c r="L1241" s="14"/>
      <c r="M1241" s="14"/>
      <c r="N1241" s="14"/>
      <c r="O1241" s="14"/>
      <c r="P1241" s="14"/>
      <c r="Q1241" s="14"/>
      <c r="R1241" s="48"/>
      <c r="S1241" s="48"/>
      <c r="T1241" s="48"/>
      <c r="U1241" s="48"/>
      <c r="V1241" s="48"/>
      <c r="W1241" s="14"/>
      <c r="X1241" s="14"/>
      <c r="Y1241" s="14"/>
      <c r="Z1241" s="14"/>
      <c r="AA1241" s="14"/>
      <c r="AB1241" s="14"/>
      <c r="AC1241" s="14"/>
      <c r="AD1241" s="48"/>
      <c r="AE1241" s="48"/>
      <c r="AF1241" s="48"/>
      <c r="AG1241" s="48"/>
      <c r="AH1241" s="48"/>
      <c r="AI1241" s="14"/>
      <c r="AJ1241" s="14"/>
      <c r="AK1241" s="14"/>
      <c r="AL1241" s="14"/>
      <c r="AM1241" s="14"/>
      <c r="AN1241" s="14"/>
      <c r="AO1241" s="14"/>
      <c r="AP1241" s="14"/>
      <c r="AQ1241" s="14"/>
      <c r="AR1241" s="14"/>
      <c r="AS1241" s="14"/>
      <c r="AT1241" s="14"/>
      <c r="AU1241" s="14"/>
      <c r="AV1241" s="14"/>
      <c r="AW1241" s="14"/>
      <c r="AX1241" s="14"/>
      <c r="AY1241" s="14"/>
      <c r="AZ1241" s="14"/>
      <c r="BA1241" s="14"/>
    </row>
    <row r="1242" ht="14.25" customHeight="1">
      <c r="A1242" s="10"/>
      <c r="B1242" s="12"/>
      <c r="C1242" s="12"/>
      <c r="D1242" s="12"/>
      <c r="E1242" s="44"/>
      <c r="F1242" s="12"/>
      <c r="G1242" s="12"/>
      <c r="H1242" s="45"/>
      <c r="I1242" s="45"/>
      <c r="J1242" s="12"/>
      <c r="K1242" s="12"/>
      <c r="L1242" s="14"/>
      <c r="M1242" s="14"/>
      <c r="N1242" s="14"/>
      <c r="O1242" s="14"/>
      <c r="P1242" s="14"/>
      <c r="Q1242" s="14"/>
      <c r="R1242" s="48"/>
      <c r="S1242" s="48"/>
      <c r="T1242" s="48"/>
      <c r="U1242" s="48"/>
      <c r="V1242" s="48"/>
      <c r="W1242" s="14"/>
      <c r="X1242" s="14"/>
      <c r="Y1242" s="14"/>
      <c r="Z1242" s="14"/>
      <c r="AA1242" s="14"/>
      <c r="AB1242" s="14"/>
      <c r="AC1242" s="14"/>
      <c r="AD1242" s="48"/>
      <c r="AE1242" s="48"/>
      <c r="AF1242" s="48"/>
      <c r="AG1242" s="48"/>
      <c r="AH1242" s="48"/>
      <c r="AI1242" s="14"/>
      <c r="AJ1242" s="14"/>
      <c r="AK1242" s="14"/>
      <c r="AL1242" s="14"/>
      <c r="AM1242" s="14"/>
      <c r="AN1242" s="14"/>
      <c r="AO1242" s="14"/>
      <c r="AP1242" s="14"/>
      <c r="AQ1242" s="14"/>
      <c r="AR1242" s="14"/>
      <c r="AS1242" s="14"/>
      <c r="AT1242" s="14"/>
      <c r="AU1242" s="14"/>
      <c r="AV1242" s="14"/>
      <c r="AW1242" s="14"/>
      <c r="AX1242" s="14"/>
      <c r="AY1242" s="14"/>
      <c r="AZ1242" s="14"/>
      <c r="BA1242" s="14"/>
    </row>
    <row r="1243" ht="14.25" customHeight="1">
      <c r="A1243" s="10"/>
      <c r="B1243" s="12"/>
      <c r="C1243" s="12"/>
      <c r="D1243" s="12"/>
      <c r="E1243" s="44"/>
      <c r="F1243" s="12"/>
      <c r="G1243" s="12"/>
      <c r="H1243" s="45"/>
      <c r="I1243" s="45"/>
      <c r="J1243" s="12"/>
      <c r="K1243" s="12"/>
      <c r="L1243" s="14"/>
      <c r="M1243" s="14"/>
      <c r="N1243" s="14"/>
      <c r="O1243" s="14"/>
      <c r="P1243" s="14"/>
      <c r="Q1243" s="14"/>
      <c r="R1243" s="48"/>
      <c r="S1243" s="48"/>
      <c r="T1243" s="48"/>
      <c r="U1243" s="48"/>
      <c r="V1243" s="48"/>
      <c r="W1243" s="14"/>
      <c r="X1243" s="14"/>
      <c r="Y1243" s="14"/>
      <c r="Z1243" s="14"/>
      <c r="AA1243" s="14"/>
      <c r="AB1243" s="14"/>
      <c r="AC1243" s="14"/>
      <c r="AD1243" s="48"/>
      <c r="AE1243" s="48"/>
      <c r="AF1243" s="48"/>
      <c r="AG1243" s="48"/>
      <c r="AH1243" s="48"/>
      <c r="AI1243" s="14"/>
      <c r="AJ1243" s="14"/>
      <c r="AK1243" s="14"/>
      <c r="AL1243" s="14"/>
      <c r="AM1243" s="14"/>
      <c r="AN1243" s="14"/>
      <c r="AO1243" s="14"/>
      <c r="AP1243" s="14"/>
      <c r="AQ1243" s="14"/>
      <c r="AR1243" s="14"/>
      <c r="AS1243" s="14"/>
      <c r="AT1243" s="14"/>
      <c r="AU1243" s="14"/>
      <c r="AV1243" s="14"/>
      <c r="AW1243" s="14"/>
      <c r="AX1243" s="14"/>
      <c r="AY1243" s="14"/>
      <c r="AZ1243" s="14"/>
      <c r="BA1243" s="14"/>
    </row>
    <row r="1244" ht="14.25" customHeight="1">
      <c r="A1244" s="10"/>
      <c r="B1244" s="12"/>
      <c r="C1244" s="12"/>
      <c r="D1244" s="12"/>
      <c r="E1244" s="44"/>
      <c r="F1244" s="12"/>
      <c r="G1244" s="12"/>
      <c r="H1244" s="45"/>
      <c r="I1244" s="45"/>
      <c r="J1244" s="12"/>
      <c r="K1244" s="12"/>
      <c r="L1244" s="14"/>
      <c r="M1244" s="14"/>
      <c r="N1244" s="14"/>
      <c r="O1244" s="14"/>
      <c r="P1244" s="14"/>
      <c r="Q1244" s="14"/>
      <c r="R1244" s="48"/>
      <c r="S1244" s="48"/>
      <c r="T1244" s="48"/>
      <c r="U1244" s="48"/>
      <c r="V1244" s="48"/>
      <c r="W1244" s="14"/>
      <c r="X1244" s="14"/>
      <c r="Y1244" s="14"/>
      <c r="Z1244" s="14"/>
      <c r="AA1244" s="14"/>
      <c r="AB1244" s="14"/>
      <c r="AC1244" s="14"/>
      <c r="AD1244" s="48"/>
      <c r="AE1244" s="48"/>
      <c r="AF1244" s="48"/>
      <c r="AG1244" s="48"/>
      <c r="AH1244" s="48"/>
      <c r="AI1244" s="14"/>
      <c r="AJ1244" s="14"/>
      <c r="AK1244" s="14"/>
      <c r="AL1244" s="14"/>
      <c r="AM1244" s="14"/>
      <c r="AN1244" s="14"/>
      <c r="AO1244" s="14"/>
      <c r="AP1244" s="14"/>
      <c r="AQ1244" s="14"/>
      <c r="AR1244" s="14"/>
      <c r="AS1244" s="14"/>
      <c r="AT1244" s="14"/>
      <c r="AU1244" s="14"/>
      <c r="AV1244" s="14"/>
      <c r="AW1244" s="14"/>
      <c r="AX1244" s="14"/>
      <c r="AY1244" s="14"/>
      <c r="AZ1244" s="14"/>
      <c r="BA1244" s="14"/>
    </row>
    <row r="1245" ht="14.25" customHeight="1">
      <c r="A1245" s="10"/>
      <c r="B1245" s="12"/>
      <c r="C1245" s="12"/>
      <c r="D1245" s="12"/>
      <c r="E1245" s="44"/>
      <c r="F1245" s="12"/>
      <c r="G1245" s="12"/>
      <c r="H1245" s="45"/>
      <c r="I1245" s="45"/>
      <c r="J1245" s="12"/>
      <c r="K1245" s="12"/>
      <c r="L1245" s="14"/>
      <c r="M1245" s="14"/>
      <c r="N1245" s="14"/>
      <c r="O1245" s="14"/>
      <c r="P1245" s="14"/>
      <c r="Q1245" s="14"/>
      <c r="R1245" s="48"/>
      <c r="S1245" s="48"/>
      <c r="T1245" s="48"/>
      <c r="U1245" s="48"/>
      <c r="V1245" s="48"/>
      <c r="W1245" s="14"/>
      <c r="X1245" s="14"/>
      <c r="Y1245" s="14"/>
      <c r="Z1245" s="14"/>
      <c r="AA1245" s="14"/>
      <c r="AB1245" s="14"/>
      <c r="AC1245" s="14"/>
      <c r="AD1245" s="48"/>
      <c r="AE1245" s="48"/>
      <c r="AF1245" s="48"/>
      <c r="AG1245" s="48"/>
      <c r="AH1245" s="48"/>
      <c r="AI1245" s="14"/>
      <c r="AJ1245" s="14"/>
      <c r="AK1245" s="14"/>
      <c r="AL1245" s="14"/>
      <c r="AM1245" s="14"/>
      <c r="AN1245" s="14"/>
      <c r="AO1245" s="14"/>
      <c r="AP1245" s="14"/>
      <c r="AQ1245" s="14"/>
      <c r="AR1245" s="14"/>
      <c r="AS1245" s="14"/>
      <c r="AT1245" s="14"/>
      <c r="AU1245" s="14"/>
      <c r="AV1245" s="14"/>
      <c r="AW1245" s="14"/>
      <c r="AX1245" s="14"/>
      <c r="AY1245" s="14"/>
      <c r="AZ1245" s="14"/>
      <c r="BA1245" s="14"/>
    </row>
    <row r="1246" ht="14.25" customHeight="1">
      <c r="A1246" s="10"/>
      <c r="B1246" s="12"/>
      <c r="C1246" s="12"/>
      <c r="D1246" s="12"/>
      <c r="E1246" s="44"/>
      <c r="F1246" s="12"/>
      <c r="G1246" s="12"/>
      <c r="H1246" s="45"/>
      <c r="I1246" s="45"/>
      <c r="J1246" s="12"/>
      <c r="K1246" s="12"/>
      <c r="L1246" s="14"/>
      <c r="M1246" s="14"/>
      <c r="N1246" s="14"/>
      <c r="O1246" s="14"/>
      <c r="P1246" s="14"/>
      <c r="Q1246" s="14"/>
      <c r="R1246" s="48"/>
      <c r="S1246" s="48"/>
      <c r="T1246" s="48"/>
      <c r="U1246" s="48"/>
      <c r="V1246" s="48"/>
      <c r="W1246" s="14"/>
      <c r="X1246" s="14"/>
      <c r="Y1246" s="14"/>
      <c r="Z1246" s="14"/>
      <c r="AA1246" s="14"/>
      <c r="AB1246" s="14"/>
      <c r="AC1246" s="14"/>
      <c r="AD1246" s="48"/>
      <c r="AE1246" s="48"/>
      <c r="AF1246" s="48"/>
      <c r="AG1246" s="48"/>
      <c r="AH1246" s="48"/>
      <c r="AI1246" s="14"/>
      <c r="AJ1246" s="14"/>
      <c r="AK1246" s="14"/>
      <c r="AL1246" s="14"/>
      <c r="AM1246" s="14"/>
      <c r="AN1246" s="14"/>
      <c r="AO1246" s="14"/>
      <c r="AP1246" s="14"/>
      <c r="AQ1246" s="14"/>
      <c r="AR1246" s="14"/>
      <c r="AS1246" s="14"/>
      <c r="AT1246" s="14"/>
      <c r="AU1246" s="14"/>
      <c r="AV1246" s="14"/>
      <c r="AW1246" s="14"/>
      <c r="AX1246" s="14"/>
      <c r="AY1246" s="14"/>
      <c r="AZ1246" s="14"/>
      <c r="BA1246" s="14"/>
    </row>
    <row r="1247" ht="14.25" customHeight="1">
      <c r="A1247" s="10"/>
      <c r="B1247" s="12"/>
      <c r="C1247" s="12"/>
      <c r="D1247" s="12"/>
      <c r="E1247" s="44"/>
      <c r="F1247" s="12"/>
      <c r="G1247" s="12"/>
      <c r="H1247" s="45"/>
      <c r="I1247" s="45"/>
      <c r="J1247" s="12"/>
      <c r="K1247" s="12"/>
      <c r="L1247" s="14"/>
      <c r="M1247" s="14"/>
      <c r="N1247" s="14"/>
      <c r="O1247" s="14"/>
      <c r="P1247" s="14"/>
      <c r="Q1247" s="14"/>
      <c r="R1247" s="48"/>
      <c r="S1247" s="48"/>
      <c r="T1247" s="48"/>
      <c r="U1247" s="48"/>
      <c r="V1247" s="48"/>
      <c r="W1247" s="14"/>
      <c r="X1247" s="14"/>
      <c r="Y1247" s="14"/>
      <c r="Z1247" s="14"/>
      <c r="AA1247" s="14"/>
      <c r="AB1247" s="14"/>
      <c r="AC1247" s="14"/>
      <c r="AD1247" s="48"/>
      <c r="AE1247" s="48"/>
      <c r="AF1247" s="48"/>
      <c r="AG1247" s="48"/>
      <c r="AH1247" s="48"/>
      <c r="AI1247" s="14"/>
      <c r="AJ1247" s="14"/>
      <c r="AK1247" s="14"/>
      <c r="AL1247" s="14"/>
      <c r="AM1247" s="14"/>
      <c r="AN1247" s="14"/>
      <c r="AO1247" s="14"/>
      <c r="AP1247" s="14"/>
      <c r="AQ1247" s="14"/>
      <c r="AR1247" s="14"/>
      <c r="AS1247" s="14"/>
      <c r="AT1247" s="14"/>
      <c r="AU1247" s="14"/>
      <c r="AV1247" s="14"/>
      <c r="AW1247" s="14"/>
      <c r="AX1247" s="14"/>
      <c r="AY1247" s="14"/>
      <c r="AZ1247" s="14"/>
      <c r="BA1247" s="14"/>
    </row>
    <row r="1248" ht="14.25" customHeight="1">
      <c r="A1248" s="10"/>
      <c r="B1248" s="12"/>
      <c r="C1248" s="12"/>
      <c r="D1248" s="12"/>
      <c r="E1248" s="44"/>
      <c r="F1248" s="12"/>
      <c r="G1248" s="12"/>
      <c r="H1248" s="45"/>
      <c r="I1248" s="45"/>
      <c r="J1248" s="12"/>
      <c r="K1248" s="12"/>
      <c r="L1248" s="14"/>
      <c r="M1248" s="14"/>
      <c r="N1248" s="14"/>
      <c r="O1248" s="14"/>
      <c r="P1248" s="14"/>
      <c r="Q1248" s="14"/>
      <c r="R1248" s="48"/>
      <c r="S1248" s="48"/>
      <c r="T1248" s="48"/>
      <c r="U1248" s="48"/>
      <c r="V1248" s="48"/>
      <c r="W1248" s="14"/>
      <c r="X1248" s="14"/>
      <c r="Y1248" s="14"/>
      <c r="Z1248" s="14"/>
      <c r="AA1248" s="14"/>
      <c r="AB1248" s="14"/>
      <c r="AC1248" s="14"/>
      <c r="AD1248" s="48"/>
      <c r="AE1248" s="48"/>
      <c r="AF1248" s="48"/>
      <c r="AG1248" s="48"/>
      <c r="AH1248" s="48"/>
      <c r="AI1248" s="14"/>
      <c r="AJ1248" s="14"/>
      <c r="AK1248" s="14"/>
      <c r="AL1248" s="14"/>
      <c r="AM1248" s="14"/>
      <c r="AN1248" s="14"/>
      <c r="AO1248" s="14"/>
      <c r="AP1248" s="14"/>
      <c r="AQ1248" s="14"/>
      <c r="AR1248" s="14"/>
      <c r="AS1248" s="14"/>
      <c r="AT1248" s="14"/>
      <c r="AU1248" s="14"/>
      <c r="AV1248" s="14"/>
      <c r="AW1248" s="14"/>
      <c r="AX1248" s="14"/>
      <c r="AY1248" s="14"/>
      <c r="AZ1248" s="14"/>
      <c r="BA1248" s="14"/>
    </row>
    <row r="1249" ht="14.25" customHeight="1">
      <c r="A1249" s="10"/>
      <c r="B1249" s="12"/>
      <c r="C1249" s="12"/>
      <c r="D1249" s="12"/>
      <c r="E1249" s="44"/>
      <c r="F1249" s="12"/>
      <c r="G1249" s="12"/>
      <c r="H1249" s="45"/>
      <c r="I1249" s="45"/>
      <c r="J1249" s="12"/>
      <c r="K1249" s="12"/>
      <c r="L1249" s="14"/>
      <c r="M1249" s="14"/>
      <c r="N1249" s="14"/>
      <c r="O1249" s="14"/>
      <c r="P1249" s="14"/>
      <c r="Q1249" s="14"/>
      <c r="R1249" s="48"/>
      <c r="S1249" s="48"/>
      <c r="T1249" s="48"/>
      <c r="U1249" s="48"/>
      <c r="V1249" s="48"/>
      <c r="W1249" s="14"/>
      <c r="X1249" s="14"/>
      <c r="Y1249" s="14"/>
      <c r="Z1249" s="14"/>
      <c r="AA1249" s="14"/>
      <c r="AB1249" s="14"/>
      <c r="AC1249" s="14"/>
      <c r="AD1249" s="48"/>
      <c r="AE1249" s="48"/>
      <c r="AF1249" s="48"/>
      <c r="AG1249" s="48"/>
      <c r="AH1249" s="48"/>
      <c r="AI1249" s="14"/>
      <c r="AJ1249" s="14"/>
      <c r="AK1249" s="14"/>
      <c r="AL1249" s="14"/>
      <c r="AM1249" s="14"/>
      <c r="AN1249" s="14"/>
      <c r="AO1249" s="14"/>
      <c r="AP1249" s="14"/>
      <c r="AQ1249" s="14"/>
      <c r="AR1249" s="14"/>
      <c r="AS1249" s="14"/>
      <c r="AT1249" s="14"/>
      <c r="AU1249" s="14"/>
      <c r="AV1249" s="14"/>
      <c r="AW1249" s="14"/>
      <c r="AX1249" s="14"/>
      <c r="AY1249" s="14"/>
      <c r="AZ1249" s="14"/>
      <c r="BA1249" s="14"/>
    </row>
    <row r="1250" ht="14.25" customHeight="1">
      <c r="A1250" s="10"/>
      <c r="B1250" s="12"/>
      <c r="C1250" s="12"/>
      <c r="D1250" s="12"/>
      <c r="E1250" s="44"/>
      <c r="F1250" s="12"/>
      <c r="G1250" s="12"/>
      <c r="H1250" s="45"/>
      <c r="I1250" s="45"/>
      <c r="J1250" s="12"/>
      <c r="K1250" s="12"/>
      <c r="L1250" s="14"/>
      <c r="M1250" s="14"/>
      <c r="N1250" s="14"/>
      <c r="O1250" s="14"/>
      <c r="P1250" s="14"/>
      <c r="Q1250" s="14"/>
      <c r="R1250" s="48"/>
      <c r="S1250" s="48"/>
      <c r="T1250" s="48"/>
      <c r="U1250" s="48"/>
      <c r="V1250" s="48"/>
      <c r="W1250" s="14"/>
      <c r="X1250" s="14"/>
      <c r="Y1250" s="14"/>
      <c r="Z1250" s="14"/>
      <c r="AA1250" s="14"/>
      <c r="AB1250" s="14"/>
      <c r="AC1250" s="14"/>
      <c r="AD1250" s="48"/>
      <c r="AE1250" s="48"/>
      <c r="AF1250" s="48"/>
      <c r="AG1250" s="48"/>
      <c r="AH1250" s="48"/>
      <c r="AI1250" s="14"/>
      <c r="AJ1250" s="14"/>
      <c r="AK1250" s="14"/>
      <c r="AL1250" s="14"/>
      <c r="AM1250" s="14"/>
      <c r="AN1250" s="14"/>
      <c r="AO1250" s="14"/>
      <c r="AP1250" s="14"/>
      <c r="AQ1250" s="14"/>
      <c r="AR1250" s="14"/>
      <c r="AS1250" s="14"/>
      <c r="AT1250" s="14"/>
      <c r="AU1250" s="14"/>
      <c r="AV1250" s="14"/>
      <c r="AW1250" s="14"/>
      <c r="AX1250" s="14"/>
      <c r="AY1250" s="14"/>
      <c r="AZ1250" s="14"/>
      <c r="BA1250" s="14"/>
    </row>
    <row r="1251" ht="14.25" customHeight="1">
      <c r="A1251" s="10"/>
      <c r="B1251" s="12"/>
      <c r="C1251" s="12"/>
      <c r="D1251" s="12"/>
      <c r="E1251" s="44"/>
      <c r="F1251" s="12"/>
      <c r="G1251" s="12"/>
      <c r="H1251" s="45"/>
      <c r="I1251" s="45"/>
      <c r="J1251" s="12"/>
      <c r="K1251" s="12"/>
      <c r="L1251" s="14"/>
      <c r="M1251" s="14"/>
      <c r="N1251" s="14"/>
      <c r="O1251" s="14"/>
      <c r="P1251" s="14"/>
      <c r="Q1251" s="14"/>
      <c r="R1251" s="48"/>
      <c r="S1251" s="48"/>
      <c r="T1251" s="48"/>
      <c r="U1251" s="48"/>
      <c r="V1251" s="48"/>
      <c r="W1251" s="14"/>
      <c r="X1251" s="14"/>
      <c r="Y1251" s="14"/>
      <c r="Z1251" s="14"/>
      <c r="AA1251" s="14"/>
      <c r="AB1251" s="14"/>
      <c r="AC1251" s="14"/>
      <c r="AD1251" s="48"/>
      <c r="AE1251" s="48"/>
      <c r="AF1251" s="48"/>
      <c r="AG1251" s="48"/>
      <c r="AH1251" s="48"/>
      <c r="AI1251" s="14"/>
      <c r="AJ1251" s="14"/>
      <c r="AK1251" s="14"/>
      <c r="AL1251" s="14"/>
      <c r="AM1251" s="14"/>
      <c r="AN1251" s="14"/>
      <c r="AO1251" s="14"/>
      <c r="AP1251" s="14"/>
      <c r="AQ1251" s="14"/>
      <c r="AR1251" s="14"/>
      <c r="AS1251" s="14"/>
      <c r="AT1251" s="14"/>
      <c r="AU1251" s="14"/>
      <c r="AV1251" s="14"/>
      <c r="AW1251" s="14"/>
      <c r="AX1251" s="14"/>
      <c r="AY1251" s="14"/>
      <c r="AZ1251" s="14"/>
      <c r="BA1251" s="14"/>
    </row>
    <row r="1252" ht="14.25" customHeight="1">
      <c r="A1252" s="10"/>
      <c r="B1252" s="12"/>
      <c r="C1252" s="12"/>
      <c r="D1252" s="12"/>
      <c r="E1252" s="44"/>
      <c r="F1252" s="12"/>
      <c r="G1252" s="12"/>
      <c r="H1252" s="45"/>
      <c r="I1252" s="45"/>
      <c r="J1252" s="12"/>
      <c r="K1252" s="12"/>
      <c r="L1252" s="14"/>
      <c r="M1252" s="14"/>
      <c r="N1252" s="14"/>
      <c r="O1252" s="14"/>
      <c r="P1252" s="14"/>
      <c r="Q1252" s="14"/>
      <c r="R1252" s="48"/>
      <c r="S1252" s="48"/>
      <c r="T1252" s="48"/>
      <c r="U1252" s="48"/>
      <c r="V1252" s="48"/>
      <c r="W1252" s="14"/>
      <c r="X1252" s="14"/>
      <c r="Y1252" s="14"/>
      <c r="Z1252" s="14"/>
      <c r="AA1252" s="14"/>
      <c r="AB1252" s="14"/>
      <c r="AC1252" s="14"/>
      <c r="AD1252" s="48"/>
      <c r="AE1252" s="48"/>
      <c r="AF1252" s="48"/>
      <c r="AG1252" s="48"/>
      <c r="AH1252" s="48"/>
      <c r="AI1252" s="14"/>
      <c r="AJ1252" s="14"/>
      <c r="AK1252" s="14"/>
      <c r="AL1252" s="14"/>
      <c r="AM1252" s="14"/>
      <c r="AN1252" s="14"/>
      <c r="AO1252" s="14"/>
      <c r="AP1252" s="14"/>
      <c r="AQ1252" s="14"/>
      <c r="AR1252" s="14"/>
      <c r="AS1252" s="14"/>
      <c r="AT1252" s="14"/>
      <c r="AU1252" s="14"/>
      <c r="AV1252" s="14"/>
      <c r="AW1252" s="14"/>
      <c r="AX1252" s="14"/>
      <c r="AY1252" s="14"/>
      <c r="AZ1252" s="14"/>
      <c r="BA1252" s="14"/>
    </row>
    <row r="1253" ht="14.25" customHeight="1">
      <c r="A1253" s="10"/>
      <c r="B1253" s="12"/>
      <c r="C1253" s="12"/>
      <c r="D1253" s="12"/>
      <c r="E1253" s="44"/>
      <c r="F1253" s="12"/>
      <c r="G1253" s="12"/>
      <c r="H1253" s="45"/>
      <c r="I1253" s="45"/>
      <c r="J1253" s="12"/>
      <c r="K1253" s="12"/>
      <c r="L1253" s="14"/>
      <c r="M1253" s="14"/>
      <c r="N1253" s="14"/>
      <c r="O1253" s="14"/>
      <c r="P1253" s="14"/>
      <c r="Q1253" s="14"/>
      <c r="R1253" s="48"/>
      <c r="S1253" s="48"/>
      <c r="T1253" s="48"/>
      <c r="U1253" s="48"/>
      <c r="V1253" s="48"/>
      <c r="W1253" s="14"/>
      <c r="X1253" s="14"/>
      <c r="Y1253" s="14"/>
      <c r="Z1253" s="14"/>
      <c r="AA1253" s="14"/>
      <c r="AB1253" s="14"/>
      <c r="AC1253" s="14"/>
      <c r="AD1253" s="48"/>
      <c r="AE1253" s="48"/>
      <c r="AF1253" s="48"/>
      <c r="AG1253" s="48"/>
      <c r="AH1253" s="48"/>
      <c r="AI1253" s="14"/>
      <c r="AJ1253" s="14"/>
      <c r="AK1253" s="14"/>
      <c r="AL1253" s="14"/>
      <c r="AM1253" s="14"/>
      <c r="AN1253" s="14"/>
      <c r="AO1253" s="14"/>
      <c r="AP1253" s="14"/>
      <c r="AQ1253" s="14"/>
      <c r="AR1253" s="14"/>
      <c r="AS1253" s="14"/>
      <c r="AT1253" s="14"/>
      <c r="AU1253" s="14"/>
      <c r="AV1253" s="14"/>
      <c r="AW1253" s="14"/>
      <c r="AX1253" s="14"/>
      <c r="AY1253" s="14"/>
      <c r="AZ1253" s="14"/>
      <c r="BA1253" s="14"/>
    </row>
    <row r="1254" ht="14.25" customHeight="1">
      <c r="A1254" s="10"/>
      <c r="B1254" s="12"/>
      <c r="C1254" s="12"/>
      <c r="D1254" s="12"/>
      <c r="E1254" s="44"/>
      <c r="F1254" s="12"/>
      <c r="G1254" s="12"/>
      <c r="H1254" s="45"/>
      <c r="I1254" s="45"/>
      <c r="J1254" s="12"/>
      <c r="K1254" s="12"/>
      <c r="L1254" s="14"/>
      <c r="M1254" s="14"/>
      <c r="N1254" s="14"/>
      <c r="O1254" s="14"/>
      <c r="P1254" s="14"/>
      <c r="Q1254" s="14"/>
      <c r="R1254" s="48"/>
      <c r="S1254" s="48"/>
      <c r="T1254" s="48"/>
      <c r="U1254" s="48"/>
      <c r="V1254" s="48"/>
      <c r="W1254" s="14"/>
      <c r="X1254" s="14"/>
      <c r="Y1254" s="14"/>
      <c r="Z1254" s="14"/>
      <c r="AA1254" s="14"/>
      <c r="AB1254" s="14"/>
      <c r="AC1254" s="14"/>
      <c r="AD1254" s="48"/>
      <c r="AE1254" s="48"/>
      <c r="AF1254" s="48"/>
      <c r="AG1254" s="48"/>
      <c r="AH1254" s="48"/>
      <c r="AI1254" s="14"/>
      <c r="AJ1254" s="14"/>
      <c r="AK1254" s="14"/>
      <c r="AL1254" s="14"/>
      <c r="AM1254" s="14"/>
      <c r="AN1254" s="14"/>
      <c r="AO1254" s="14"/>
      <c r="AP1254" s="14"/>
      <c r="AQ1254" s="14"/>
      <c r="AR1254" s="14"/>
      <c r="AS1254" s="14"/>
      <c r="AT1254" s="14"/>
      <c r="AU1254" s="14"/>
      <c r="AV1254" s="14"/>
      <c r="AW1254" s="14"/>
      <c r="AX1254" s="14"/>
      <c r="AY1254" s="14"/>
      <c r="AZ1254" s="14"/>
      <c r="BA1254" s="14"/>
    </row>
    <row r="1255" ht="14.25" customHeight="1">
      <c r="A1255" s="10"/>
      <c r="B1255" s="12"/>
      <c r="C1255" s="12"/>
      <c r="D1255" s="12"/>
      <c r="E1255" s="44"/>
      <c r="F1255" s="12"/>
      <c r="G1255" s="12"/>
      <c r="H1255" s="45"/>
      <c r="I1255" s="45"/>
      <c r="J1255" s="12"/>
      <c r="K1255" s="12"/>
      <c r="L1255" s="14"/>
      <c r="M1255" s="14"/>
      <c r="N1255" s="14"/>
      <c r="O1255" s="14"/>
      <c r="P1255" s="14"/>
      <c r="Q1255" s="14"/>
      <c r="R1255" s="48"/>
      <c r="S1255" s="48"/>
      <c r="T1255" s="48"/>
      <c r="U1255" s="48"/>
      <c r="V1255" s="48"/>
      <c r="W1255" s="14"/>
      <c r="X1255" s="14"/>
      <c r="Y1255" s="14"/>
      <c r="Z1255" s="14"/>
      <c r="AA1255" s="14"/>
      <c r="AB1255" s="14"/>
      <c r="AC1255" s="14"/>
      <c r="AD1255" s="48"/>
      <c r="AE1255" s="48"/>
      <c r="AF1255" s="48"/>
      <c r="AG1255" s="48"/>
      <c r="AH1255" s="48"/>
      <c r="AI1255" s="14"/>
      <c r="AJ1255" s="14"/>
      <c r="AK1255" s="14"/>
      <c r="AL1255" s="14"/>
      <c r="AM1255" s="14"/>
      <c r="AN1255" s="14"/>
      <c r="AO1255" s="14"/>
      <c r="AP1255" s="14"/>
      <c r="AQ1255" s="14"/>
      <c r="AR1255" s="14"/>
      <c r="AS1255" s="14"/>
      <c r="AT1255" s="14"/>
      <c r="AU1255" s="14"/>
      <c r="AV1255" s="14"/>
      <c r="AW1255" s="14"/>
      <c r="AX1255" s="14"/>
      <c r="AY1255" s="14"/>
      <c r="AZ1255" s="14"/>
      <c r="BA1255" s="14"/>
    </row>
    <row r="1256" ht="14.25" customHeight="1">
      <c r="A1256" s="10"/>
      <c r="B1256" s="12"/>
      <c r="C1256" s="12"/>
      <c r="D1256" s="12"/>
      <c r="E1256" s="44"/>
      <c r="F1256" s="12"/>
      <c r="G1256" s="12"/>
      <c r="H1256" s="45"/>
      <c r="I1256" s="45"/>
      <c r="J1256" s="12"/>
      <c r="K1256" s="12"/>
      <c r="L1256" s="14"/>
      <c r="M1256" s="14"/>
      <c r="N1256" s="14"/>
      <c r="O1256" s="14"/>
      <c r="P1256" s="14"/>
      <c r="Q1256" s="14"/>
      <c r="R1256" s="48"/>
      <c r="S1256" s="48"/>
      <c r="T1256" s="48"/>
      <c r="U1256" s="48"/>
      <c r="V1256" s="48"/>
      <c r="W1256" s="14"/>
      <c r="X1256" s="14"/>
      <c r="Y1256" s="14"/>
      <c r="Z1256" s="14"/>
      <c r="AA1256" s="14"/>
      <c r="AB1256" s="14"/>
      <c r="AC1256" s="14"/>
      <c r="AD1256" s="48"/>
      <c r="AE1256" s="48"/>
      <c r="AF1256" s="48"/>
      <c r="AG1256" s="48"/>
      <c r="AH1256" s="48"/>
      <c r="AI1256" s="14"/>
      <c r="AJ1256" s="14"/>
      <c r="AK1256" s="14"/>
      <c r="AL1256" s="14"/>
      <c r="AM1256" s="14"/>
      <c r="AN1256" s="14"/>
      <c r="AO1256" s="14"/>
      <c r="AP1256" s="14"/>
      <c r="AQ1256" s="14"/>
      <c r="AR1256" s="14"/>
      <c r="AS1256" s="14"/>
      <c r="AT1256" s="14"/>
      <c r="AU1256" s="14"/>
      <c r="AV1256" s="14"/>
      <c r="AW1256" s="14"/>
      <c r="AX1256" s="14"/>
      <c r="AY1256" s="14"/>
      <c r="AZ1256" s="14"/>
      <c r="BA1256" s="14"/>
    </row>
    <row r="1257" ht="14.25" customHeight="1">
      <c r="A1257" s="10"/>
      <c r="B1257" s="12"/>
      <c r="C1257" s="12"/>
      <c r="D1257" s="12"/>
      <c r="E1257" s="44"/>
      <c r="F1257" s="12"/>
      <c r="G1257" s="12"/>
      <c r="H1257" s="45"/>
      <c r="I1257" s="45"/>
      <c r="J1257" s="12"/>
      <c r="K1257" s="12"/>
      <c r="L1257" s="14"/>
      <c r="M1257" s="14"/>
      <c r="N1257" s="14"/>
      <c r="O1257" s="14"/>
      <c r="P1257" s="14"/>
      <c r="Q1257" s="14"/>
      <c r="R1257" s="48"/>
      <c r="S1257" s="48"/>
      <c r="T1257" s="48"/>
      <c r="U1257" s="48"/>
      <c r="V1257" s="48"/>
      <c r="W1257" s="14"/>
      <c r="X1257" s="14"/>
      <c r="Y1257" s="14"/>
      <c r="Z1257" s="14"/>
      <c r="AA1257" s="14"/>
      <c r="AB1257" s="14"/>
      <c r="AC1257" s="14"/>
      <c r="AD1257" s="48"/>
      <c r="AE1257" s="48"/>
      <c r="AF1257" s="48"/>
      <c r="AG1257" s="48"/>
      <c r="AH1257" s="48"/>
      <c r="AI1257" s="14"/>
      <c r="AJ1257" s="14"/>
      <c r="AK1257" s="14"/>
      <c r="AL1257" s="14"/>
      <c r="AM1257" s="14"/>
      <c r="AN1257" s="14"/>
      <c r="AO1257" s="14"/>
      <c r="AP1257" s="14"/>
      <c r="AQ1257" s="14"/>
      <c r="AR1257" s="14"/>
      <c r="AS1257" s="14"/>
      <c r="AT1257" s="14"/>
      <c r="AU1257" s="14"/>
      <c r="AV1257" s="14"/>
      <c r="AW1257" s="14"/>
      <c r="AX1257" s="14"/>
      <c r="AY1257" s="14"/>
      <c r="AZ1257" s="14"/>
      <c r="BA1257" s="14"/>
    </row>
    <row r="1258" ht="14.25" customHeight="1">
      <c r="A1258" s="10"/>
      <c r="B1258" s="12"/>
      <c r="C1258" s="12"/>
      <c r="D1258" s="12"/>
      <c r="E1258" s="44"/>
      <c r="F1258" s="12"/>
      <c r="G1258" s="12"/>
      <c r="H1258" s="45"/>
      <c r="I1258" s="45"/>
      <c r="J1258" s="12"/>
      <c r="K1258" s="12"/>
      <c r="L1258" s="14"/>
      <c r="M1258" s="14"/>
      <c r="N1258" s="14"/>
      <c r="O1258" s="14"/>
      <c r="P1258" s="14"/>
      <c r="Q1258" s="14"/>
      <c r="R1258" s="48"/>
      <c r="S1258" s="48"/>
      <c r="T1258" s="48"/>
      <c r="U1258" s="48"/>
      <c r="V1258" s="48"/>
      <c r="W1258" s="14"/>
      <c r="X1258" s="14"/>
      <c r="Y1258" s="14"/>
      <c r="Z1258" s="14"/>
      <c r="AA1258" s="14"/>
      <c r="AB1258" s="14"/>
      <c r="AC1258" s="14"/>
      <c r="AD1258" s="48"/>
      <c r="AE1258" s="48"/>
      <c r="AF1258" s="48"/>
      <c r="AG1258" s="48"/>
      <c r="AH1258" s="48"/>
      <c r="AI1258" s="14"/>
      <c r="AJ1258" s="14"/>
      <c r="AK1258" s="14"/>
      <c r="AL1258" s="14"/>
      <c r="AM1258" s="14"/>
      <c r="AN1258" s="14"/>
      <c r="AO1258" s="14"/>
      <c r="AP1258" s="14"/>
      <c r="AQ1258" s="14"/>
      <c r="AR1258" s="14"/>
      <c r="AS1258" s="14"/>
      <c r="AT1258" s="14"/>
      <c r="AU1258" s="14"/>
      <c r="AV1258" s="14"/>
      <c r="AW1258" s="14"/>
      <c r="AX1258" s="14"/>
      <c r="AY1258" s="14"/>
      <c r="AZ1258" s="14"/>
      <c r="BA1258" s="14"/>
    </row>
    <row r="1259" ht="14.25" customHeight="1">
      <c r="A1259" s="10"/>
      <c r="B1259" s="12"/>
      <c r="C1259" s="12"/>
      <c r="D1259" s="12"/>
      <c r="E1259" s="44"/>
      <c r="F1259" s="12"/>
      <c r="G1259" s="12"/>
      <c r="H1259" s="45"/>
      <c r="I1259" s="45"/>
      <c r="J1259" s="12"/>
      <c r="K1259" s="12"/>
      <c r="L1259" s="14"/>
      <c r="M1259" s="14"/>
      <c r="N1259" s="14"/>
      <c r="O1259" s="14"/>
      <c r="P1259" s="14"/>
      <c r="Q1259" s="14"/>
      <c r="R1259" s="48"/>
      <c r="S1259" s="48"/>
      <c r="T1259" s="48"/>
      <c r="U1259" s="48"/>
      <c r="V1259" s="48"/>
      <c r="W1259" s="14"/>
      <c r="X1259" s="14"/>
      <c r="Y1259" s="14"/>
      <c r="Z1259" s="14"/>
      <c r="AA1259" s="14"/>
      <c r="AB1259" s="14"/>
      <c r="AC1259" s="14"/>
      <c r="AD1259" s="48"/>
      <c r="AE1259" s="48"/>
      <c r="AF1259" s="48"/>
      <c r="AG1259" s="48"/>
      <c r="AH1259" s="48"/>
      <c r="AI1259" s="14"/>
      <c r="AJ1259" s="14"/>
      <c r="AK1259" s="14"/>
      <c r="AL1259" s="14"/>
      <c r="AM1259" s="14"/>
      <c r="AN1259" s="14"/>
      <c r="AO1259" s="14"/>
      <c r="AP1259" s="14"/>
      <c r="AQ1259" s="14"/>
      <c r="AR1259" s="14"/>
      <c r="AS1259" s="14"/>
      <c r="AT1259" s="14"/>
      <c r="AU1259" s="14"/>
      <c r="AV1259" s="14"/>
      <c r="AW1259" s="14"/>
      <c r="AX1259" s="14"/>
      <c r="AY1259" s="14"/>
      <c r="AZ1259" s="14"/>
      <c r="BA1259" s="14"/>
    </row>
    <row r="1260" ht="14.25" customHeight="1">
      <c r="A1260" s="10"/>
      <c r="B1260" s="12"/>
      <c r="C1260" s="12"/>
      <c r="D1260" s="12"/>
      <c r="E1260" s="44"/>
      <c r="F1260" s="12"/>
      <c r="G1260" s="12"/>
      <c r="H1260" s="45"/>
      <c r="I1260" s="45"/>
      <c r="J1260" s="12"/>
      <c r="K1260" s="12"/>
      <c r="L1260" s="14"/>
      <c r="M1260" s="14"/>
      <c r="N1260" s="14"/>
      <c r="O1260" s="14"/>
      <c r="P1260" s="14"/>
      <c r="Q1260" s="14"/>
      <c r="R1260" s="48"/>
      <c r="S1260" s="48"/>
      <c r="T1260" s="48"/>
      <c r="U1260" s="48"/>
      <c r="V1260" s="48"/>
      <c r="W1260" s="14"/>
      <c r="X1260" s="14"/>
      <c r="Y1260" s="14"/>
      <c r="Z1260" s="14"/>
      <c r="AA1260" s="14"/>
      <c r="AB1260" s="14"/>
      <c r="AC1260" s="14"/>
      <c r="AD1260" s="48"/>
      <c r="AE1260" s="48"/>
      <c r="AF1260" s="48"/>
      <c r="AG1260" s="48"/>
      <c r="AH1260" s="48"/>
      <c r="AI1260" s="14"/>
      <c r="AJ1260" s="14"/>
      <c r="AK1260" s="14"/>
      <c r="AL1260" s="14"/>
      <c r="AM1260" s="14"/>
      <c r="AN1260" s="14"/>
      <c r="AO1260" s="14"/>
      <c r="AP1260" s="14"/>
      <c r="AQ1260" s="14"/>
      <c r="AR1260" s="14"/>
      <c r="AS1260" s="14"/>
      <c r="AT1260" s="14"/>
      <c r="AU1260" s="14"/>
      <c r="AV1260" s="14"/>
      <c r="AW1260" s="14"/>
      <c r="AX1260" s="14"/>
      <c r="AY1260" s="14"/>
      <c r="AZ1260" s="14"/>
      <c r="BA1260" s="14"/>
    </row>
    <row r="1261" ht="14.25" customHeight="1">
      <c r="A1261" s="10"/>
      <c r="B1261" s="12"/>
      <c r="C1261" s="12"/>
      <c r="D1261" s="12"/>
      <c r="E1261" s="44"/>
      <c r="F1261" s="12"/>
      <c r="G1261" s="12"/>
      <c r="H1261" s="45"/>
      <c r="I1261" s="45"/>
      <c r="J1261" s="12"/>
      <c r="K1261" s="12"/>
      <c r="L1261" s="14"/>
      <c r="M1261" s="14"/>
      <c r="N1261" s="14"/>
      <c r="O1261" s="14"/>
      <c r="P1261" s="14"/>
      <c r="Q1261" s="14"/>
      <c r="R1261" s="48"/>
      <c r="S1261" s="48"/>
      <c r="T1261" s="48"/>
      <c r="U1261" s="48"/>
      <c r="V1261" s="48"/>
      <c r="W1261" s="14"/>
      <c r="X1261" s="14"/>
      <c r="Y1261" s="14"/>
      <c r="Z1261" s="14"/>
      <c r="AA1261" s="14"/>
      <c r="AB1261" s="14"/>
      <c r="AC1261" s="14"/>
      <c r="AD1261" s="48"/>
      <c r="AE1261" s="48"/>
      <c r="AF1261" s="48"/>
      <c r="AG1261" s="48"/>
      <c r="AH1261" s="48"/>
      <c r="AI1261" s="14"/>
      <c r="AJ1261" s="14"/>
      <c r="AK1261" s="14"/>
      <c r="AL1261" s="14"/>
      <c r="AM1261" s="14"/>
      <c r="AN1261" s="14"/>
      <c r="AO1261" s="14"/>
      <c r="AP1261" s="14"/>
      <c r="AQ1261" s="14"/>
      <c r="AR1261" s="14"/>
      <c r="AS1261" s="14"/>
      <c r="AT1261" s="14"/>
      <c r="AU1261" s="14"/>
      <c r="AV1261" s="14"/>
      <c r="AW1261" s="14"/>
      <c r="AX1261" s="14"/>
      <c r="AY1261" s="14"/>
      <c r="AZ1261" s="14"/>
      <c r="BA1261" s="14"/>
    </row>
    <row r="1262" ht="14.25" customHeight="1">
      <c r="A1262" s="10"/>
      <c r="B1262" s="12"/>
      <c r="C1262" s="12"/>
      <c r="D1262" s="12"/>
      <c r="E1262" s="44"/>
      <c r="F1262" s="12"/>
      <c r="G1262" s="12"/>
      <c r="H1262" s="45"/>
      <c r="I1262" s="45"/>
      <c r="J1262" s="12"/>
      <c r="K1262" s="12"/>
      <c r="L1262" s="14"/>
      <c r="M1262" s="14"/>
      <c r="N1262" s="14"/>
      <c r="O1262" s="14"/>
      <c r="P1262" s="14"/>
      <c r="Q1262" s="14"/>
      <c r="R1262" s="48"/>
      <c r="S1262" s="48"/>
      <c r="T1262" s="48"/>
      <c r="U1262" s="48"/>
      <c r="V1262" s="48"/>
      <c r="W1262" s="14"/>
      <c r="X1262" s="14"/>
      <c r="Y1262" s="14"/>
      <c r="Z1262" s="14"/>
      <c r="AA1262" s="14"/>
      <c r="AB1262" s="14"/>
      <c r="AC1262" s="14"/>
      <c r="AD1262" s="48"/>
      <c r="AE1262" s="48"/>
      <c r="AF1262" s="48"/>
      <c r="AG1262" s="48"/>
      <c r="AH1262" s="48"/>
      <c r="AI1262" s="14"/>
      <c r="AJ1262" s="14"/>
      <c r="AK1262" s="14"/>
      <c r="AL1262" s="14"/>
      <c r="AM1262" s="14"/>
      <c r="AN1262" s="14"/>
      <c r="AO1262" s="14"/>
      <c r="AP1262" s="14"/>
      <c r="AQ1262" s="14"/>
      <c r="AR1262" s="14"/>
      <c r="AS1262" s="14"/>
      <c r="AT1262" s="14"/>
      <c r="AU1262" s="14"/>
      <c r="AV1262" s="14"/>
      <c r="AW1262" s="14"/>
      <c r="AX1262" s="14"/>
      <c r="AY1262" s="14"/>
      <c r="AZ1262" s="14"/>
      <c r="BA1262" s="14"/>
    </row>
    <row r="1263" ht="14.25" customHeight="1">
      <c r="A1263" s="10"/>
      <c r="B1263" s="12"/>
      <c r="C1263" s="12"/>
      <c r="D1263" s="12"/>
      <c r="E1263" s="44"/>
      <c r="F1263" s="12"/>
      <c r="G1263" s="12"/>
      <c r="H1263" s="45"/>
      <c r="I1263" s="45"/>
      <c r="J1263" s="12"/>
      <c r="K1263" s="12"/>
      <c r="L1263" s="14"/>
      <c r="M1263" s="14"/>
      <c r="N1263" s="14"/>
      <c r="O1263" s="14"/>
      <c r="P1263" s="14"/>
      <c r="Q1263" s="14"/>
      <c r="R1263" s="48"/>
      <c r="S1263" s="48"/>
      <c r="T1263" s="48"/>
      <c r="U1263" s="48"/>
      <c r="V1263" s="48"/>
      <c r="W1263" s="14"/>
      <c r="X1263" s="14"/>
      <c r="Y1263" s="14"/>
      <c r="Z1263" s="14"/>
      <c r="AA1263" s="14"/>
      <c r="AB1263" s="14"/>
      <c r="AC1263" s="14"/>
      <c r="AD1263" s="48"/>
      <c r="AE1263" s="48"/>
      <c r="AF1263" s="48"/>
      <c r="AG1263" s="48"/>
      <c r="AH1263" s="48"/>
      <c r="AI1263" s="14"/>
      <c r="AJ1263" s="14"/>
      <c r="AK1263" s="14"/>
      <c r="AL1263" s="14"/>
      <c r="AM1263" s="14"/>
      <c r="AN1263" s="14"/>
      <c r="AO1263" s="14"/>
      <c r="AP1263" s="14"/>
      <c r="AQ1263" s="14"/>
      <c r="AR1263" s="14"/>
      <c r="AS1263" s="14"/>
      <c r="AT1263" s="14"/>
      <c r="AU1263" s="14"/>
      <c r="AV1263" s="14"/>
      <c r="AW1263" s="14"/>
      <c r="AX1263" s="14"/>
      <c r="AY1263" s="14"/>
      <c r="AZ1263" s="14"/>
      <c r="BA1263" s="14"/>
    </row>
    <row r="1264" ht="14.25" customHeight="1">
      <c r="A1264" s="10"/>
      <c r="B1264" s="12"/>
      <c r="C1264" s="12"/>
      <c r="D1264" s="12"/>
      <c r="E1264" s="44"/>
      <c r="F1264" s="12"/>
      <c r="G1264" s="12"/>
      <c r="H1264" s="45"/>
      <c r="I1264" s="45"/>
      <c r="J1264" s="12"/>
      <c r="K1264" s="12"/>
      <c r="L1264" s="14"/>
      <c r="M1264" s="14"/>
      <c r="N1264" s="14"/>
      <c r="O1264" s="14"/>
      <c r="P1264" s="14"/>
      <c r="Q1264" s="14"/>
      <c r="R1264" s="48"/>
      <c r="S1264" s="48"/>
      <c r="T1264" s="48"/>
      <c r="U1264" s="48"/>
      <c r="V1264" s="48"/>
      <c r="W1264" s="14"/>
      <c r="X1264" s="14"/>
      <c r="Y1264" s="14"/>
      <c r="Z1264" s="14"/>
      <c r="AA1264" s="14"/>
      <c r="AB1264" s="14"/>
      <c r="AC1264" s="14"/>
      <c r="AD1264" s="48"/>
      <c r="AE1264" s="48"/>
      <c r="AF1264" s="48"/>
      <c r="AG1264" s="48"/>
      <c r="AH1264" s="48"/>
      <c r="AI1264" s="14"/>
      <c r="AJ1264" s="14"/>
      <c r="AK1264" s="14"/>
      <c r="AL1264" s="14"/>
      <c r="AM1264" s="14"/>
      <c r="AN1264" s="14"/>
      <c r="AO1264" s="14"/>
      <c r="AP1264" s="14"/>
      <c r="AQ1264" s="14"/>
      <c r="AR1264" s="14"/>
      <c r="AS1264" s="14"/>
      <c r="AT1264" s="14"/>
      <c r="AU1264" s="14"/>
      <c r="AV1264" s="14"/>
      <c r="AW1264" s="14"/>
      <c r="AX1264" s="14"/>
      <c r="AY1264" s="14"/>
      <c r="AZ1264" s="14"/>
      <c r="BA1264" s="14"/>
    </row>
    <row r="1265" ht="14.25" customHeight="1">
      <c r="A1265" s="10"/>
      <c r="B1265" s="12"/>
      <c r="C1265" s="12"/>
      <c r="D1265" s="12"/>
      <c r="E1265" s="44"/>
      <c r="F1265" s="12"/>
      <c r="G1265" s="12"/>
      <c r="H1265" s="45"/>
      <c r="I1265" s="45"/>
      <c r="J1265" s="12"/>
      <c r="K1265" s="12"/>
      <c r="L1265" s="14"/>
      <c r="M1265" s="14"/>
      <c r="N1265" s="14"/>
      <c r="O1265" s="14"/>
      <c r="P1265" s="14"/>
      <c r="Q1265" s="14"/>
      <c r="R1265" s="48"/>
      <c r="S1265" s="48"/>
      <c r="T1265" s="48"/>
      <c r="U1265" s="48"/>
      <c r="V1265" s="48"/>
      <c r="W1265" s="14"/>
      <c r="X1265" s="14"/>
      <c r="Y1265" s="14"/>
      <c r="Z1265" s="14"/>
      <c r="AA1265" s="14"/>
      <c r="AB1265" s="14"/>
      <c r="AC1265" s="14"/>
      <c r="AD1265" s="48"/>
      <c r="AE1265" s="48"/>
      <c r="AF1265" s="48"/>
      <c r="AG1265" s="48"/>
      <c r="AH1265" s="48"/>
      <c r="AI1265" s="14"/>
      <c r="AJ1265" s="14"/>
      <c r="AK1265" s="14"/>
      <c r="AL1265" s="14"/>
      <c r="AM1265" s="14"/>
      <c r="AN1265" s="14"/>
      <c r="AO1265" s="14"/>
      <c r="AP1265" s="14"/>
      <c r="AQ1265" s="14"/>
      <c r="AR1265" s="14"/>
      <c r="AS1265" s="14"/>
      <c r="AT1265" s="14"/>
      <c r="AU1265" s="14"/>
      <c r="AV1265" s="14"/>
      <c r="AW1265" s="14"/>
      <c r="AX1265" s="14"/>
      <c r="AY1265" s="14"/>
      <c r="AZ1265" s="14"/>
      <c r="BA1265" s="14"/>
    </row>
    <row r="1266" ht="14.25" customHeight="1">
      <c r="A1266" s="10"/>
      <c r="B1266" s="12"/>
      <c r="C1266" s="12"/>
      <c r="D1266" s="12"/>
      <c r="E1266" s="44"/>
      <c r="F1266" s="12"/>
      <c r="G1266" s="12"/>
      <c r="H1266" s="45"/>
      <c r="I1266" s="45"/>
      <c r="J1266" s="12"/>
      <c r="K1266" s="12"/>
      <c r="L1266" s="14"/>
      <c r="M1266" s="14"/>
      <c r="N1266" s="14"/>
      <c r="O1266" s="14"/>
      <c r="P1266" s="14"/>
      <c r="Q1266" s="14"/>
      <c r="R1266" s="48"/>
      <c r="S1266" s="48"/>
      <c r="T1266" s="48"/>
      <c r="U1266" s="48"/>
      <c r="V1266" s="48"/>
      <c r="W1266" s="14"/>
      <c r="X1266" s="14"/>
      <c r="Y1266" s="14"/>
      <c r="Z1266" s="14"/>
      <c r="AA1266" s="14"/>
      <c r="AB1266" s="14"/>
      <c r="AC1266" s="14"/>
      <c r="AD1266" s="48"/>
      <c r="AE1266" s="48"/>
      <c r="AF1266" s="48"/>
      <c r="AG1266" s="48"/>
      <c r="AH1266" s="48"/>
      <c r="AI1266" s="14"/>
      <c r="AJ1266" s="14"/>
      <c r="AK1266" s="14"/>
      <c r="AL1266" s="14"/>
      <c r="AM1266" s="14"/>
      <c r="AN1266" s="14"/>
      <c r="AO1266" s="14"/>
      <c r="AP1266" s="14"/>
      <c r="AQ1266" s="14"/>
      <c r="AR1266" s="14"/>
      <c r="AS1266" s="14"/>
      <c r="AT1266" s="14"/>
      <c r="AU1266" s="14"/>
      <c r="AV1266" s="14"/>
      <c r="AW1266" s="14"/>
      <c r="AX1266" s="14"/>
      <c r="AY1266" s="14"/>
      <c r="AZ1266" s="14"/>
      <c r="BA1266" s="14"/>
    </row>
    <row r="1267" ht="14.25" customHeight="1">
      <c r="A1267" s="10"/>
      <c r="B1267" s="12"/>
      <c r="C1267" s="12"/>
      <c r="D1267" s="12"/>
      <c r="E1267" s="44"/>
      <c r="F1267" s="12"/>
      <c r="G1267" s="12"/>
      <c r="H1267" s="45"/>
      <c r="I1267" s="45"/>
      <c r="J1267" s="12"/>
      <c r="K1267" s="12"/>
      <c r="L1267" s="14"/>
      <c r="M1267" s="14"/>
      <c r="N1267" s="14"/>
      <c r="O1267" s="14"/>
      <c r="P1267" s="14"/>
      <c r="Q1267" s="14"/>
      <c r="R1267" s="48"/>
      <c r="S1267" s="48"/>
      <c r="T1267" s="48"/>
      <c r="U1267" s="48"/>
      <c r="V1267" s="48"/>
      <c r="W1267" s="14"/>
      <c r="X1267" s="14"/>
      <c r="Y1267" s="14"/>
      <c r="Z1267" s="14"/>
      <c r="AA1267" s="14"/>
      <c r="AB1267" s="14"/>
      <c r="AC1267" s="14"/>
      <c r="AD1267" s="48"/>
      <c r="AE1267" s="48"/>
      <c r="AF1267" s="48"/>
      <c r="AG1267" s="48"/>
      <c r="AH1267" s="48"/>
      <c r="AI1267" s="14"/>
      <c r="AJ1267" s="14"/>
      <c r="AK1267" s="14"/>
      <c r="AL1267" s="14"/>
      <c r="AM1267" s="14"/>
      <c r="AN1267" s="14"/>
      <c r="AO1267" s="14"/>
      <c r="AP1267" s="14"/>
      <c r="AQ1267" s="14"/>
      <c r="AR1267" s="14"/>
      <c r="AS1267" s="14"/>
      <c r="AT1267" s="14"/>
      <c r="AU1267" s="14"/>
      <c r="AV1267" s="14"/>
      <c r="AW1267" s="14"/>
      <c r="AX1267" s="14"/>
      <c r="AY1267" s="14"/>
      <c r="AZ1267" s="14"/>
      <c r="BA1267" s="14"/>
    </row>
    <row r="1268" ht="14.25" customHeight="1">
      <c r="A1268" s="10"/>
      <c r="B1268" s="12"/>
      <c r="C1268" s="12"/>
      <c r="D1268" s="12"/>
      <c r="E1268" s="44"/>
      <c r="F1268" s="12"/>
      <c r="G1268" s="12"/>
      <c r="H1268" s="45"/>
      <c r="I1268" s="45"/>
      <c r="J1268" s="12"/>
      <c r="K1268" s="12"/>
      <c r="L1268" s="14"/>
      <c r="M1268" s="14"/>
      <c r="N1268" s="14"/>
      <c r="O1268" s="14"/>
      <c r="P1268" s="14"/>
      <c r="Q1268" s="14"/>
      <c r="R1268" s="48"/>
      <c r="S1268" s="48"/>
      <c r="T1268" s="48"/>
      <c r="U1268" s="48"/>
      <c r="V1268" s="48"/>
      <c r="W1268" s="14"/>
      <c r="X1268" s="14"/>
      <c r="Y1268" s="14"/>
      <c r="Z1268" s="14"/>
      <c r="AA1268" s="14"/>
      <c r="AB1268" s="14"/>
      <c r="AC1268" s="14"/>
      <c r="AD1268" s="48"/>
      <c r="AE1268" s="48"/>
      <c r="AF1268" s="48"/>
      <c r="AG1268" s="48"/>
      <c r="AH1268" s="48"/>
      <c r="AI1268" s="14"/>
      <c r="AJ1268" s="14"/>
      <c r="AK1268" s="14"/>
      <c r="AL1268" s="14"/>
      <c r="AM1268" s="14"/>
      <c r="AN1268" s="14"/>
      <c r="AO1268" s="14"/>
      <c r="AP1268" s="14"/>
      <c r="AQ1268" s="14"/>
      <c r="AR1268" s="14"/>
      <c r="AS1268" s="14"/>
      <c r="AT1268" s="14"/>
      <c r="AU1268" s="14"/>
      <c r="AV1268" s="14"/>
      <c r="AW1268" s="14"/>
      <c r="AX1268" s="14"/>
      <c r="AY1268" s="14"/>
      <c r="AZ1268" s="14"/>
      <c r="BA1268" s="14"/>
    </row>
    <row r="1269" ht="14.25" customHeight="1">
      <c r="A1269" s="10"/>
      <c r="B1269" s="12"/>
      <c r="C1269" s="12"/>
      <c r="D1269" s="12"/>
      <c r="E1269" s="44"/>
      <c r="F1269" s="12"/>
      <c r="G1269" s="12"/>
      <c r="H1269" s="45"/>
      <c r="I1269" s="45"/>
      <c r="J1269" s="12"/>
      <c r="K1269" s="12"/>
      <c r="L1269" s="14"/>
      <c r="M1269" s="14"/>
      <c r="N1269" s="14"/>
      <c r="O1269" s="14"/>
      <c r="P1269" s="14"/>
      <c r="Q1269" s="14"/>
      <c r="R1269" s="48"/>
      <c r="S1269" s="48"/>
      <c r="T1269" s="48"/>
      <c r="U1269" s="48"/>
      <c r="V1269" s="48"/>
      <c r="W1269" s="14"/>
      <c r="X1269" s="14"/>
      <c r="Y1269" s="14"/>
      <c r="Z1269" s="14"/>
      <c r="AA1269" s="14"/>
      <c r="AB1269" s="14"/>
      <c r="AC1269" s="14"/>
      <c r="AD1269" s="48"/>
      <c r="AE1269" s="48"/>
      <c r="AF1269" s="48"/>
      <c r="AG1269" s="48"/>
      <c r="AH1269" s="48"/>
      <c r="AI1269" s="14"/>
      <c r="AJ1269" s="14"/>
      <c r="AK1269" s="14"/>
      <c r="AL1269" s="14"/>
      <c r="AM1269" s="14"/>
      <c r="AN1269" s="14"/>
      <c r="AO1269" s="14"/>
      <c r="AP1269" s="14"/>
      <c r="AQ1269" s="14"/>
      <c r="AR1269" s="14"/>
      <c r="AS1269" s="14"/>
      <c r="AT1269" s="14"/>
      <c r="AU1269" s="14"/>
      <c r="AV1269" s="14"/>
      <c r="AW1269" s="14"/>
      <c r="AX1269" s="14"/>
      <c r="AY1269" s="14"/>
      <c r="AZ1269" s="14"/>
      <c r="BA1269" s="14"/>
    </row>
    <row r="1270" ht="14.25" customHeight="1">
      <c r="A1270" s="10"/>
      <c r="B1270" s="12"/>
      <c r="C1270" s="12"/>
      <c r="D1270" s="12"/>
      <c r="E1270" s="44"/>
      <c r="F1270" s="12"/>
      <c r="G1270" s="12"/>
      <c r="H1270" s="45"/>
      <c r="I1270" s="45"/>
      <c r="J1270" s="12"/>
      <c r="K1270" s="12"/>
      <c r="L1270" s="14"/>
      <c r="M1270" s="14"/>
      <c r="N1270" s="14"/>
      <c r="O1270" s="14"/>
      <c r="P1270" s="14"/>
      <c r="Q1270" s="14"/>
      <c r="R1270" s="48"/>
      <c r="S1270" s="48"/>
      <c r="T1270" s="48"/>
      <c r="U1270" s="48"/>
      <c r="V1270" s="48"/>
      <c r="W1270" s="14"/>
      <c r="X1270" s="14"/>
      <c r="Y1270" s="14"/>
      <c r="Z1270" s="14"/>
      <c r="AA1270" s="14"/>
      <c r="AB1270" s="14"/>
      <c r="AC1270" s="14"/>
      <c r="AD1270" s="48"/>
      <c r="AE1270" s="48"/>
      <c r="AF1270" s="48"/>
      <c r="AG1270" s="48"/>
      <c r="AH1270" s="48"/>
      <c r="AI1270" s="14"/>
      <c r="AJ1270" s="14"/>
      <c r="AK1270" s="14"/>
      <c r="AL1270" s="14"/>
      <c r="AM1270" s="14"/>
      <c r="AN1270" s="14"/>
      <c r="AO1270" s="14"/>
      <c r="AP1270" s="14"/>
      <c r="AQ1270" s="14"/>
      <c r="AR1270" s="14"/>
      <c r="AS1270" s="14"/>
      <c r="AT1270" s="14"/>
      <c r="AU1270" s="14"/>
      <c r="AV1270" s="14"/>
      <c r="AW1270" s="14"/>
      <c r="AX1270" s="14"/>
      <c r="AY1270" s="14"/>
      <c r="AZ1270" s="14"/>
      <c r="BA1270" s="14"/>
    </row>
    <row r="1271" ht="14.25" customHeight="1">
      <c r="A1271" s="10"/>
      <c r="B1271" s="12"/>
      <c r="C1271" s="12"/>
      <c r="D1271" s="12"/>
      <c r="E1271" s="44"/>
      <c r="F1271" s="12"/>
      <c r="G1271" s="12"/>
      <c r="H1271" s="45"/>
      <c r="I1271" s="45"/>
      <c r="J1271" s="12"/>
      <c r="K1271" s="12"/>
      <c r="L1271" s="14"/>
      <c r="M1271" s="14"/>
      <c r="N1271" s="14"/>
      <c r="O1271" s="14"/>
      <c r="P1271" s="14"/>
      <c r="Q1271" s="14"/>
      <c r="R1271" s="48"/>
      <c r="S1271" s="48"/>
      <c r="T1271" s="48"/>
      <c r="U1271" s="48"/>
      <c r="V1271" s="48"/>
      <c r="W1271" s="14"/>
      <c r="X1271" s="14"/>
      <c r="Y1271" s="14"/>
      <c r="Z1271" s="14"/>
      <c r="AA1271" s="14"/>
      <c r="AB1271" s="14"/>
      <c r="AC1271" s="14"/>
      <c r="AD1271" s="48"/>
      <c r="AE1271" s="48"/>
      <c r="AF1271" s="48"/>
      <c r="AG1271" s="48"/>
      <c r="AH1271" s="48"/>
      <c r="AI1271" s="14"/>
      <c r="AJ1271" s="14"/>
      <c r="AK1271" s="14"/>
      <c r="AL1271" s="14"/>
      <c r="AM1271" s="14"/>
      <c r="AN1271" s="14"/>
      <c r="AO1271" s="14"/>
      <c r="AP1271" s="14"/>
      <c r="AQ1271" s="14"/>
      <c r="AR1271" s="14"/>
      <c r="AS1271" s="14"/>
      <c r="AT1271" s="14"/>
      <c r="AU1271" s="14"/>
      <c r="AV1271" s="14"/>
      <c r="AW1271" s="14"/>
      <c r="AX1271" s="14"/>
      <c r="AY1271" s="14"/>
      <c r="AZ1271" s="14"/>
      <c r="BA1271" s="14"/>
    </row>
    <row r="1272" ht="14.25" customHeight="1">
      <c r="A1272" s="10"/>
      <c r="B1272" s="12"/>
      <c r="C1272" s="12"/>
      <c r="D1272" s="12"/>
      <c r="E1272" s="44"/>
      <c r="F1272" s="12"/>
      <c r="G1272" s="12"/>
      <c r="H1272" s="45"/>
      <c r="I1272" s="45"/>
      <c r="J1272" s="12"/>
      <c r="K1272" s="12"/>
      <c r="L1272" s="14"/>
      <c r="M1272" s="14"/>
      <c r="N1272" s="14"/>
      <c r="O1272" s="14"/>
      <c r="P1272" s="14"/>
      <c r="Q1272" s="14"/>
      <c r="R1272" s="48"/>
      <c r="S1272" s="48"/>
      <c r="T1272" s="48"/>
      <c r="U1272" s="48"/>
      <c r="V1272" s="48"/>
      <c r="W1272" s="14"/>
      <c r="X1272" s="14"/>
      <c r="Y1272" s="14"/>
      <c r="Z1272" s="14"/>
      <c r="AA1272" s="14"/>
      <c r="AB1272" s="14"/>
      <c r="AC1272" s="14"/>
      <c r="AD1272" s="48"/>
      <c r="AE1272" s="48"/>
      <c r="AF1272" s="48"/>
      <c r="AG1272" s="48"/>
      <c r="AH1272" s="48"/>
      <c r="AI1272" s="14"/>
      <c r="AJ1272" s="14"/>
      <c r="AK1272" s="14"/>
      <c r="AL1272" s="14"/>
      <c r="AM1272" s="14"/>
      <c r="AN1272" s="14"/>
      <c r="AO1272" s="14"/>
      <c r="AP1272" s="14"/>
      <c r="AQ1272" s="14"/>
      <c r="AR1272" s="14"/>
      <c r="AS1272" s="14"/>
      <c r="AT1272" s="14"/>
      <c r="AU1272" s="14"/>
      <c r="AV1272" s="14"/>
      <c r="AW1272" s="14"/>
      <c r="AX1272" s="14"/>
      <c r="AY1272" s="14"/>
      <c r="AZ1272" s="14"/>
      <c r="BA1272" s="14"/>
    </row>
    <row r="1273" ht="14.25" customHeight="1">
      <c r="A1273" s="10"/>
      <c r="B1273" s="12"/>
      <c r="C1273" s="12"/>
      <c r="D1273" s="12"/>
      <c r="E1273" s="44"/>
      <c r="F1273" s="12"/>
      <c r="G1273" s="12"/>
      <c r="H1273" s="45"/>
      <c r="I1273" s="45"/>
      <c r="J1273" s="12"/>
      <c r="K1273" s="12"/>
      <c r="L1273" s="14"/>
      <c r="M1273" s="14"/>
      <c r="N1273" s="14"/>
      <c r="O1273" s="14"/>
      <c r="P1273" s="14"/>
      <c r="Q1273" s="14"/>
      <c r="R1273" s="48"/>
      <c r="S1273" s="48"/>
      <c r="T1273" s="48"/>
      <c r="U1273" s="48"/>
      <c r="V1273" s="48"/>
      <c r="W1273" s="14"/>
      <c r="X1273" s="14"/>
      <c r="Y1273" s="14"/>
      <c r="Z1273" s="14"/>
      <c r="AA1273" s="14"/>
      <c r="AB1273" s="14"/>
      <c r="AC1273" s="14"/>
      <c r="AD1273" s="48"/>
      <c r="AE1273" s="48"/>
      <c r="AF1273" s="48"/>
      <c r="AG1273" s="48"/>
      <c r="AH1273" s="48"/>
      <c r="AI1273" s="14"/>
      <c r="AJ1273" s="14"/>
      <c r="AK1273" s="14"/>
      <c r="AL1273" s="14"/>
      <c r="AM1273" s="14"/>
      <c r="AN1273" s="14"/>
      <c r="AO1273" s="14"/>
      <c r="AP1273" s="14"/>
      <c r="AQ1273" s="14"/>
      <c r="AR1273" s="14"/>
      <c r="AS1273" s="14"/>
      <c r="AT1273" s="14"/>
      <c r="AU1273" s="14"/>
      <c r="AV1273" s="14"/>
      <c r="AW1273" s="14"/>
      <c r="AX1273" s="14"/>
      <c r="AY1273" s="14"/>
      <c r="AZ1273" s="14"/>
      <c r="BA1273" s="14"/>
    </row>
    <row r="1274" ht="14.25" customHeight="1">
      <c r="A1274" s="10"/>
      <c r="B1274" s="12"/>
      <c r="C1274" s="12"/>
      <c r="D1274" s="12"/>
      <c r="E1274" s="44"/>
      <c r="F1274" s="12"/>
      <c r="G1274" s="12"/>
      <c r="H1274" s="45"/>
      <c r="I1274" s="45"/>
      <c r="J1274" s="12"/>
      <c r="K1274" s="12"/>
      <c r="L1274" s="14"/>
      <c r="M1274" s="14"/>
      <c r="N1274" s="14"/>
      <c r="O1274" s="14"/>
      <c r="P1274" s="14"/>
      <c r="Q1274" s="14"/>
      <c r="R1274" s="48"/>
      <c r="S1274" s="48"/>
      <c r="T1274" s="48"/>
      <c r="U1274" s="48"/>
      <c r="V1274" s="48"/>
      <c r="W1274" s="14"/>
      <c r="X1274" s="14"/>
      <c r="Y1274" s="14"/>
      <c r="Z1274" s="14"/>
      <c r="AA1274" s="14"/>
      <c r="AB1274" s="14"/>
      <c r="AC1274" s="14"/>
      <c r="AD1274" s="48"/>
      <c r="AE1274" s="48"/>
      <c r="AF1274" s="48"/>
      <c r="AG1274" s="48"/>
      <c r="AH1274" s="48"/>
      <c r="AI1274" s="14"/>
      <c r="AJ1274" s="14"/>
      <c r="AK1274" s="14"/>
      <c r="AL1274" s="14"/>
      <c r="AM1274" s="14"/>
      <c r="AN1274" s="14"/>
      <c r="AO1274" s="14"/>
      <c r="AP1274" s="14"/>
      <c r="AQ1274" s="14"/>
      <c r="AR1274" s="14"/>
      <c r="AS1274" s="14"/>
      <c r="AT1274" s="14"/>
      <c r="AU1274" s="14"/>
      <c r="AV1274" s="14"/>
      <c r="AW1274" s="14"/>
      <c r="AX1274" s="14"/>
      <c r="AY1274" s="14"/>
      <c r="AZ1274" s="14"/>
      <c r="BA1274" s="14"/>
    </row>
    <row r="1275" ht="14.25" customHeight="1">
      <c r="A1275" s="10"/>
      <c r="B1275" s="12"/>
      <c r="C1275" s="12"/>
      <c r="D1275" s="12"/>
      <c r="E1275" s="44"/>
      <c r="F1275" s="12"/>
      <c r="G1275" s="12"/>
      <c r="H1275" s="45"/>
      <c r="I1275" s="45"/>
      <c r="J1275" s="12"/>
      <c r="K1275" s="12"/>
      <c r="L1275" s="14"/>
      <c r="M1275" s="14"/>
      <c r="N1275" s="14"/>
      <c r="O1275" s="14"/>
      <c r="P1275" s="14"/>
      <c r="Q1275" s="14"/>
      <c r="R1275" s="48"/>
      <c r="S1275" s="48"/>
      <c r="T1275" s="48"/>
      <c r="U1275" s="48"/>
      <c r="V1275" s="48"/>
      <c r="W1275" s="14"/>
      <c r="X1275" s="14"/>
      <c r="Y1275" s="14"/>
      <c r="Z1275" s="14"/>
      <c r="AA1275" s="14"/>
      <c r="AB1275" s="14"/>
      <c r="AC1275" s="14"/>
      <c r="AD1275" s="48"/>
      <c r="AE1275" s="48"/>
      <c r="AF1275" s="48"/>
      <c r="AG1275" s="48"/>
      <c r="AH1275" s="48"/>
      <c r="AI1275" s="14"/>
      <c r="AJ1275" s="14"/>
      <c r="AK1275" s="14"/>
      <c r="AL1275" s="14"/>
      <c r="AM1275" s="14"/>
      <c r="AN1275" s="14"/>
      <c r="AO1275" s="14"/>
      <c r="AP1275" s="14"/>
      <c r="AQ1275" s="14"/>
      <c r="AR1275" s="14"/>
      <c r="AS1275" s="14"/>
      <c r="AT1275" s="14"/>
      <c r="AU1275" s="14"/>
      <c r="AV1275" s="14"/>
      <c r="AW1275" s="14"/>
      <c r="AX1275" s="14"/>
      <c r="AY1275" s="14"/>
      <c r="AZ1275" s="14"/>
      <c r="BA1275" s="14"/>
    </row>
    <row r="1276" ht="14.25" customHeight="1">
      <c r="A1276" s="10"/>
      <c r="B1276" s="12"/>
      <c r="C1276" s="12"/>
      <c r="D1276" s="12"/>
      <c r="E1276" s="44"/>
      <c r="F1276" s="12"/>
      <c r="G1276" s="12"/>
      <c r="H1276" s="45"/>
      <c r="I1276" s="45"/>
      <c r="J1276" s="12"/>
      <c r="K1276" s="12"/>
      <c r="L1276" s="14"/>
      <c r="M1276" s="14"/>
      <c r="N1276" s="14"/>
      <c r="O1276" s="14"/>
      <c r="P1276" s="14"/>
      <c r="Q1276" s="14"/>
      <c r="R1276" s="48"/>
      <c r="S1276" s="48"/>
      <c r="T1276" s="48"/>
      <c r="U1276" s="48"/>
      <c r="V1276" s="48"/>
      <c r="W1276" s="14"/>
      <c r="X1276" s="14"/>
      <c r="Y1276" s="14"/>
      <c r="Z1276" s="14"/>
      <c r="AA1276" s="14"/>
      <c r="AB1276" s="14"/>
      <c r="AC1276" s="14"/>
      <c r="AD1276" s="48"/>
      <c r="AE1276" s="48"/>
      <c r="AF1276" s="48"/>
      <c r="AG1276" s="48"/>
      <c r="AH1276" s="48"/>
      <c r="AI1276" s="14"/>
      <c r="AJ1276" s="14"/>
      <c r="AK1276" s="14"/>
      <c r="AL1276" s="14"/>
      <c r="AM1276" s="14"/>
      <c r="AN1276" s="14"/>
      <c r="AO1276" s="14"/>
      <c r="AP1276" s="14"/>
      <c r="AQ1276" s="14"/>
      <c r="AR1276" s="14"/>
      <c r="AS1276" s="14"/>
      <c r="AT1276" s="14"/>
      <c r="AU1276" s="14"/>
      <c r="AV1276" s="14"/>
      <c r="AW1276" s="14"/>
      <c r="AX1276" s="14"/>
      <c r="AY1276" s="14"/>
      <c r="AZ1276" s="14"/>
      <c r="BA1276" s="14"/>
    </row>
    <row r="1277" ht="14.25" customHeight="1">
      <c r="A1277" s="10"/>
      <c r="B1277" s="12"/>
      <c r="C1277" s="12"/>
      <c r="D1277" s="12"/>
      <c r="E1277" s="44"/>
      <c r="F1277" s="12"/>
      <c r="G1277" s="12"/>
      <c r="H1277" s="45"/>
      <c r="I1277" s="45"/>
      <c r="J1277" s="12"/>
      <c r="K1277" s="12"/>
      <c r="L1277" s="14"/>
      <c r="M1277" s="14"/>
      <c r="N1277" s="14"/>
      <c r="O1277" s="14"/>
      <c r="P1277" s="14"/>
      <c r="Q1277" s="14"/>
      <c r="R1277" s="48"/>
      <c r="S1277" s="48"/>
      <c r="T1277" s="48"/>
      <c r="U1277" s="48"/>
      <c r="V1277" s="48"/>
      <c r="W1277" s="14"/>
      <c r="X1277" s="14"/>
      <c r="Y1277" s="14"/>
      <c r="Z1277" s="14"/>
      <c r="AA1277" s="14"/>
      <c r="AB1277" s="14"/>
      <c r="AC1277" s="14"/>
      <c r="AD1277" s="48"/>
      <c r="AE1277" s="48"/>
      <c r="AF1277" s="48"/>
      <c r="AG1277" s="48"/>
      <c r="AH1277" s="48"/>
      <c r="AI1277" s="14"/>
      <c r="AJ1277" s="14"/>
      <c r="AK1277" s="14"/>
      <c r="AL1277" s="14"/>
      <c r="AM1277" s="14"/>
      <c r="AN1277" s="14"/>
      <c r="AO1277" s="14"/>
      <c r="AP1277" s="14"/>
      <c r="AQ1277" s="14"/>
      <c r="AR1277" s="14"/>
      <c r="AS1277" s="14"/>
      <c r="AT1277" s="14"/>
      <c r="AU1277" s="14"/>
      <c r="AV1277" s="14"/>
      <c r="AW1277" s="14"/>
      <c r="AX1277" s="14"/>
      <c r="AY1277" s="14"/>
      <c r="AZ1277" s="14"/>
      <c r="BA1277" s="14"/>
    </row>
    <row r="1278" ht="14.25" customHeight="1">
      <c r="A1278" s="10"/>
      <c r="B1278" s="12"/>
      <c r="C1278" s="12"/>
      <c r="D1278" s="12"/>
      <c r="E1278" s="44"/>
      <c r="F1278" s="12"/>
      <c r="G1278" s="12"/>
      <c r="H1278" s="45"/>
      <c r="I1278" s="45"/>
      <c r="J1278" s="12"/>
      <c r="K1278" s="12"/>
      <c r="L1278" s="14"/>
      <c r="M1278" s="14"/>
      <c r="N1278" s="14"/>
      <c r="O1278" s="14"/>
      <c r="P1278" s="14"/>
      <c r="Q1278" s="14"/>
      <c r="R1278" s="48"/>
      <c r="S1278" s="48"/>
      <c r="T1278" s="48"/>
      <c r="U1278" s="48"/>
      <c r="V1278" s="48"/>
      <c r="W1278" s="14"/>
      <c r="X1278" s="14"/>
      <c r="Y1278" s="14"/>
      <c r="Z1278" s="14"/>
      <c r="AA1278" s="14"/>
      <c r="AB1278" s="14"/>
      <c r="AC1278" s="14"/>
      <c r="AD1278" s="48"/>
      <c r="AE1278" s="48"/>
      <c r="AF1278" s="48"/>
      <c r="AG1278" s="48"/>
      <c r="AH1278" s="48"/>
      <c r="AI1278" s="14"/>
      <c r="AJ1278" s="14"/>
      <c r="AK1278" s="14"/>
      <c r="AL1278" s="14"/>
      <c r="AM1278" s="14"/>
      <c r="AN1278" s="14"/>
      <c r="AO1278" s="14"/>
      <c r="AP1278" s="14"/>
      <c r="AQ1278" s="14"/>
      <c r="AR1278" s="14"/>
      <c r="AS1278" s="14"/>
      <c r="AT1278" s="14"/>
      <c r="AU1278" s="14"/>
      <c r="AV1278" s="14"/>
      <c r="AW1278" s="14"/>
      <c r="AX1278" s="14"/>
      <c r="AY1278" s="14"/>
      <c r="AZ1278" s="14"/>
      <c r="BA1278" s="14"/>
    </row>
    <row r="1279" ht="14.25" customHeight="1">
      <c r="A1279" s="10"/>
      <c r="B1279" s="12"/>
      <c r="C1279" s="12"/>
      <c r="D1279" s="12"/>
      <c r="E1279" s="44"/>
      <c r="F1279" s="12"/>
      <c r="G1279" s="12"/>
      <c r="H1279" s="45"/>
      <c r="I1279" s="45"/>
      <c r="J1279" s="12"/>
      <c r="K1279" s="12"/>
      <c r="L1279" s="14"/>
      <c r="M1279" s="14"/>
      <c r="N1279" s="14"/>
      <c r="O1279" s="14"/>
      <c r="P1279" s="14"/>
      <c r="Q1279" s="14"/>
      <c r="R1279" s="48"/>
      <c r="S1279" s="48"/>
      <c r="T1279" s="48"/>
      <c r="U1279" s="48"/>
      <c r="V1279" s="48"/>
      <c r="W1279" s="14"/>
      <c r="X1279" s="14"/>
      <c r="Y1279" s="14"/>
      <c r="Z1279" s="14"/>
      <c r="AA1279" s="14"/>
      <c r="AB1279" s="14"/>
      <c r="AC1279" s="14"/>
      <c r="AD1279" s="48"/>
      <c r="AE1279" s="48"/>
      <c r="AF1279" s="48"/>
      <c r="AG1279" s="48"/>
      <c r="AH1279" s="48"/>
      <c r="AI1279" s="14"/>
      <c r="AJ1279" s="14"/>
      <c r="AK1279" s="14"/>
      <c r="AL1279" s="14"/>
      <c r="AM1279" s="14"/>
      <c r="AN1279" s="14"/>
      <c r="AO1279" s="14"/>
      <c r="AP1279" s="14"/>
      <c r="AQ1279" s="14"/>
      <c r="AR1279" s="14"/>
      <c r="AS1279" s="14"/>
      <c r="AT1279" s="14"/>
      <c r="AU1279" s="14"/>
      <c r="AV1279" s="14"/>
      <c r="AW1279" s="14"/>
      <c r="AX1279" s="14"/>
      <c r="AY1279" s="14"/>
      <c r="AZ1279" s="14"/>
      <c r="BA1279" s="14"/>
    </row>
    <row r="1280" ht="14.25" customHeight="1">
      <c r="A1280" s="10"/>
      <c r="B1280" s="12"/>
      <c r="C1280" s="12"/>
      <c r="D1280" s="12"/>
      <c r="E1280" s="44"/>
      <c r="F1280" s="12"/>
      <c r="G1280" s="12"/>
      <c r="H1280" s="45"/>
      <c r="I1280" s="45"/>
      <c r="J1280" s="12"/>
      <c r="K1280" s="12"/>
      <c r="L1280" s="14"/>
      <c r="M1280" s="14"/>
      <c r="N1280" s="14"/>
      <c r="O1280" s="14"/>
      <c r="P1280" s="14"/>
      <c r="Q1280" s="14"/>
      <c r="R1280" s="48"/>
      <c r="S1280" s="48"/>
      <c r="T1280" s="48"/>
      <c r="U1280" s="48"/>
      <c r="V1280" s="48"/>
      <c r="W1280" s="14"/>
      <c r="X1280" s="14"/>
      <c r="Y1280" s="14"/>
      <c r="Z1280" s="14"/>
      <c r="AA1280" s="14"/>
      <c r="AB1280" s="14"/>
      <c r="AC1280" s="14"/>
      <c r="AD1280" s="48"/>
      <c r="AE1280" s="48"/>
      <c r="AF1280" s="48"/>
      <c r="AG1280" s="48"/>
      <c r="AH1280" s="48"/>
      <c r="AI1280" s="14"/>
      <c r="AJ1280" s="14"/>
      <c r="AK1280" s="14"/>
      <c r="AL1280" s="14"/>
      <c r="AM1280" s="14"/>
      <c r="AN1280" s="14"/>
      <c r="AO1280" s="14"/>
      <c r="AP1280" s="14"/>
      <c r="AQ1280" s="14"/>
      <c r="AR1280" s="14"/>
      <c r="AS1280" s="14"/>
      <c r="AT1280" s="14"/>
      <c r="AU1280" s="14"/>
      <c r="AV1280" s="14"/>
      <c r="AW1280" s="14"/>
      <c r="AX1280" s="14"/>
      <c r="AY1280" s="14"/>
      <c r="AZ1280" s="14"/>
      <c r="BA1280" s="14"/>
    </row>
    <row r="1281" ht="14.25" customHeight="1">
      <c r="A1281" s="10"/>
      <c r="B1281" s="12"/>
      <c r="C1281" s="12"/>
      <c r="D1281" s="12"/>
      <c r="E1281" s="44"/>
      <c r="F1281" s="12"/>
      <c r="G1281" s="12"/>
      <c r="H1281" s="45"/>
      <c r="I1281" s="45"/>
      <c r="J1281" s="12"/>
      <c r="K1281" s="12"/>
      <c r="L1281" s="14"/>
      <c r="M1281" s="14"/>
      <c r="N1281" s="14"/>
      <c r="O1281" s="14"/>
      <c r="P1281" s="14"/>
      <c r="Q1281" s="14"/>
      <c r="R1281" s="48"/>
      <c r="S1281" s="48"/>
      <c r="T1281" s="48"/>
      <c r="U1281" s="48"/>
      <c r="V1281" s="48"/>
      <c r="W1281" s="14"/>
      <c r="X1281" s="14"/>
      <c r="Y1281" s="14"/>
      <c r="Z1281" s="14"/>
      <c r="AA1281" s="14"/>
      <c r="AB1281" s="14"/>
      <c r="AC1281" s="14"/>
      <c r="AD1281" s="48"/>
      <c r="AE1281" s="48"/>
      <c r="AF1281" s="48"/>
      <c r="AG1281" s="48"/>
      <c r="AH1281" s="48"/>
      <c r="AI1281" s="14"/>
      <c r="AJ1281" s="14"/>
      <c r="AK1281" s="14"/>
      <c r="AL1281" s="14"/>
      <c r="AM1281" s="14"/>
      <c r="AN1281" s="14"/>
      <c r="AO1281" s="14"/>
      <c r="AP1281" s="14"/>
      <c r="AQ1281" s="14"/>
      <c r="AR1281" s="14"/>
      <c r="AS1281" s="14"/>
      <c r="AT1281" s="14"/>
      <c r="AU1281" s="14"/>
      <c r="AV1281" s="14"/>
      <c r="AW1281" s="14"/>
      <c r="AX1281" s="14"/>
      <c r="AY1281" s="14"/>
      <c r="AZ1281" s="14"/>
      <c r="BA1281" s="14"/>
    </row>
    <row r="1282" ht="14.25" customHeight="1">
      <c r="A1282" s="10"/>
      <c r="B1282" s="12"/>
      <c r="C1282" s="12"/>
      <c r="D1282" s="12"/>
      <c r="E1282" s="44"/>
      <c r="F1282" s="12"/>
      <c r="G1282" s="12"/>
      <c r="H1282" s="45"/>
      <c r="I1282" s="45"/>
      <c r="J1282" s="12"/>
      <c r="K1282" s="12"/>
      <c r="L1282" s="14"/>
      <c r="M1282" s="14"/>
      <c r="N1282" s="14"/>
      <c r="O1282" s="14"/>
      <c r="P1282" s="14"/>
      <c r="Q1282" s="14"/>
      <c r="R1282" s="48"/>
      <c r="S1282" s="48"/>
      <c r="T1282" s="48"/>
      <c r="U1282" s="48"/>
      <c r="V1282" s="48"/>
      <c r="W1282" s="14"/>
      <c r="X1282" s="14"/>
      <c r="Y1282" s="14"/>
      <c r="Z1282" s="14"/>
      <c r="AA1282" s="14"/>
      <c r="AB1282" s="14"/>
      <c r="AC1282" s="14"/>
      <c r="AD1282" s="48"/>
      <c r="AE1282" s="48"/>
      <c r="AF1282" s="48"/>
      <c r="AG1282" s="48"/>
      <c r="AH1282" s="48"/>
      <c r="AI1282" s="14"/>
      <c r="AJ1282" s="14"/>
      <c r="AK1282" s="14"/>
      <c r="AL1282" s="14"/>
      <c r="AM1282" s="14"/>
      <c r="AN1282" s="14"/>
      <c r="AO1282" s="14"/>
      <c r="AP1282" s="14"/>
      <c r="AQ1282" s="14"/>
      <c r="AR1282" s="14"/>
      <c r="AS1282" s="14"/>
      <c r="AT1282" s="14"/>
      <c r="AU1282" s="14"/>
      <c r="AV1282" s="14"/>
      <c r="AW1282" s="14"/>
      <c r="AX1282" s="14"/>
      <c r="AY1282" s="14"/>
      <c r="AZ1282" s="14"/>
      <c r="BA1282" s="14"/>
    </row>
    <row r="1283" ht="14.25" customHeight="1">
      <c r="A1283" s="10"/>
      <c r="B1283" s="12"/>
      <c r="C1283" s="12"/>
      <c r="D1283" s="12"/>
      <c r="E1283" s="44"/>
      <c r="F1283" s="12"/>
      <c r="G1283" s="12"/>
      <c r="H1283" s="45"/>
      <c r="I1283" s="45"/>
      <c r="J1283" s="12"/>
      <c r="K1283" s="12"/>
      <c r="L1283" s="14"/>
      <c r="M1283" s="14"/>
      <c r="N1283" s="14"/>
      <c r="O1283" s="14"/>
      <c r="P1283" s="14"/>
      <c r="Q1283" s="14"/>
      <c r="R1283" s="48"/>
      <c r="S1283" s="48"/>
      <c r="T1283" s="48"/>
      <c r="U1283" s="48"/>
      <c r="V1283" s="48"/>
      <c r="W1283" s="14"/>
      <c r="X1283" s="14"/>
      <c r="Y1283" s="14"/>
      <c r="Z1283" s="14"/>
      <c r="AA1283" s="14"/>
      <c r="AB1283" s="14"/>
      <c r="AC1283" s="14"/>
      <c r="AD1283" s="48"/>
      <c r="AE1283" s="48"/>
      <c r="AF1283" s="48"/>
      <c r="AG1283" s="48"/>
      <c r="AH1283" s="48"/>
      <c r="AI1283" s="14"/>
      <c r="AJ1283" s="14"/>
      <c r="AK1283" s="14"/>
      <c r="AL1283" s="14"/>
      <c r="AM1283" s="14"/>
      <c r="AN1283" s="14"/>
      <c r="AO1283" s="14"/>
      <c r="AP1283" s="14"/>
      <c r="AQ1283" s="14"/>
      <c r="AR1283" s="14"/>
      <c r="AS1283" s="14"/>
      <c r="AT1283" s="14"/>
      <c r="AU1283" s="14"/>
      <c r="AV1283" s="14"/>
      <c r="AW1283" s="14"/>
      <c r="AX1283" s="14"/>
      <c r="AY1283" s="14"/>
      <c r="AZ1283" s="14"/>
      <c r="BA1283" s="14"/>
    </row>
    <row r="1284" ht="14.25" customHeight="1">
      <c r="A1284" s="10"/>
      <c r="B1284" s="12"/>
      <c r="C1284" s="12"/>
      <c r="D1284" s="12"/>
      <c r="E1284" s="44"/>
      <c r="F1284" s="12"/>
      <c r="G1284" s="12"/>
      <c r="H1284" s="45"/>
      <c r="I1284" s="45"/>
      <c r="J1284" s="12"/>
      <c r="K1284" s="12"/>
      <c r="L1284" s="14"/>
      <c r="M1284" s="14"/>
      <c r="N1284" s="14"/>
      <c r="O1284" s="14"/>
      <c r="P1284" s="14"/>
      <c r="Q1284" s="14"/>
      <c r="R1284" s="48"/>
      <c r="S1284" s="48"/>
      <c r="T1284" s="48"/>
      <c r="U1284" s="48"/>
      <c r="V1284" s="48"/>
      <c r="W1284" s="14"/>
      <c r="X1284" s="14"/>
      <c r="Y1284" s="14"/>
      <c r="Z1284" s="14"/>
      <c r="AA1284" s="14"/>
      <c r="AB1284" s="14"/>
      <c r="AC1284" s="14"/>
      <c r="AD1284" s="48"/>
      <c r="AE1284" s="48"/>
      <c r="AF1284" s="48"/>
      <c r="AG1284" s="48"/>
      <c r="AH1284" s="48"/>
      <c r="AI1284" s="14"/>
      <c r="AJ1284" s="14"/>
      <c r="AK1284" s="14"/>
      <c r="AL1284" s="14"/>
      <c r="AM1284" s="14"/>
      <c r="AN1284" s="14"/>
      <c r="AO1284" s="14"/>
      <c r="AP1284" s="14"/>
      <c r="AQ1284" s="14"/>
      <c r="AR1284" s="14"/>
      <c r="AS1284" s="14"/>
      <c r="AT1284" s="14"/>
      <c r="AU1284" s="14"/>
      <c r="AV1284" s="14"/>
      <c r="AW1284" s="14"/>
      <c r="AX1284" s="14"/>
      <c r="AY1284" s="14"/>
      <c r="AZ1284" s="14"/>
      <c r="BA1284" s="14"/>
    </row>
    <row r="1285" ht="14.25" customHeight="1">
      <c r="A1285" s="10"/>
      <c r="B1285" s="12"/>
      <c r="C1285" s="12"/>
      <c r="D1285" s="12"/>
      <c r="E1285" s="44"/>
      <c r="F1285" s="12"/>
      <c r="G1285" s="12"/>
      <c r="H1285" s="45"/>
      <c r="I1285" s="45"/>
      <c r="J1285" s="12"/>
      <c r="K1285" s="12"/>
      <c r="L1285" s="14"/>
      <c r="M1285" s="14"/>
      <c r="N1285" s="14"/>
      <c r="O1285" s="14"/>
      <c r="P1285" s="14"/>
      <c r="Q1285" s="14"/>
      <c r="R1285" s="48"/>
      <c r="S1285" s="48"/>
      <c r="T1285" s="48"/>
      <c r="U1285" s="48"/>
      <c r="V1285" s="48"/>
      <c r="W1285" s="14"/>
      <c r="X1285" s="14"/>
      <c r="Y1285" s="14"/>
      <c r="Z1285" s="14"/>
      <c r="AA1285" s="14"/>
      <c r="AB1285" s="14"/>
      <c r="AC1285" s="14"/>
      <c r="AD1285" s="48"/>
      <c r="AE1285" s="48"/>
      <c r="AF1285" s="48"/>
      <c r="AG1285" s="48"/>
      <c r="AH1285" s="48"/>
      <c r="AI1285" s="14"/>
      <c r="AJ1285" s="14"/>
      <c r="AK1285" s="14"/>
      <c r="AL1285" s="14"/>
      <c r="AM1285" s="14"/>
      <c r="AN1285" s="14"/>
      <c r="AO1285" s="14"/>
      <c r="AP1285" s="14"/>
      <c r="AQ1285" s="14"/>
      <c r="AR1285" s="14"/>
      <c r="AS1285" s="14"/>
      <c r="AT1285" s="14"/>
      <c r="AU1285" s="14"/>
      <c r="AV1285" s="14"/>
      <c r="AW1285" s="14"/>
      <c r="AX1285" s="14"/>
      <c r="AY1285" s="14"/>
      <c r="AZ1285" s="14"/>
      <c r="BA1285" s="14"/>
    </row>
    <row r="1286" ht="14.25" customHeight="1">
      <c r="A1286" s="10"/>
      <c r="B1286" s="12"/>
      <c r="C1286" s="12"/>
      <c r="D1286" s="12"/>
      <c r="E1286" s="44"/>
      <c r="F1286" s="12"/>
      <c r="G1286" s="12"/>
      <c r="H1286" s="45"/>
      <c r="I1286" s="45"/>
      <c r="J1286" s="12"/>
      <c r="K1286" s="12"/>
      <c r="L1286" s="14"/>
      <c r="M1286" s="14"/>
      <c r="N1286" s="14"/>
      <c r="O1286" s="14"/>
      <c r="P1286" s="14"/>
      <c r="Q1286" s="14"/>
      <c r="R1286" s="48"/>
      <c r="S1286" s="48"/>
      <c r="T1286" s="48"/>
      <c r="U1286" s="48"/>
      <c r="V1286" s="48"/>
      <c r="W1286" s="14"/>
      <c r="X1286" s="14"/>
      <c r="Y1286" s="14"/>
      <c r="Z1286" s="14"/>
      <c r="AA1286" s="14"/>
      <c r="AB1286" s="14"/>
      <c r="AC1286" s="14"/>
      <c r="AD1286" s="48"/>
      <c r="AE1286" s="48"/>
      <c r="AF1286" s="48"/>
      <c r="AG1286" s="48"/>
      <c r="AH1286" s="48"/>
      <c r="AI1286" s="14"/>
      <c r="AJ1286" s="14"/>
      <c r="AK1286" s="14"/>
      <c r="AL1286" s="14"/>
      <c r="AM1286" s="14"/>
      <c r="AN1286" s="14"/>
      <c r="AO1286" s="14"/>
      <c r="AP1286" s="14"/>
      <c r="AQ1286" s="14"/>
      <c r="AR1286" s="14"/>
      <c r="AS1286" s="14"/>
      <c r="AT1286" s="14"/>
      <c r="AU1286" s="14"/>
      <c r="AV1286" s="14"/>
      <c r="AW1286" s="14"/>
      <c r="AX1286" s="14"/>
      <c r="AY1286" s="14"/>
      <c r="AZ1286" s="14"/>
      <c r="BA1286" s="14"/>
    </row>
    <row r="1287" ht="14.25" customHeight="1">
      <c r="A1287" s="10"/>
      <c r="B1287" s="12"/>
      <c r="C1287" s="12"/>
      <c r="D1287" s="12"/>
      <c r="E1287" s="44"/>
      <c r="F1287" s="12"/>
      <c r="G1287" s="12"/>
      <c r="H1287" s="45"/>
      <c r="I1287" s="45"/>
      <c r="J1287" s="12"/>
      <c r="K1287" s="12"/>
      <c r="L1287" s="14"/>
      <c r="M1287" s="14"/>
      <c r="N1287" s="14"/>
      <c r="O1287" s="14"/>
      <c r="P1287" s="14"/>
      <c r="Q1287" s="14"/>
      <c r="R1287" s="48"/>
      <c r="S1287" s="48"/>
      <c r="T1287" s="48"/>
      <c r="U1287" s="48"/>
      <c r="V1287" s="48"/>
      <c r="W1287" s="14"/>
      <c r="X1287" s="14"/>
      <c r="Y1287" s="14"/>
      <c r="Z1287" s="14"/>
      <c r="AA1287" s="14"/>
      <c r="AB1287" s="14"/>
      <c r="AC1287" s="14"/>
      <c r="AD1287" s="48"/>
      <c r="AE1287" s="48"/>
      <c r="AF1287" s="48"/>
      <c r="AG1287" s="48"/>
      <c r="AH1287" s="48"/>
      <c r="AI1287" s="14"/>
      <c r="AJ1287" s="14"/>
      <c r="AK1287" s="14"/>
      <c r="AL1287" s="14"/>
      <c r="AM1287" s="14"/>
      <c r="AN1287" s="14"/>
      <c r="AO1287" s="14"/>
      <c r="AP1287" s="14"/>
      <c r="AQ1287" s="14"/>
      <c r="AR1287" s="14"/>
      <c r="AS1287" s="14"/>
      <c r="AT1287" s="14"/>
      <c r="AU1287" s="14"/>
      <c r="AV1287" s="14"/>
      <c r="AW1287" s="14"/>
      <c r="AX1287" s="14"/>
      <c r="AY1287" s="14"/>
      <c r="AZ1287" s="14"/>
      <c r="BA1287" s="14"/>
    </row>
    <row r="1288" ht="14.25" customHeight="1">
      <c r="A1288" s="10"/>
      <c r="B1288" s="12"/>
      <c r="C1288" s="12"/>
      <c r="D1288" s="12"/>
      <c r="E1288" s="44"/>
      <c r="F1288" s="12"/>
      <c r="G1288" s="12"/>
      <c r="H1288" s="45"/>
      <c r="I1288" s="45"/>
      <c r="J1288" s="12"/>
      <c r="K1288" s="12"/>
      <c r="L1288" s="14"/>
      <c r="M1288" s="14"/>
      <c r="N1288" s="14"/>
      <c r="O1288" s="14"/>
      <c r="P1288" s="14"/>
      <c r="Q1288" s="14"/>
      <c r="R1288" s="48"/>
      <c r="S1288" s="48"/>
      <c r="T1288" s="48"/>
      <c r="U1288" s="48"/>
      <c r="V1288" s="48"/>
      <c r="W1288" s="14"/>
      <c r="X1288" s="14"/>
      <c r="Y1288" s="14"/>
      <c r="Z1288" s="14"/>
      <c r="AA1288" s="14"/>
      <c r="AB1288" s="14"/>
      <c r="AC1288" s="14"/>
      <c r="AD1288" s="48"/>
      <c r="AE1288" s="48"/>
      <c r="AF1288" s="48"/>
      <c r="AG1288" s="48"/>
      <c r="AH1288" s="48"/>
      <c r="AI1288" s="14"/>
      <c r="AJ1288" s="14"/>
      <c r="AK1288" s="14"/>
      <c r="AL1288" s="14"/>
      <c r="AM1288" s="14"/>
      <c r="AN1288" s="14"/>
      <c r="AO1288" s="14"/>
      <c r="AP1288" s="14"/>
      <c r="AQ1288" s="14"/>
      <c r="AR1288" s="14"/>
      <c r="AS1288" s="14"/>
      <c r="AT1288" s="14"/>
      <c r="AU1288" s="14"/>
      <c r="AV1288" s="14"/>
      <c r="AW1288" s="14"/>
      <c r="AX1288" s="14"/>
      <c r="AY1288" s="14"/>
      <c r="AZ1288" s="14"/>
      <c r="BA1288" s="14"/>
    </row>
    <row r="1289" ht="14.25" customHeight="1">
      <c r="A1289" s="10"/>
      <c r="B1289" s="12"/>
      <c r="C1289" s="12"/>
      <c r="D1289" s="12"/>
      <c r="E1289" s="44"/>
      <c r="F1289" s="12"/>
      <c r="G1289" s="12"/>
      <c r="H1289" s="45"/>
      <c r="I1289" s="45"/>
      <c r="J1289" s="12"/>
      <c r="K1289" s="12"/>
      <c r="L1289" s="14"/>
      <c r="M1289" s="14"/>
      <c r="N1289" s="14"/>
      <c r="O1289" s="14"/>
      <c r="P1289" s="14"/>
      <c r="Q1289" s="14"/>
      <c r="R1289" s="48"/>
      <c r="S1289" s="48"/>
      <c r="T1289" s="48"/>
      <c r="U1289" s="48"/>
      <c r="V1289" s="48"/>
      <c r="W1289" s="14"/>
      <c r="X1289" s="14"/>
      <c r="Y1289" s="14"/>
      <c r="Z1289" s="14"/>
      <c r="AA1289" s="14"/>
      <c r="AB1289" s="14"/>
      <c r="AC1289" s="14"/>
      <c r="AD1289" s="48"/>
      <c r="AE1289" s="48"/>
      <c r="AF1289" s="48"/>
      <c r="AG1289" s="48"/>
      <c r="AH1289" s="48"/>
      <c r="AI1289" s="14"/>
      <c r="AJ1289" s="14"/>
      <c r="AK1289" s="14"/>
      <c r="AL1289" s="14"/>
      <c r="AM1289" s="14"/>
      <c r="AN1289" s="14"/>
      <c r="AO1289" s="14"/>
      <c r="AP1289" s="14"/>
      <c r="AQ1289" s="14"/>
      <c r="AR1289" s="14"/>
      <c r="AS1289" s="14"/>
      <c r="AT1289" s="14"/>
      <c r="AU1289" s="14"/>
      <c r="AV1289" s="14"/>
      <c r="AW1289" s="14"/>
      <c r="AX1289" s="14"/>
      <c r="AY1289" s="14"/>
      <c r="AZ1289" s="14"/>
      <c r="BA1289" s="14"/>
    </row>
    <row r="1290" ht="14.25" customHeight="1">
      <c r="A1290" s="10"/>
      <c r="B1290" s="12"/>
      <c r="C1290" s="12"/>
      <c r="D1290" s="12"/>
      <c r="E1290" s="44"/>
      <c r="F1290" s="12"/>
      <c r="G1290" s="12"/>
      <c r="H1290" s="45"/>
      <c r="I1290" s="45"/>
      <c r="J1290" s="12"/>
      <c r="K1290" s="12"/>
      <c r="L1290" s="14"/>
      <c r="M1290" s="14"/>
      <c r="N1290" s="14"/>
      <c r="O1290" s="14"/>
      <c r="P1290" s="14"/>
      <c r="Q1290" s="14"/>
      <c r="R1290" s="48"/>
      <c r="S1290" s="48"/>
      <c r="T1290" s="48"/>
      <c r="U1290" s="48"/>
      <c r="V1290" s="48"/>
      <c r="W1290" s="14"/>
      <c r="X1290" s="14"/>
      <c r="Y1290" s="14"/>
      <c r="Z1290" s="14"/>
      <c r="AA1290" s="14"/>
      <c r="AB1290" s="14"/>
      <c r="AC1290" s="14"/>
      <c r="AD1290" s="48"/>
      <c r="AE1290" s="48"/>
      <c r="AF1290" s="48"/>
      <c r="AG1290" s="48"/>
      <c r="AH1290" s="48"/>
      <c r="AI1290" s="14"/>
      <c r="AJ1290" s="14"/>
      <c r="AK1290" s="14"/>
      <c r="AL1290" s="14"/>
      <c r="AM1290" s="14"/>
      <c r="AN1290" s="14"/>
      <c r="AO1290" s="14"/>
      <c r="AP1290" s="14"/>
      <c r="AQ1290" s="14"/>
      <c r="AR1290" s="14"/>
      <c r="AS1290" s="14"/>
      <c r="AT1290" s="14"/>
      <c r="AU1290" s="14"/>
      <c r="AV1290" s="14"/>
      <c r="AW1290" s="14"/>
      <c r="AX1290" s="14"/>
      <c r="AY1290" s="14"/>
      <c r="AZ1290" s="14"/>
      <c r="BA1290" s="14"/>
    </row>
    <row r="1291" ht="14.25" customHeight="1">
      <c r="A1291" s="10"/>
      <c r="B1291" s="12"/>
      <c r="C1291" s="12"/>
      <c r="D1291" s="12"/>
      <c r="E1291" s="44"/>
      <c r="F1291" s="12"/>
      <c r="G1291" s="12"/>
      <c r="H1291" s="45"/>
      <c r="I1291" s="45"/>
      <c r="J1291" s="12"/>
      <c r="K1291" s="12"/>
      <c r="L1291" s="14"/>
      <c r="M1291" s="14"/>
      <c r="N1291" s="14"/>
      <c r="O1291" s="14"/>
      <c r="P1291" s="14"/>
      <c r="Q1291" s="14"/>
      <c r="R1291" s="48"/>
      <c r="S1291" s="48"/>
      <c r="T1291" s="48"/>
      <c r="U1291" s="48"/>
      <c r="V1291" s="48"/>
      <c r="W1291" s="14"/>
      <c r="X1291" s="14"/>
      <c r="Y1291" s="14"/>
      <c r="Z1291" s="14"/>
      <c r="AA1291" s="14"/>
      <c r="AB1291" s="14"/>
      <c r="AC1291" s="14"/>
      <c r="AD1291" s="48"/>
      <c r="AE1291" s="48"/>
      <c r="AF1291" s="48"/>
      <c r="AG1291" s="48"/>
      <c r="AH1291" s="48"/>
      <c r="AI1291" s="14"/>
      <c r="AJ1291" s="14"/>
      <c r="AK1291" s="14"/>
      <c r="AL1291" s="14"/>
      <c r="AM1291" s="14"/>
      <c r="AN1291" s="14"/>
      <c r="AO1291" s="14"/>
      <c r="AP1291" s="14"/>
      <c r="AQ1291" s="14"/>
      <c r="AR1291" s="14"/>
      <c r="AS1291" s="14"/>
      <c r="AT1291" s="14"/>
      <c r="AU1291" s="14"/>
      <c r="AV1291" s="14"/>
      <c r="AW1291" s="14"/>
      <c r="AX1291" s="14"/>
      <c r="AY1291" s="14"/>
      <c r="AZ1291" s="14"/>
      <c r="BA1291" s="14"/>
    </row>
    <row r="1292" ht="14.25" customHeight="1">
      <c r="A1292" s="10"/>
      <c r="B1292" s="12"/>
      <c r="C1292" s="12"/>
      <c r="D1292" s="12"/>
      <c r="E1292" s="44"/>
      <c r="F1292" s="12"/>
      <c r="G1292" s="12"/>
      <c r="H1292" s="45"/>
      <c r="I1292" s="45"/>
      <c r="J1292" s="12"/>
      <c r="K1292" s="12"/>
      <c r="L1292" s="14"/>
      <c r="M1292" s="14"/>
      <c r="N1292" s="14"/>
      <c r="O1292" s="14"/>
      <c r="P1292" s="14"/>
      <c r="Q1292" s="14"/>
      <c r="R1292" s="48"/>
      <c r="S1292" s="48"/>
      <c r="T1292" s="48"/>
      <c r="U1292" s="48"/>
      <c r="V1292" s="48"/>
      <c r="W1292" s="14"/>
      <c r="X1292" s="14"/>
      <c r="Y1292" s="14"/>
      <c r="Z1292" s="14"/>
      <c r="AA1292" s="14"/>
      <c r="AB1292" s="14"/>
      <c r="AC1292" s="14"/>
      <c r="AD1292" s="48"/>
      <c r="AE1292" s="48"/>
      <c r="AF1292" s="48"/>
      <c r="AG1292" s="48"/>
      <c r="AH1292" s="48"/>
      <c r="AI1292" s="14"/>
      <c r="AJ1292" s="14"/>
      <c r="AK1292" s="14"/>
      <c r="AL1292" s="14"/>
      <c r="AM1292" s="14"/>
      <c r="AN1292" s="14"/>
      <c r="AO1292" s="14"/>
      <c r="AP1292" s="14"/>
      <c r="AQ1292" s="14"/>
      <c r="AR1292" s="14"/>
      <c r="AS1292" s="14"/>
      <c r="AT1292" s="14"/>
      <c r="AU1292" s="14"/>
      <c r="AV1292" s="14"/>
      <c r="AW1292" s="14"/>
      <c r="AX1292" s="14"/>
      <c r="AY1292" s="14"/>
      <c r="AZ1292" s="14"/>
      <c r="BA1292" s="14"/>
    </row>
    <row r="1293" ht="14.25" customHeight="1">
      <c r="A1293" s="10"/>
      <c r="B1293" s="12"/>
      <c r="C1293" s="12"/>
      <c r="D1293" s="12"/>
      <c r="E1293" s="44"/>
      <c r="F1293" s="12"/>
      <c r="G1293" s="12"/>
      <c r="H1293" s="45"/>
      <c r="I1293" s="45"/>
      <c r="J1293" s="12"/>
      <c r="K1293" s="12"/>
      <c r="L1293" s="14"/>
      <c r="M1293" s="14"/>
      <c r="N1293" s="14"/>
      <c r="O1293" s="14"/>
      <c r="P1293" s="14"/>
      <c r="Q1293" s="14"/>
      <c r="R1293" s="48"/>
      <c r="S1293" s="48"/>
      <c r="T1293" s="48"/>
      <c r="U1293" s="48"/>
      <c r="V1293" s="48"/>
      <c r="W1293" s="14"/>
      <c r="X1293" s="14"/>
      <c r="Y1293" s="14"/>
      <c r="Z1293" s="14"/>
      <c r="AA1293" s="14"/>
      <c r="AB1293" s="14"/>
      <c r="AC1293" s="14"/>
      <c r="AD1293" s="48"/>
      <c r="AE1293" s="48"/>
      <c r="AF1293" s="48"/>
      <c r="AG1293" s="48"/>
      <c r="AH1293" s="48"/>
      <c r="AI1293" s="14"/>
      <c r="AJ1293" s="14"/>
      <c r="AK1293" s="14"/>
      <c r="AL1293" s="14"/>
      <c r="AM1293" s="14"/>
      <c r="AN1293" s="14"/>
      <c r="AO1293" s="14"/>
      <c r="AP1293" s="14"/>
      <c r="AQ1293" s="14"/>
      <c r="AR1293" s="14"/>
      <c r="AS1293" s="14"/>
      <c r="AT1293" s="14"/>
      <c r="AU1293" s="14"/>
      <c r="AV1293" s="14"/>
      <c r="AW1293" s="14"/>
      <c r="AX1293" s="14"/>
      <c r="AY1293" s="14"/>
      <c r="AZ1293" s="14"/>
      <c r="BA1293" s="14"/>
    </row>
    <row r="1294" ht="14.25" customHeight="1">
      <c r="A1294" s="10"/>
      <c r="B1294" s="12"/>
      <c r="C1294" s="12"/>
      <c r="D1294" s="12"/>
      <c r="E1294" s="44"/>
      <c r="F1294" s="12"/>
      <c r="G1294" s="12"/>
      <c r="H1294" s="45"/>
      <c r="I1294" s="45"/>
      <c r="J1294" s="12"/>
      <c r="K1294" s="12"/>
      <c r="L1294" s="14"/>
      <c r="M1294" s="14"/>
      <c r="N1294" s="14"/>
      <c r="O1294" s="14"/>
      <c r="P1294" s="14"/>
      <c r="Q1294" s="14"/>
      <c r="R1294" s="48"/>
      <c r="S1294" s="48"/>
      <c r="T1294" s="48"/>
      <c r="U1294" s="48"/>
      <c r="V1294" s="48"/>
      <c r="W1294" s="14"/>
      <c r="X1294" s="14"/>
      <c r="Y1294" s="14"/>
      <c r="Z1294" s="14"/>
      <c r="AA1294" s="14"/>
      <c r="AB1294" s="14"/>
      <c r="AC1294" s="14"/>
      <c r="AD1294" s="48"/>
      <c r="AE1294" s="48"/>
      <c r="AF1294" s="48"/>
      <c r="AG1294" s="48"/>
      <c r="AH1294" s="48"/>
      <c r="AI1294" s="14"/>
      <c r="AJ1294" s="14"/>
      <c r="AK1294" s="14"/>
      <c r="AL1294" s="14"/>
      <c r="AM1294" s="14"/>
      <c r="AN1294" s="14"/>
      <c r="AO1294" s="14"/>
      <c r="AP1294" s="14"/>
      <c r="AQ1294" s="14"/>
      <c r="AR1294" s="14"/>
      <c r="AS1294" s="14"/>
      <c r="AT1294" s="14"/>
      <c r="AU1294" s="14"/>
      <c r="AV1294" s="14"/>
      <c r="AW1294" s="14"/>
      <c r="AX1294" s="14"/>
      <c r="AY1294" s="14"/>
      <c r="AZ1294" s="14"/>
      <c r="BA1294" s="14"/>
    </row>
    <row r="1295" ht="14.25" customHeight="1">
      <c r="A1295" s="10"/>
      <c r="B1295" s="12"/>
      <c r="C1295" s="12"/>
      <c r="D1295" s="12"/>
      <c r="E1295" s="44"/>
      <c r="F1295" s="12"/>
      <c r="G1295" s="12"/>
      <c r="H1295" s="45"/>
      <c r="I1295" s="45"/>
      <c r="J1295" s="12"/>
      <c r="K1295" s="12"/>
      <c r="L1295" s="14"/>
      <c r="M1295" s="14"/>
      <c r="N1295" s="14"/>
      <c r="O1295" s="14"/>
      <c r="P1295" s="14"/>
      <c r="Q1295" s="14"/>
      <c r="R1295" s="48"/>
      <c r="S1295" s="48"/>
      <c r="T1295" s="48"/>
      <c r="U1295" s="48"/>
      <c r="V1295" s="48"/>
      <c r="W1295" s="14"/>
      <c r="X1295" s="14"/>
      <c r="Y1295" s="14"/>
      <c r="Z1295" s="14"/>
      <c r="AA1295" s="14"/>
      <c r="AB1295" s="14"/>
      <c r="AC1295" s="14"/>
      <c r="AD1295" s="48"/>
      <c r="AE1295" s="48"/>
      <c r="AF1295" s="48"/>
      <c r="AG1295" s="48"/>
      <c r="AH1295" s="48"/>
      <c r="AI1295" s="14"/>
      <c r="AJ1295" s="14"/>
      <c r="AK1295" s="14"/>
      <c r="AL1295" s="14"/>
      <c r="AM1295" s="14"/>
      <c r="AN1295" s="14"/>
      <c r="AO1295" s="14"/>
      <c r="AP1295" s="14"/>
      <c r="AQ1295" s="14"/>
      <c r="AR1295" s="14"/>
      <c r="AS1295" s="14"/>
      <c r="AT1295" s="14"/>
      <c r="AU1295" s="14"/>
      <c r="AV1295" s="14"/>
      <c r="AW1295" s="14"/>
      <c r="AX1295" s="14"/>
      <c r="AY1295" s="14"/>
      <c r="AZ1295" s="14"/>
      <c r="BA1295" s="14"/>
    </row>
    <row r="1296" ht="14.25" customHeight="1">
      <c r="A1296" s="10"/>
      <c r="B1296" s="12"/>
      <c r="C1296" s="12"/>
      <c r="D1296" s="12"/>
      <c r="E1296" s="44"/>
      <c r="F1296" s="12"/>
      <c r="G1296" s="12"/>
      <c r="H1296" s="45"/>
      <c r="I1296" s="45"/>
      <c r="J1296" s="12"/>
      <c r="K1296" s="12"/>
      <c r="L1296" s="14"/>
      <c r="M1296" s="14"/>
      <c r="N1296" s="14"/>
      <c r="O1296" s="14"/>
      <c r="P1296" s="14"/>
      <c r="Q1296" s="14"/>
      <c r="R1296" s="48"/>
      <c r="S1296" s="48"/>
      <c r="T1296" s="48"/>
      <c r="U1296" s="48"/>
      <c r="V1296" s="48"/>
      <c r="W1296" s="14"/>
      <c r="X1296" s="14"/>
      <c r="Y1296" s="14"/>
      <c r="Z1296" s="14"/>
      <c r="AA1296" s="14"/>
      <c r="AB1296" s="14"/>
      <c r="AC1296" s="14"/>
      <c r="AD1296" s="48"/>
      <c r="AE1296" s="48"/>
      <c r="AF1296" s="48"/>
      <c r="AG1296" s="48"/>
      <c r="AH1296" s="48"/>
      <c r="AI1296" s="14"/>
      <c r="AJ1296" s="14"/>
      <c r="AK1296" s="14"/>
      <c r="AL1296" s="14"/>
      <c r="AM1296" s="14"/>
      <c r="AN1296" s="14"/>
      <c r="AO1296" s="14"/>
      <c r="AP1296" s="14"/>
      <c r="AQ1296" s="14"/>
      <c r="AR1296" s="14"/>
      <c r="AS1296" s="14"/>
      <c r="AT1296" s="14"/>
      <c r="AU1296" s="14"/>
      <c r="AV1296" s="14"/>
      <c r="AW1296" s="14"/>
      <c r="AX1296" s="14"/>
      <c r="AY1296" s="14"/>
      <c r="AZ1296" s="14"/>
      <c r="BA1296" s="14"/>
    </row>
    <row r="1297" ht="14.25" customHeight="1">
      <c r="A1297" s="10"/>
      <c r="B1297" s="12"/>
      <c r="C1297" s="12"/>
      <c r="D1297" s="12"/>
      <c r="E1297" s="44"/>
      <c r="F1297" s="12"/>
      <c r="G1297" s="12"/>
      <c r="H1297" s="45"/>
      <c r="I1297" s="45"/>
      <c r="J1297" s="12"/>
      <c r="K1297" s="12"/>
      <c r="L1297" s="14"/>
      <c r="M1297" s="14"/>
      <c r="N1297" s="14"/>
      <c r="O1297" s="14"/>
      <c r="P1297" s="14"/>
      <c r="Q1297" s="14"/>
      <c r="R1297" s="48"/>
      <c r="S1297" s="48"/>
      <c r="T1297" s="48"/>
      <c r="U1297" s="48"/>
      <c r="V1297" s="48"/>
      <c r="W1297" s="14"/>
      <c r="X1297" s="14"/>
      <c r="Y1297" s="14"/>
      <c r="Z1297" s="14"/>
      <c r="AA1297" s="14"/>
      <c r="AB1297" s="14"/>
      <c r="AC1297" s="14"/>
      <c r="AD1297" s="48"/>
      <c r="AE1297" s="48"/>
      <c r="AF1297" s="48"/>
      <c r="AG1297" s="48"/>
      <c r="AH1297" s="48"/>
      <c r="AI1297" s="14"/>
      <c r="AJ1297" s="14"/>
      <c r="AK1297" s="14"/>
      <c r="AL1297" s="14"/>
      <c r="AM1297" s="14"/>
      <c r="AN1297" s="14"/>
      <c r="AO1297" s="14"/>
      <c r="AP1297" s="14"/>
      <c r="AQ1297" s="14"/>
      <c r="AR1297" s="14"/>
      <c r="AS1297" s="14"/>
      <c r="AT1297" s="14"/>
      <c r="AU1297" s="14"/>
      <c r="AV1297" s="14"/>
      <c r="AW1297" s="14"/>
      <c r="AX1297" s="14"/>
      <c r="AY1297" s="14"/>
      <c r="AZ1297" s="14"/>
      <c r="BA1297" s="14"/>
    </row>
    <row r="1298" ht="14.25" customHeight="1">
      <c r="A1298" s="10"/>
      <c r="B1298" s="12"/>
      <c r="C1298" s="12"/>
      <c r="D1298" s="12"/>
      <c r="E1298" s="44"/>
      <c r="F1298" s="12"/>
      <c r="G1298" s="12"/>
      <c r="H1298" s="45"/>
      <c r="I1298" s="45"/>
      <c r="J1298" s="12"/>
      <c r="K1298" s="12"/>
      <c r="L1298" s="14"/>
      <c r="M1298" s="14"/>
      <c r="N1298" s="14"/>
      <c r="O1298" s="14"/>
      <c r="P1298" s="14"/>
      <c r="Q1298" s="14"/>
      <c r="R1298" s="48"/>
      <c r="S1298" s="48"/>
      <c r="T1298" s="48"/>
      <c r="U1298" s="48"/>
      <c r="V1298" s="48"/>
      <c r="W1298" s="14"/>
      <c r="X1298" s="14"/>
      <c r="Y1298" s="14"/>
      <c r="Z1298" s="14"/>
      <c r="AA1298" s="14"/>
      <c r="AB1298" s="14"/>
      <c r="AC1298" s="14"/>
      <c r="AD1298" s="48"/>
      <c r="AE1298" s="48"/>
      <c r="AF1298" s="48"/>
      <c r="AG1298" s="48"/>
      <c r="AH1298" s="48"/>
      <c r="AI1298" s="14"/>
      <c r="AJ1298" s="14"/>
      <c r="AK1298" s="14"/>
      <c r="AL1298" s="14"/>
      <c r="AM1298" s="14"/>
      <c r="AN1298" s="14"/>
      <c r="AO1298" s="14"/>
      <c r="AP1298" s="14"/>
      <c r="AQ1298" s="14"/>
      <c r="AR1298" s="14"/>
      <c r="AS1298" s="14"/>
      <c r="AT1298" s="14"/>
      <c r="AU1298" s="14"/>
      <c r="AV1298" s="14"/>
      <c r="AW1298" s="14"/>
      <c r="AX1298" s="14"/>
      <c r="AY1298" s="14"/>
      <c r="AZ1298" s="14"/>
      <c r="BA1298" s="14"/>
    </row>
    <row r="1299" ht="14.25" customHeight="1">
      <c r="A1299" s="10"/>
      <c r="B1299" s="12"/>
      <c r="C1299" s="12"/>
      <c r="D1299" s="12"/>
      <c r="E1299" s="44"/>
      <c r="F1299" s="12"/>
      <c r="G1299" s="12"/>
      <c r="H1299" s="45"/>
      <c r="I1299" s="45"/>
      <c r="J1299" s="12"/>
      <c r="K1299" s="12"/>
      <c r="L1299" s="14"/>
      <c r="M1299" s="14"/>
      <c r="N1299" s="14"/>
      <c r="O1299" s="14"/>
      <c r="P1299" s="14"/>
      <c r="Q1299" s="14"/>
      <c r="R1299" s="48"/>
      <c r="S1299" s="48"/>
      <c r="T1299" s="48"/>
      <c r="U1299" s="48"/>
      <c r="V1299" s="48"/>
      <c r="W1299" s="14"/>
      <c r="X1299" s="14"/>
      <c r="Y1299" s="14"/>
      <c r="Z1299" s="14"/>
      <c r="AA1299" s="14"/>
      <c r="AB1299" s="14"/>
      <c r="AC1299" s="14"/>
      <c r="AD1299" s="48"/>
      <c r="AE1299" s="48"/>
      <c r="AF1299" s="48"/>
      <c r="AG1299" s="48"/>
      <c r="AH1299" s="48"/>
      <c r="AI1299" s="14"/>
      <c r="AJ1299" s="14"/>
      <c r="AK1299" s="14"/>
      <c r="AL1299" s="14"/>
      <c r="AM1299" s="14"/>
      <c r="AN1299" s="14"/>
      <c r="AO1299" s="14"/>
      <c r="AP1299" s="14"/>
      <c r="AQ1299" s="14"/>
      <c r="AR1299" s="14"/>
      <c r="AS1299" s="14"/>
      <c r="AT1299" s="14"/>
      <c r="AU1299" s="14"/>
      <c r="AV1299" s="14"/>
      <c r="AW1299" s="14"/>
      <c r="AX1299" s="14"/>
      <c r="AY1299" s="14"/>
      <c r="AZ1299" s="14"/>
      <c r="BA1299" s="14"/>
    </row>
    <row r="1300" ht="14.25" customHeight="1">
      <c r="A1300" s="10"/>
      <c r="B1300" s="12"/>
      <c r="C1300" s="12"/>
      <c r="D1300" s="12"/>
      <c r="E1300" s="44"/>
      <c r="F1300" s="12"/>
      <c r="G1300" s="12"/>
      <c r="H1300" s="45"/>
      <c r="I1300" s="45"/>
      <c r="J1300" s="12"/>
      <c r="K1300" s="12"/>
      <c r="L1300" s="14"/>
      <c r="M1300" s="14"/>
      <c r="N1300" s="14"/>
      <c r="O1300" s="14"/>
      <c r="P1300" s="14"/>
      <c r="Q1300" s="14"/>
      <c r="R1300" s="48"/>
      <c r="S1300" s="48"/>
      <c r="T1300" s="48"/>
      <c r="U1300" s="48"/>
      <c r="V1300" s="48"/>
      <c r="W1300" s="14"/>
      <c r="X1300" s="14"/>
      <c r="Y1300" s="14"/>
      <c r="Z1300" s="14"/>
      <c r="AA1300" s="14"/>
      <c r="AB1300" s="14"/>
      <c r="AC1300" s="14"/>
      <c r="AD1300" s="48"/>
      <c r="AE1300" s="48"/>
      <c r="AF1300" s="48"/>
      <c r="AG1300" s="48"/>
      <c r="AH1300" s="48"/>
      <c r="AI1300" s="14"/>
      <c r="AJ1300" s="14"/>
      <c r="AK1300" s="14"/>
      <c r="AL1300" s="14"/>
      <c r="AM1300" s="14"/>
      <c r="AN1300" s="14"/>
      <c r="AO1300" s="14"/>
      <c r="AP1300" s="14"/>
      <c r="AQ1300" s="14"/>
      <c r="AR1300" s="14"/>
      <c r="AS1300" s="14"/>
      <c r="AT1300" s="14"/>
      <c r="AU1300" s="14"/>
      <c r="AV1300" s="14"/>
      <c r="AW1300" s="14"/>
      <c r="AX1300" s="14"/>
      <c r="AY1300" s="14"/>
      <c r="AZ1300" s="14"/>
      <c r="BA1300" s="14"/>
    </row>
    <row r="1301" ht="14.25" customHeight="1">
      <c r="A1301" s="10"/>
      <c r="B1301" s="12"/>
      <c r="C1301" s="12"/>
      <c r="D1301" s="12"/>
      <c r="E1301" s="44"/>
      <c r="F1301" s="12"/>
      <c r="G1301" s="12"/>
      <c r="H1301" s="45"/>
      <c r="I1301" s="45"/>
      <c r="J1301" s="12"/>
      <c r="K1301" s="12"/>
      <c r="L1301" s="14"/>
      <c r="M1301" s="14"/>
      <c r="N1301" s="14"/>
      <c r="O1301" s="14"/>
      <c r="P1301" s="14"/>
      <c r="Q1301" s="14"/>
      <c r="R1301" s="48"/>
      <c r="S1301" s="48"/>
      <c r="T1301" s="48"/>
      <c r="U1301" s="48"/>
      <c r="V1301" s="48"/>
      <c r="W1301" s="14"/>
      <c r="X1301" s="14"/>
      <c r="Y1301" s="14"/>
      <c r="Z1301" s="14"/>
      <c r="AA1301" s="14"/>
      <c r="AB1301" s="14"/>
      <c r="AC1301" s="14"/>
      <c r="AD1301" s="48"/>
      <c r="AE1301" s="48"/>
      <c r="AF1301" s="48"/>
      <c r="AG1301" s="48"/>
      <c r="AH1301" s="48"/>
      <c r="AI1301" s="14"/>
      <c r="AJ1301" s="14"/>
      <c r="AK1301" s="14"/>
      <c r="AL1301" s="14"/>
      <c r="AM1301" s="14"/>
      <c r="AN1301" s="14"/>
      <c r="AO1301" s="14"/>
      <c r="AP1301" s="14"/>
      <c r="AQ1301" s="14"/>
      <c r="AR1301" s="14"/>
      <c r="AS1301" s="14"/>
      <c r="AT1301" s="14"/>
      <c r="AU1301" s="14"/>
      <c r="AV1301" s="14"/>
      <c r="AW1301" s="14"/>
      <c r="AX1301" s="14"/>
      <c r="AY1301" s="14"/>
      <c r="AZ1301" s="14"/>
      <c r="BA1301" s="14"/>
    </row>
    <row r="1302" ht="14.25" customHeight="1">
      <c r="A1302" s="10"/>
      <c r="B1302" s="12"/>
      <c r="C1302" s="12"/>
      <c r="D1302" s="12"/>
      <c r="E1302" s="44"/>
      <c r="F1302" s="12"/>
      <c r="G1302" s="12"/>
      <c r="H1302" s="45"/>
      <c r="I1302" s="45"/>
      <c r="J1302" s="12"/>
      <c r="K1302" s="12"/>
      <c r="L1302" s="14"/>
      <c r="M1302" s="14"/>
      <c r="N1302" s="14"/>
      <c r="O1302" s="14"/>
      <c r="P1302" s="14"/>
      <c r="Q1302" s="14"/>
      <c r="R1302" s="48"/>
      <c r="S1302" s="48"/>
      <c r="T1302" s="48"/>
      <c r="U1302" s="48"/>
      <c r="V1302" s="48"/>
      <c r="W1302" s="14"/>
      <c r="X1302" s="14"/>
      <c r="Y1302" s="14"/>
      <c r="Z1302" s="14"/>
      <c r="AA1302" s="14"/>
      <c r="AB1302" s="14"/>
      <c r="AC1302" s="14"/>
      <c r="AD1302" s="48"/>
      <c r="AE1302" s="48"/>
      <c r="AF1302" s="48"/>
      <c r="AG1302" s="48"/>
      <c r="AH1302" s="48"/>
      <c r="AI1302" s="14"/>
      <c r="AJ1302" s="14"/>
      <c r="AK1302" s="14"/>
      <c r="AL1302" s="14"/>
      <c r="AM1302" s="14"/>
      <c r="AN1302" s="14"/>
      <c r="AO1302" s="14"/>
      <c r="AP1302" s="14"/>
      <c r="AQ1302" s="14"/>
      <c r="AR1302" s="14"/>
      <c r="AS1302" s="14"/>
      <c r="AT1302" s="14"/>
      <c r="AU1302" s="14"/>
      <c r="AV1302" s="14"/>
      <c r="AW1302" s="14"/>
      <c r="AX1302" s="14"/>
      <c r="AY1302" s="14"/>
      <c r="AZ1302" s="14"/>
      <c r="BA1302" s="14"/>
    </row>
    <row r="1303" ht="14.25" customHeight="1">
      <c r="A1303" s="10"/>
      <c r="B1303" s="12"/>
      <c r="C1303" s="12"/>
      <c r="D1303" s="12"/>
      <c r="E1303" s="44"/>
      <c r="F1303" s="12"/>
      <c r="G1303" s="12"/>
      <c r="H1303" s="45"/>
      <c r="I1303" s="45"/>
      <c r="J1303" s="12"/>
      <c r="K1303" s="12"/>
      <c r="L1303" s="14"/>
      <c r="M1303" s="14"/>
      <c r="N1303" s="14"/>
      <c r="O1303" s="14"/>
      <c r="P1303" s="14"/>
      <c r="Q1303" s="14"/>
      <c r="R1303" s="48"/>
      <c r="S1303" s="48"/>
      <c r="T1303" s="48"/>
      <c r="U1303" s="48"/>
      <c r="V1303" s="48"/>
      <c r="W1303" s="14"/>
      <c r="X1303" s="14"/>
      <c r="Y1303" s="14"/>
      <c r="Z1303" s="14"/>
      <c r="AA1303" s="14"/>
      <c r="AB1303" s="14"/>
      <c r="AC1303" s="14"/>
      <c r="AD1303" s="48"/>
      <c r="AE1303" s="48"/>
      <c r="AF1303" s="48"/>
      <c r="AG1303" s="48"/>
      <c r="AH1303" s="48"/>
      <c r="AI1303" s="14"/>
      <c r="AJ1303" s="14"/>
      <c r="AK1303" s="14"/>
      <c r="AL1303" s="14"/>
      <c r="AM1303" s="14"/>
      <c r="AN1303" s="14"/>
      <c r="AO1303" s="14"/>
      <c r="AP1303" s="14"/>
      <c r="AQ1303" s="14"/>
      <c r="AR1303" s="14"/>
      <c r="AS1303" s="14"/>
      <c r="AT1303" s="14"/>
      <c r="AU1303" s="14"/>
      <c r="AV1303" s="14"/>
      <c r="AW1303" s="14"/>
      <c r="AX1303" s="14"/>
      <c r="AY1303" s="14"/>
      <c r="AZ1303" s="14"/>
      <c r="BA1303" s="14"/>
    </row>
    <row r="1304" ht="14.25" customHeight="1">
      <c r="A1304" s="10"/>
      <c r="B1304" s="12"/>
      <c r="C1304" s="12"/>
      <c r="D1304" s="12"/>
      <c r="E1304" s="44"/>
      <c r="F1304" s="12"/>
      <c r="G1304" s="12"/>
      <c r="H1304" s="45"/>
      <c r="I1304" s="45"/>
      <c r="J1304" s="12"/>
      <c r="K1304" s="12"/>
      <c r="L1304" s="14"/>
      <c r="M1304" s="14"/>
      <c r="N1304" s="14"/>
      <c r="O1304" s="14"/>
      <c r="P1304" s="14"/>
      <c r="Q1304" s="14"/>
      <c r="R1304" s="48"/>
      <c r="S1304" s="48"/>
      <c r="T1304" s="48"/>
      <c r="U1304" s="48"/>
      <c r="V1304" s="48"/>
      <c r="W1304" s="14"/>
      <c r="X1304" s="14"/>
      <c r="Y1304" s="14"/>
      <c r="Z1304" s="14"/>
      <c r="AA1304" s="14"/>
      <c r="AB1304" s="14"/>
      <c r="AC1304" s="14"/>
      <c r="AD1304" s="48"/>
      <c r="AE1304" s="48"/>
      <c r="AF1304" s="48"/>
      <c r="AG1304" s="48"/>
      <c r="AH1304" s="48"/>
      <c r="AI1304" s="14"/>
      <c r="AJ1304" s="14"/>
      <c r="AK1304" s="14"/>
      <c r="AL1304" s="14"/>
      <c r="AM1304" s="14"/>
      <c r="AN1304" s="14"/>
      <c r="AO1304" s="14"/>
      <c r="AP1304" s="14"/>
      <c r="AQ1304" s="14"/>
      <c r="AR1304" s="14"/>
      <c r="AS1304" s="14"/>
      <c r="AT1304" s="14"/>
      <c r="AU1304" s="14"/>
      <c r="AV1304" s="14"/>
      <c r="AW1304" s="14"/>
      <c r="AX1304" s="14"/>
      <c r="AY1304" s="14"/>
      <c r="AZ1304" s="14"/>
      <c r="BA1304" s="14"/>
    </row>
    <row r="1305" ht="14.25" customHeight="1">
      <c r="A1305" s="10"/>
      <c r="B1305" s="12"/>
      <c r="C1305" s="12"/>
      <c r="D1305" s="12"/>
      <c r="E1305" s="44"/>
      <c r="F1305" s="12"/>
      <c r="G1305" s="12"/>
      <c r="H1305" s="45"/>
      <c r="I1305" s="45"/>
      <c r="J1305" s="12"/>
      <c r="K1305" s="12"/>
      <c r="L1305" s="14"/>
      <c r="M1305" s="14"/>
      <c r="N1305" s="14"/>
      <c r="O1305" s="14"/>
      <c r="P1305" s="14"/>
      <c r="Q1305" s="14"/>
      <c r="R1305" s="48"/>
      <c r="S1305" s="48"/>
      <c r="T1305" s="48"/>
      <c r="U1305" s="48"/>
      <c r="V1305" s="48"/>
      <c r="W1305" s="14"/>
      <c r="X1305" s="14"/>
      <c r="Y1305" s="14"/>
      <c r="Z1305" s="14"/>
      <c r="AA1305" s="14"/>
      <c r="AB1305" s="14"/>
      <c r="AC1305" s="14"/>
      <c r="AD1305" s="48"/>
      <c r="AE1305" s="48"/>
      <c r="AF1305" s="48"/>
      <c r="AG1305" s="48"/>
      <c r="AH1305" s="48"/>
      <c r="AI1305" s="14"/>
      <c r="AJ1305" s="14"/>
      <c r="AK1305" s="14"/>
      <c r="AL1305" s="14"/>
      <c r="AM1305" s="14"/>
      <c r="AN1305" s="14"/>
      <c r="AO1305" s="14"/>
      <c r="AP1305" s="14"/>
      <c r="AQ1305" s="14"/>
      <c r="AR1305" s="14"/>
      <c r="AS1305" s="14"/>
      <c r="AT1305" s="14"/>
      <c r="AU1305" s="14"/>
      <c r="AV1305" s="14"/>
      <c r="AW1305" s="14"/>
      <c r="AX1305" s="14"/>
      <c r="AY1305" s="14"/>
      <c r="AZ1305" s="14"/>
      <c r="BA1305" s="14"/>
    </row>
    <row r="1306" ht="14.25" customHeight="1">
      <c r="A1306" s="10"/>
      <c r="B1306" s="12"/>
      <c r="C1306" s="12"/>
      <c r="D1306" s="12"/>
      <c r="E1306" s="44"/>
      <c r="F1306" s="12"/>
      <c r="G1306" s="12"/>
      <c r="H1306" s="45"/>
      <c r="I1306" s="45"/>
      <c r="J1306" s="12"/>
      <c r="K1306" s="12"/>
      <c r="L1306" s="14"/>
      <c r="M1306" s="14"/>
      <c r="N1306" s="14"/>
      <c r="O1306" s="14"/>
      <c r="P1306" s="14"/>
      <c r="Q1306" s="14"/>
      <c r="R1306" s="48"/>
      <c r="S1306" s="48"/>
      <c r="T1306" s="48"/>
      <c r="U1306" s="48"/>
      <c r="V1306" s="48"/>
      <c r="W1306" s="14"/>
      <c r="X1306" s="14"/>
      <c r="Y1306" s="14"/>
      <c r="Z1306" s="14"/>
      <c r="AA1306" s="14"/>
      <c r="AB1306" s="14"/>
      <c r="AC1306" s="14"/>
      <c r="AD1306" s="48"/>
      <c r="AE1306" s="48"/>
      <c r="AF1306" s="48"/>
      <c r="AG1306" s="48"/>
      <c r="AH1306" s="48"/>
      <c r="AI1306" s="14"/>
      <c r="AJ1306" s="14"/>
      <c r="AK1306" s="14"/>
      <c r="AL1306" s="14"/>
      <c r="AM1306" s="14"/>
      <c r="AN1306" s="14"/>
      <c r="AO1306" s="14"/>
      <c r="AP1306" s="14"/>
      <c r="AQ1306" s="14"/>
      <c r="AR1306" s="14"/>
      <c r="AS1306" s="14"/>
      <c r="AT1306" s="14"/>
      <c r="AU1306" s="14"/>
      <c r="AV1306" s="14"/>
      <c r="AW1306" s="14"/>
      <c r="AX1306" s="14"/>
      <c r="AY1306" s="14"/>
      <c r="AZ1306" s="14"/>
      <c r="BA1306" s="14"/>
    </row>
    <row r="1307" ht="14.25" customHeight="1">
      <c r="A1307" s="10"/>
      <c r="B1307" s="12"/>
      <c r="C1307" s="12"/>
      <c r="D1307" s="12"/>
      <c r="E1307" s="44"/>
      <c r="F1307" s="12"/>
      <c r="G1307" s="12"/>
      <c r="H1307" s="45"/>
      <c r="I1307" s="45"/>
      <c r="J1307" s="12"/>
      <c r="K1307" s="12"/>
      <c r="L1307" s="14"/>
      <c r="M1307" s="14"/>
      <c r="N1307" s="14"/>
      <c r="O1307" s="14"/>
      <c r="P1307" s="14"/>
      <c r="Q1307" s="14"/>
      <c r="R1307" s="48"/>
      <c r="S1307" s="48"/>
      <c r="T1307" s="48"/>
      <c r="U1307" s="48"/>
      <c r="V1307" s="48"/>
      <c r="W1307" s="14"/>
      <c r="X1307" s="14"/>
      <c r="Y1307" s="14"/>
      <c r="Z1307" s="14"/>
      <c r="AA1307" s="14"/>
      <c r="AB1307" s="14"/>
      <c r="AC1307" s="14"/>
      <c r="AD1307" s="48"/>
      <c r="AE1307" s="48"/>
      <c r="AF1307" s="48"/>
      <c r="AG1307" s="48"/>
      <c r="AH1307" s="48"/>
      <c r="AI1307" s="14"/>
      <c r="AJ1307" s="14"/>
      <c r="AK1307" s="14"/>
      <c r="AL1307" s="14"/>
      <c r="AM1307" s="14"/>
      <c r="AN1307" s="14"/>
      <c r="AO1307" s="14"/>
      <c r="AP1307" s="14"/>
      <c r="AQ1307" s="14"/>
      <c r="AR1307" s="14"/>
      <c r="AS1307" s="14"/>
      <c r="AT1307" s="14"/>
      <c r="AU1307" s="14"/>
      <c r="AV1307" s="14"/>
      <c r="AW1307" s="14"/>
      <c r="AX1307" s="14"/>
      <c r="AY1307" s="14"/>
      <c r="AZ1307" s="14"/>
      <c r="BA1307" s="14"/>
    </row>
    <row r="1308" ht="14.25" customHeight="1">
      <c r="A1308" s="10"/>
      <c r="B1308" s="12"/>
      <c r="C1308" s="12"/>
      <c r="D1308" s="12"/>
      <c r="E1308" s="44"/>
      <c r="F1308" s="12"/>
      <c r="G1308" s="12"/>
      <c r="H1308" s="45"/>
      <c r="I1308" s="45"/>
      <c r="J1308" s="12"/>
      <c r="K1308" s="12"/>
      <c r="L1308" s="14"/>
      <c r="M1308" s="14"/>
      <c r="N1308" s="14"/>
      <c r="O1308" s="14"/>
      <c r="P1308" s="14"/>
      <c r="Q1308" s="14"/>
      <c r="R1308" s="48"/>
      <c r="S1308" s="48"/>
      <c r="T1308" s="48"/>
      <c r="U1308" s="48"/>
      <c r="V1308" s="48"/>
      <c r="W1308" s="14"/>
      <c r="X1308" s="14"/>
      <c r="Y1308" s="14"/>
      <c r="Z1308" s="14"/>
      <c r="AA1308" s="14"/>
      <c r="AB1308" s="14"/>
      <c r="AC1308" s="14"/>
      <c r="AD1308" s="48"/>
      <c r="AE1308" s="48"/>
      <c r="AF1308" s="48"/>
      <c r="AG1308" s="48"/>
      <c r="AH1308" s="48"/>
      <c r="AI1308" s="14"/>
      <c r="AJ1308" s="14"/>
      <c r="AK1308" s="14"/>
      <c r="AL1308" s="14"/>
      <c r="AM1308" s="14"/>
      <c r="AN1308" s="14"/>
      <c r="AO1308" s="14"/>
      <c r="AP1308" s="14"/>
      <c r="AQ1308" s="14"/>
      <c r="AR1308" s="14"/>
      <c r="AS1308" s="14"/>
      <c r="AT1308" s="14"/>
      <c r="AU1308" s="14"/>
      <c r="AV1308" s="14"/>
      <c r="AW1308" s="14"/>
      <c r="AX1308" s="14"/>
      <c r="AY1308" s="14"/>
      <c r="AZ1308" s="14"/>
      <c r="BA1308" s="14"/>
    </row>
    <row r="1309" ht="14.25" customHeight="1">
      <c r="A1309" s="10"/>
      <c r="B1309" s="12"/>
      <c r="C1309" s="12"/>
      <c r="D1309" s="12"/>
      <c r="E1309" s="44"/>
      <c r="F1309" s="12"/>
      <c r="G1309" s="12"/>
      <c r="H1309" s="45"/>
      <c r="I1309" s="45"/>
      <c r="J1309" s="12"/>
      <c r="K1309" s="12"/>
      <c r="L1309" s="14"/>
      <c r="M1309" s="14"/>
      <c r="N1309" s="14"/>
      <c r="O1309" s="14"/>
      <c r="P1309" s="14"/>
      <c r="Q1309" s="14"/>
      <c r="R1309" s="48"/>
      <c r="S1309" s="48"/>
      <c r="T1309" s="48"/>
      <c r="U1309" s="48"/>
      <c r="V1309" s="48"/>
      <c r="W1309" s="14"/>
      <c r="X1309" s="14"/>
      <c r="Y1309" s="14"/>
      <c r="Z1309" s="14"/>
      <c r="AA1309" s="14"/>
      <c r="AB1309" s="14"/>
      <c r="AC1309" s="14"/>
      <c r="AD1309" s="48"/>
      <c r="AE1309" s="48"/>
      <c r="AF1309" s="48"/>
      <c r="AG1309" s="48"/>
      <c r="AH1309" s="48"/>
      <c r="AI1309" s="14"/>
      <c r="AJ1309" s="14"/>
      <c r="AK1309" s="14"/>
      <c r="AL1309" s="14"/>
      <c r="AM1309" s="14"/>
      <c r="AN1309" s="14"/>
      <c r="AO1309" s="14"/>
      <c r="AP1309" s="14"/>
      <c r="AQ1309" s="14"/>
      <c r="AR1309" s="14"/>
      <c r="AS1309" s="14"/>
      <c r="AT1309" s="14"/>
      <c r="AU1309" s="14"/>
      <c r="AV1309" s="14"/>
      <c r="AW1309" s="14"/>
      <c r="AX1309" s="14"/>
      <c r="AY1309" s="14"/>
      <c r="AZ1309" s="14"/>
      <c r="BA1309" s="14"/>
    </row>
    <row r="1310" ht="14.25" customHeight="1">
      <c r="A1310" s="10"/>
      <c r="B1310" s="12"/>
      <c r="C1310" s="12"/>
      <c r="D1310" s="12"/>
      <c r="E1310" s="44"/>
      <c r="F1310" s="12"/>
      <c r="G1310" s="12"/>
      <c r="H1310" s="45"/>
      <c r="I1310" s="45"/>
      <c r="J1310" s="12"/>
      <c r="K1310" s="12"/>
      <c r="L1310" s="14"/>
      <c r="M1310" s="14"/>
      <c r="N1310" s="14"/>
      <c r="O1310" s="14"/>
      <c r="P1310" s="14"/>
      <c r="Q1310" s="14"/>
      <c r="R1310" s="48"/>
      <c r="S1310" s="48"/>
      <c r="T1310" s="48"/>
      <c r="U1310" s="48"/>
      <c r="V1310" s="48"/>
      <c r="W1310" s="14"/>
      <c r="X1310" s="14"/>
      <c r="Y1310" s="14"/>
      <c r="Z1310" s="14"/>
      <c r="AA1310" s="14"/>
      <c r="AB1310" s="14"/>
      <c r="AC1310" s="14"/>
      <c r="AD1310" s="48"/>
      <c r="AE1310" s="48"/>
      <c r="AF1310" s="48"/>
      <c r="AG1310" s="48"/>
      <c r="AH1310" s="48"/>
      <c r="AI1310" s="14"/>
      <c r="AJ1310" s="14"/>
      <c r="AK1310" s="14"/>
      <c r="AL1310" s="14"/>
      <c r="AM1310" s="14"/>
      <c r="AN1310" s="14"/>
      <c r="AO1310" s="14"/>
      <c r="AP1310" s="14"/>
      <c r="AQ1310" s="14"/>
      <c r="AR1310" s="14"/>
      <c r="AS1310" s="14"/>
      <c r="AT1310" s="14"/>
      <c r="AU1310" s="14"/>
      <c r="AV1310" s="14"/>
      <c r="AW1310" s="14"/>
      <c r="AX1310" s="14"/>
      <c r="AY1310" s="14"/>
      <c r="AZ1310" s="14"/>
      <c r="BA1310" s="14"/>
    </row>
    <row r="1311" ht="14.25" customHeight="1">
      <c r="A1311" s="10"/>
      <c r="B1311" s="12"/>
      <c r="C1311" s="12"/>
      <c r="D1311" s="12"/>
      <c r="E1311" s="44"/>
      <c r="F1311" s="12"/>
      <c r="G1311" s="12"/>
      <c r="H1311" s="45"/>
      <c r="I1311" s="45"/>
      <c r="J1311" s="12"/>
      <c r="K1311" s="12"/>
      <c r="L1311" s="14"/>
      <c r="M1311" s="14"/>
      <c r="N1311" s="14"/>
      <c r="O1311" s="14"/>
      <c r="P1311" s="14"/>
      <c r="Q1311" s="14"/>
      <c r="R1311" s="48"/>
      <c r="S1311" s="48"/>
      <c r="T1311" s="48"/>
      <c r="U1311" s="48"/>
      <c r="V1311" s="48"/>
      <c r="W1311" s="14"/>
      <c r="X1311" s="14"/>
      <c r="Y1311" s="14"/>
      <c r="Z1311" s="14"/>
      <c r="AA1311" s="14"/>
      <c r="AB1311" s="14"/>
      <c r="AC1311" s="14"/>
      <c r="AD1311" s="48"/>
      <c r="AE1311" s="48"/>
      <c r="AF1311" s="48"/>
      <c r="AG1311" s="48"/>
      <c r="AH1311" s="48"/>
      <c r="AI1311" s="14"/>
      <c r="AJ1311" s="14"/>
      <c r="AK1311" s="14"/>
      <c r="AL1311" s="14"/>
      <c r="AM1311" s="14"/>
      <c r="AN1311" s="14"/>
      <c r="AO1311" s="14"/>
      <c r="AP1311" s="14"/>
      <c r="AQ1311" s="14"/>
      <c r="AR1311" s="14"/>
      <c r="AS1311" s="14"/>
      <c r="AT1311" s="14"/>
      <c r="AU1311" s="14"/>
      <c r="AV1311" s="14"/>
      <c r="AW1311" s="14"/>
      <c r="AX1311" s="14"/>
      <c r="AY1311" s="14"/>
      <c r="AZ1311" s="14"/>
      <c r="BA1311" s="14"/>
    </row>
    <row r="1312" ht="14.25" customHeight="1">
      <c r="A1312" s="10"/>
      <c r="B1312" s="12"/>
      <c r="C1312" s="12"/>
      <c r="D1312" s="12"/>
      <c r="E1312" s="44"/>
      <c r="F1312" s="12"/>
      <c r="G1312" s="12"/>
      <c r="H1312" s="45"/>
      <c r="I1312" s="45"/>
      <c r="J1312" s="12"/>
      <c r="K1312" s="12"/>
      <c r="L1312" s="14"/>
      <c r="M1312" s="14"/>
      <c r="N1312" s="14"/>
      <c r="O1312" s="14"/>
      <c r="P1312" s="14"/>
      <c r="Q1312" s="14"/>
      <c r="R1312" s="48"/>
      <c r="S1312" s="48"/>
      <c r="T1312" s="48"/>
      <c r="U1312" s="48"/>
      <c r="V1312" s="48"/>
      <c r="W1312" s="14"/>
      <c r="X1312" s="14"/>
      <c r="Y1312" s="14"/>
      <c r="Z1312" s="14"/>
      <c r="AA1312" s="14"/>
      <c r="AB1312" s="14"/>
      <c r="AC1312" s="14"/>
      <c r="AD1312" s="48"/>
      <c r="AE1312" s="48"/>
      <c r="AF1312" s="48"/>
      <c r="AG1312" s="48"/>
      <c r="AH1312" s="48"/>
      <c r="AI1312" s="14"/>
      <c r="AJ1312" s="14"/>
      <c r="AK1312" s="14"/>
      <c r="AL1312" s="14"/>
      <c r="AM1312" s="14"/>
      <c r="AN1312" s="14"/>
      <c r="AO1312" s="14"/>
      <c r="AP1312" s="14"/>
      <c r="AQ1312" s="14"/>
      <c r="AR1312" s="14"/>
      <c r="AS1312" s="14"/>
      <c r="AT1312" s="14"/>
      <c r="AU1312" s="14"/>
      <c r="AV1312" s="14"/>
      <c r="AW1312" s="14"/>
      <c r="AX1312" s="14"/>
      <c r="AY1312" s="14"/>
      <c r="AZ1312" s="14"/>
      <c r="BA1312" s="14"/>
    </row>
    <row r="1313" ht="14.25" customHeight="1">
      <c r="A1313" s="10"/>
      <c r="B1313" s="12"/>
      <c r="C1313" s="12"/>
      <c r="D1313" s="12"/>
      <c r="E1313" s="44"/>
      <c r="F1313" s="12"/>
      <c r="G1313" s="12"/>
      <c r="H1313" s="45"/>
      <c r="I1313" s="45"/>
      <c r="J1313" s="12"/>
      <c r="K1313" s="12"/>
      <c r="L1313" s="14"/>
      <c r="M1313" s="14"/>
      <c r="N1313" s="14"/>
      <c r="O1313" s="14"/>
      <c r="P1313" s="14"/>
      <c r="Q1313" s="14"/>
      <c r="R1313" s="48"/>
      <c r="S1313" s="48"/>
      <c r="T1313" s="48"/>
      <c r="U1313" s="48"/>
      <c r="V1313" s="48"/>
      <c r="W1313" s="14"/>
      <c r="X1313" s="14"/>
      <c r="Y1313" s="14"/>
      <c r="Z1313" s="14"/>
      <c r="AA1313" s="14"/>
      <c r="AB1313" s="14"/>
      <c r="AC1313" s="14"/>
      <c r="AD1313" s="48"/>
      <c r="AE1313" s="48"/>
      <c r="AF1313" s="48"/>
      <c r="AG1313" s="48"/>
      <c r="AH1313" s="48"/>
      <c r="AI1313" s="14"/>
      <c r="AJ1313" s="14"/>
      <c r="AK1313" s="14"/>
      <c r="AL1313" s="14"/>
      <c r="AM1313" s="14"/>
      <c r="AN1313" s="14"/>
      <c r="AO1313" s="14"/>
      <c r="AP1313" s="14"/>
      <c r="AQ1313" s="14"/>
      <c r="AR1313" s="14"/>
      <c r="AS1313" s="14"/>
      <c r="AT1313" s="14"/>
      <c r="AU1313" s="14"/>
      <c r="AV1313" s="14"/>
      <c r="AW1313" s="14"/>
      <c r="AX1313" s="14"/>
      <c r="AY1313" s="14"/>
      <c r="AZ1313" s="14"/>
      <c r="BA1313" s="14"/>
    </row>
    <row r="1314" ht="14.25" customHeight="1">
      <c r="A1314" s="10"/>
      <c r="B1314" s="12"/>
      <c r="C1314" s="12"/>
      <c r="D1314" s="12"/>
      <c r="E1314" s="44"/>
      <c r="F1314" s="12"/>
      <c r="G1314" s="12"/>
      <c r="H1314" s="45"/>
      <c r="I1314" s="45"/>
      <c r="J1314" s="12"/>
      <c r="K1314" s="12"/>
      <c r="L1314" s="14"/>
      <c r="M1314" s="14"/>
      <c r="N1314" s="14"/>
      <c r="O1314" s="14"/>
      <c r="P1314" s="14"/>
      <c r="Q1314" s="14"/>
      <c r="R1314" s="48"/>
      <c r="S1314" s="48"/>
      <c r="T1314" s="48"/>
      <c r="U1314" s="48"/>
      <c r="V1314" s="48"/>
      <c r="W1314" s="14"/>
      <c r="X1314" s="14"/>
      <c r="Y1314" s="14"/>
      <c r="Z1314" s="14"/>
      <c r="AA1314" s="14"/>
      <c r="AB1314" s="14"/>
      <c r="AC1314" s="14"/>
      <c r="AD1314" s="48"/>
      <c r="AE1314" s="48"/>
      <c r="AF1314" s="48"/>
      <c r="AG1314" s="48"/>
      <c r="AH1314" s="48"/>
      <c r="AI1314" s="14"/>
      <c r="AJ1314" s="14"/>
      <c r="AK1314" s="14"/>
      <c r="AL1314" s="14"/>
      <c r="AM1314" s="14"/>
      <c r="AN1314" s="14"/>
      <c r="AO1314" s="14"/>
      <c r="AP1314" s="14"/>
      <c r="AQ1314" s="14"/>
      <c r="AR1314" s="14"/>
      <c r="AS1314" s="14"/>
      <c r="AT1314" s="14"/>
      <c r="AU1314" s="14"/>
      <c r="AV1314" s="14"/>
      <c r="AW1314" s="14"/>
      <c r="AX1314" s="14"/>
      <c r="AY1314" s="14"/>
      <c r="AZ1314" s="14"/>
      <c r="BA1314" s="14"/>
    </row>
    <row r="1315" ht="14.25" customHeight="1">
      <c r="A1315" s="10"/>
      <c r="B1315" s="12"/>
      <c r="C1315" s="12"/>
      <c r="D1315" s="12"/>
      <c r="E1315" s="44"/>
      <c r="F1315" s="12"/>
      <c r="G1315" s="12"/>
      <c r="H1315" s="45"/>
      <c r="I1315" s="45"/>
      <c r="J1315" s="12"/>
      <c r="K1315" s="12"/>
      <c r="L1315" s="14"/>
      <c r="M1315" s="14"/>
      <c r="N1315" s="14"/>
      <c r="O1315" s="14"/>
      <c r="P1315" s="14"/>
      <c r="Q1315" s="14"/>
      <c r="R1315" s="48"/>
      <c r="S1315" s="48"/>
      <c r="T1315" s="48"/>
      <c r="U1315" s="48"/>
      <c r="V1315" s="48"/>
      <c r="W1315" s="14"/>
      <c r="X1315" s="14"/>
      <c r="Y1315" s="14"/>
      <c r="Z1315" s="14"/>
      <c r="AA1315" s="14"/>
      <c r="AB1315" s="14"/>
      <c r="AC1315" s="14"/>
      <c r="AD1315" s="48"/>
      <c r="AE1315" s="48"/>
      <c r="AF1315" s="48"/>
      <c r="AG1315" s="48"/>
      <c r="AH1315" s="48"/>
      <c r="AI1315" s="14"/>
      <c r="AJ1315" s="14"/>
      <c r="AK1315" s="14"/>
      <c r="AL1315" s="14"/>
      <c r="AM1315" s="14"/>
      <c r="AN1315" s="14"/>
      <c r="AO1315" s="14"/>
      <c r="AP1315" s="14"/>
      <c r="AQ1315" s="14"/>
      <c r="AR1315" s="14"/>
      <c r="AS1315" s="14"/>
      <c r="AT1315" s="14"/>
      <c r="AU1315" s="14"/>
      <c r="AV1315" s="14"/>
      <c r="AW1315" s="14"/>
      <c r="AX1315" s="14"/>
      <c r="AY1315" s="14"/>
      <c r="AZ1315" s="14"/>
      <c r="BA1315" s="14"/>
    </row>
    <row r="1316" ht="14.25" customHeight="1">
      <c r="A1316" s="10"/>
      <c r="B1316" s="12"/>
      <c r="C1316" s="12"/>
      <c r="D1316" s="12"/>
      <c r="E1316" s="44"/>
      <c r="F1316" s="12"/>
      <c r="G1316" s="12"/>
      <c r="H1316" s="45"/>
      <c r="I1316" s="45"/>
      <c r="J1316" s="12"/>
      <c r="K1316" s="12"/>
      <c r="L1316" s="14"/>
      <c r="M1316" s="14"/>
      <c r="N1316" s="14"/>
      <c r="O1316" s="14"/>
      <c r="P1316" s="14"/>
      <c r="Q1316" s="14"/>
      <c r="R1316" s="48"/>
      <c r="S1316" s="48"/>
      <c r="T1316" s="48"/>
      <c r="U1316" s="48"/>
      <c r="V1316" s="48"/>
      <c r="W1316" s="14"/>
      <c r="X1316" s="14"/>
      <c r="Y1316" s="14"/>
      <c r="Z1316" s="14"/>
      <c r="AA1316" s="14"/>
      <c r="AB1316" s="14"/>
      <c r="AC1316" s="14"/>
      <c r="AD1316" s="48"/>
      <c r="AE1316" s="48"/>
      <c r="AF1316" s="48"/>
      <c r="AG1316" s="48"/>
      <c r="AH1316" s="48"/>
      <c r="AI1316" s="14"/>
      <c r="AJ1316" s="14"/>
      <c r="AK1316" s="14"/>
      <c r="AL1316" s="14"/>
      <c r="AM1316" s="14"/>
      <c r="AN1316" s="14"/>
      <c r="AO1316" s="14"/>
      <c r="AP1316" s="14"/>
      <c r="AQ1316" s="14"/>
      <c r="AR1316" s="14"/>
      <c r="AS1316" s="14"/>
      <c r="AT1316" s="14"/>
      <c r="AU1316" s="14"/>
      <c r="AV1316" s="14"/>
      <c r="AW1316" s="14"/>
      <c r="AX1316" s="14"/>
      <c r="AY1316" s="14"/>
      <c r="AZ1316" s="14"/>
      <c r="BA1316" s="14"/>
    </row>
    <row r="1317" ht="14.25" customHeight="1">
      <c r="A1317" s="10"/>
      <c r="B1317" s="12"/>
      <c r="C1317" s="12"/>
      <c r="D1317" s="12"/>
      <c r="E1317" s="44"/>
      <c r="F1317" s="12"/>
      <c r="G1317" s="12"/>
      <c r="H1317" s="45"/>
      <c r="I1317" s="45"/>
      <c r="J1317" s="12"/>
      <c r="K1317" s="12"/>
      <c r="L1317" s="14"/>
      <c r="M1317" s="14"/>
      <c r="N1317" s="14"/>
      <c r="O1317" s="14"/>
      <c r="P1317" s="14"/>
      <c r="Q1317" s="14"/>
      <c r="R1317" s="48"/>
      <c r="S1317" s="48"/>
      <c r="T1317" s="48"/>
      <c r="U1317" s="48"/>
      <c r="V1317" s="48"/>
      <c r="W1317" s="14"/>
      <c r="X1317" s="14"/>
      <c r="Y1317" s="14"/>
      <c r="Z1317" s="14"/>
      <c r="AA1317" s="14"/>
      <c r="AB1317" s="14"/>
      <c r="AC1317" s="14"/>
      <c r="AD1317" s="48"/>
      <c r="AE1317" s="48"/>
      <c r="AF1317" s="48"/>
      <c r="AG1317" s="48"/>
      <c r="AH1317" s="48"/>
      <c r="AI1317" s="14"/>
      <c r="AJ1317" s="14"/>
      <c r="AK1317" s="14"/>
      <c r="AL1317" s="14"/>
      <c r="AM1317" s="14"/>
      <c r="AN1317" s="14"/>
      <c r="AO1317" s="14"/>
      <c r="AP1317" s="14"/>
      <c r="AQ1317" s="14"/>
      <c r="AR1317" s="14"/>
      <c r="AS1317" s="14"/>
      <c r="AT1317" s="14"/>
      <c r="AU1317" s="14"/>
      <c r="AV1317" s="14"/>
      <c r="AW1317" s="14"/>
      <c r="AX1317" s="14"/>
      <c r="AY1317" s="14"/>
      <c r="AZ1317" s="14"/>
      <c r="BA1317" s="14"/>
    </row>
    <row r="1318" ht="14.25" customHeight="1">
      <c r="A1318" s="10"/>
      <c r="B1318" s="12"/>
      <c r="C1318" s="12"/>
      <c r="D1318" s="12"/>
      <c r="E1318" s="44"/>
      <c r="F1318" s="12"/>
      <c r="G1318" s="12"/>
      <c r="H1318" s="45"/>
      <c r="I1318" s="45"/>
      <c r="J1318" s="12"/>
      <c r="K1318" s="12"/>
      <c r="L1318" s="14"/>
      <c r="M1318" s="14"/>
      <c r="N1318" s="14"/>
      <c r="O1318" s="14"/>
      <c r="P1318" s="14"/>
      <c r="Q1318" s="14"/>
      <c r="R1318" s="48"/>
      <c r="S1318" s="48"/>
      <c r="T1318" s="48"/>
      <c r="U1318" s="48"/>
      <c r="V1318" s="48"/>
      <c r="W1318" s="14"/>
      <c r="X1318" s="14"/>
      <c r="Y1318" s="14"/>
      <c r="Z1318" s="14"/>
      <c r="AA1318" s="14"/>
      <c r="AB1318" s="14"/>
      <c r="AC1318" s="14"/>
      <c r="AD1318" s="48"/>
      <c r="AE1318" s="48"/>
      <c r="AF1318" s="48"/>
      <c r="AG1318" s="48"/>
      <c r="AH1318" s="48"/>
      <c r="AI1318" s="14"/>
      <c r="AJ1318" s="14"/>
      <c r="AK1318" s="14"/>
      <c r="AL1318" s="14"/>
      <c r="AM1318" s="14"/>
      <c r="AN1318" s="14"/>
      <c r="AO1318" s="14"/>
      <c r="AP1318" s="14"/>
      <c r="AQ1318" s="14"/>
      <c r="AR1318" s="14"/>
      <c r="AS1318" s="14"/>
      <c r="AT1318" s="14"/>
      <c r="AU1318" s="14"/>
      <c r="AV1318" s="14"/>
      <c r="AW1318" s="14"/>
      <c r="AX1318" s="14"/>
      <c r="AY1318" s="14"/>
      <c r="AZ1318" s="14"/>
      <c r="BA1318" s="14"/>
    </row>
    <row r="1319" ht="14.25" customHeight="1">
      <c r="A1319" s="10"/>
      <c r="B1319" s="12"/>
      <c r="C1319" s="12"/>
      <c r="D1319" s="12"/>
      <c r="E1319" s="44"/>
      <c r="F1319" s="12"/>
      <c r="G1319" s="12"/>
      <c r="H1319" s="45"/>
      <c r="I1319" s="45"/>
      <c r="J1319" s="12"/>
      <c r="K1319" s="12"/>
      <c r="L1319" s="14"/>
      <c r="M1319" s="14"/>
      <c r="N1319" s="14"/>
      <c r="O1319" s="14"/>
      <c r="P1319" s="14"/>
      <c r="Q1319" s="14"/>
      <c r="R1319" s="48"/>
      <c r="S1319" s="48"/>
      <c r="T1319" s="48"/>
      <c r="U1319" s="48"/>
      <c r="V1319" s="48"/>
      <c r="W1319" s="14"/>
      <c r="X1319" s="14"/>
      <c r="Y1319" s="14"/>
      <c r="Z1319" s="14"/>
      <c r="AA1319" s="14"/>
      <c r="AB1319" s="14"/>
      <c r="AC1319" s="14"/>
      <c r="AD1319" s="48"/>
      <c r="AE1319" s="48"/>
      <c r="AF1319" s="48"/>
      <c r="AG1319" s="48"/>
      <c r="AH1319" s="48"/>
      <c r="AI1319" s="14"/>
      <c r="AJ1319" s="14"/>
      <c r="AK1319" s="14"/>
      <c r="AL1319" s="14"/>
      <c r="AM1319" s="14"/>
      <c r="AN1319" s="14"/>
      <c r="AO1319" s="14"/>
      <c r="AP1319" s="14"/>
      <c r="AQ1319" s="14"/>
      <c r="AR1319" s="14"/>
      <c r="AS1319" s="14"/>
      <c r="AT1319" s="14"/>
      <c r="AU1319" s="14"/>
      <c r="AV1319" s="14"/>
      <c r="AW1319" s="14"/>
      <c r="AX1319" s="14"/>
      <c r="AY1319" s="14"/>
      <c r="AZ1319" s="14"/>
      <c r="BA1319" s="14"/>
    </row>
    <row r="1320" ht="14.25" customHeight="1">
      <c r="A1320" s="10"/>
      <c r="B1320" s="12"/>
      <c r="C1320" s="12"/>
      <c r="D1320" s="12"/>
      <c r="E1320" s="44"/>
      <c r="F1320" s="12"/>
      <c r="G1320" s="12"/>
      <c r="H1320" s="45"/>
      <c r="I1320" s="45"/>
      <c r="J1320" s="12"/>
      <c r="K1320" s="12"/>
      <c r="L1320" s="14"/>
      <c r="M1320" s="14"/>
      <c r="N1320" s="14"/>
      <c r="O1320" s="14"/>
      <c r="P1320" s="14"/>
      <c r="Q1320" s="14"/>
      <c r="R1320" s="48"/>
      <c r="S1320" s="48"/>
      <c r="T1320" s="48"/>
      <c r="U1320" s="48"/>
      <c r="V1320" s="48"/>
      <c r="W1320" s="14"/>
      <c r="X1320" s="14"/>
      <c r="Y1320" s="14"/>
      <c r="Z1320" s="14"/>
      <c r="AA1320" s="14"/>
      <c r="AB1320" s="14"/>
      <c r="AC1320" s="14"/>
      <c r="AD1320" s="48"/>
      <c r="AE1320" s="48"/>
      <c r="AF1320" s="48"/>
      <c r="AG1320" s="48"/>
      <c r="AH1320" s="48"/>
      <c r="AI1320" s="14"/>
      <c r="AJ1320" s="14"/>
      <c r="AK1320" s="14"/>
      <c r="AL1320" s="14"/>
      <c r="AM1320" s="14"/>
      <c r="AN1320" s="14"/>
      <c r="AO1320" s="14"/>
      <c r="AP1320" s="14"/>
      <c r="AQ1320" s="14"/>
      <c r="AR1320" s="14"/>
      <c r="AS1320" s="14"/>
      <c r="AT1320" s="14"/>
      <c r="AU1320" s="14"/>
      <c r="AV1320" s="14"/>
      <c r="AW1320" s="14"/>
      <c r="AX1320" s="14"/>
      <c r="AY1320" s="14"/>
      <c r="AZ1320" s="14"/>
      <c r="BA1320" s="14"/>
    </row>
    <row r="1321" ht="14.25" customHeight="1">
      <c r="A1321" s="10"/>
      <c r="B1321" s="12"/>
      <c r="C1321" s="12"/>
      <c r="D1321" s="12"/>
      <c r="E1321" s="44"/>
      <c r="F1321" s="12"/>
      <c r="G1321" s="12"/>
      <c r="H1321" s="45"/>
      <c r="I1321" s="45"/>
      <c r="J1321" s="12"/>
      <c r="K1321" s="12"/>
      <c r="L1321" s="14"/>
      <c r="M1321" s="14"/>
      <c r="N1321" s="14"/>
      <c r="O1321" s="14"/>
      <c r="P1321" s="14"/>
      <c r="Q1321" s="14"/>
      <c r="R1321" s="48"/>
      <c r="S1321" s="48"/>
      <c r="T1321" s="48"/>
      <c r="U1321" s="48"/>
      <c r="V1321" s="48"/>
      <c r="W1321" s="14"/>
      <c r="X1321" s="14"/>
      <c r="Y1321" s="14"/>
      <c r="Z1321" s="14"/>
      <c r="AA1321" s="14"/>
      <c r="AB1321" s="14"/>
      <c r="AC1321" s="14"/>
      <c r="AD1321" s="48"/>
      <c r="AE1321" s="48"/>
      <c r="AF1321" s="48"/>
      <c r="AG1321" s="48"/>
      <c r="AH1321" s="48"/>
      <c r="AI1321" s="14"/>
      <c r="AJ1321" s="14"/>
      <c r="AK1321" s="14"/>
      <c r="AL1321" s="14"/>
      <c r="AM1321" s="14"/>
      <c r="AN1321" s="14"/>
      <c r="AO1321" s="14"/>
      <c r="AP1321" s="14"/>
      <c r="AQ1321" s="14"/>
      <c r="AR1321" s="14"/>
      <c r="AS1321" s="14"/>
      <c r="AT1321" s="14"/>
      <c r="AU1321" s="14"/>
      <c r="AV1321" s="14"/>
      <c r="AW1321" s="14"/>
      <c r="AX1321" s="14"/>
      <c r="AY1321" s="14"/>
      <c r="AZ1321" s="14"/>
      <c r="BA1321" s="14"/>
    </row>
    <row r="1322" ht="14.25" customHeight="1">
      <c r="A1322" s="10"/>
      <c r="B1322" s="12"/>
      <c r="C1322" s="12"/>
      <c r="D1322" s="12"/>
      <c r="E1322" s="44"/>
      <c r="F1322" s="12"/>
      <c r="G1322" s="12"/>
      <c r="H1322" s="45"/>
      <c r="I1322" s="45"/>
      <c r="J1322" s="12"/>
      <c r="K1322" s="12"/>
      <c r="L1322" s="14"/>
      <c r="M1322" s="14"/>
      <c r="N1322" s="14"/>
      <c r="O1322" s="14"/>
      <c r="P1322" s="14"/>
      <c r="Q1322" s="14"/>
      <c r="R1322" s="48"/>
      <c r="S1322" s="48"/>
      <c r="T1322" s="48"/>
      <c r="U1322" s="48"/>
      <c r="V1322" s="48"/>
      <c r="W1322" s="14"/>
      <c r="X1322" s="14"/>
      <c r="Y1322" s="14"/>
      <c r="Z1322" s="14"/>
      <c r="AA1322" s="14"/>
      <c r="AB1322" s="14"/>
      <c r="AC1322" s="14"/>
      <c r="AD1322" s="48"/>
      <c r="AE1322" s="48"/>
      <c r="AF1322" s="48"/>
      <c r="AG1322" s="48"/>
      <c r="AH1322" s="48"/>
      <c r="AI1322" s="14"/>
      <c r="AJ1322" s="14"/>
      <c r="AK1322" s="14"/>
      <c r="AL1322" s="14"/>
      <c r="AM1322" s="14"/>
      <c r="AN1322" s="14"/>
      <c r="AO1322" s="14"/>
      <c r="AP1322" s="14"/>
      <c r="AQ1322" s="14"/>
      <c r="AR1322" s="14"/>
      <c r="AS1322" s="14"/>
      <c r="AT1322" s="14"/>
      <c r="AU1322" s="14"/>
      <c r="AV1322" s="14"/>
      <c r="AW1322" s="14"/>
      <c r="AX1322" s="14"/>
      <c r="AY1322" s="14"/>
      <c r="AZ1322" s="14"/>
      <c r="BA1322" s="14"/>
    </row>
    <row r="1323" ht="14.25" customHeight="1">
      <c r="A1323" s="10"/>
      <c r="B1323" s="12"/>
      <c r="C1323" s="12"/>
      <c r="D1323" s="12"/>
      <c r="E1323" s="44"/>
      <c r="F1323" s="12"/>
      <c r="G1323" s="12"/>
      <c r="H1323" s="45"/>
      <c r="I1323" s="45"/>
      <c r="J1323" s="12"/>
      <c r="K1323" s="12"/>
      <c r="L1323" s="14"/>
      <c r="M1323" s="14"/>
      <c r="N1323" s="14"/>
      <c r="O1323" s="14"/>
      <c r="P1323" s="14"/>
      <c r="Q1323" s="14"/>
      <c r="R1323" s="48"/>
      <c r="S1323" s="48"/>
      <c r="T1323" s="48"/>
      <c r="U1323" s="48"/>
      <c r="V1323" s="48"/>
      <c r="W1323" s="14"/>
      <c r="X1323" s="14"/>
      <c r="Y1323" s="14"/>
      <c r="Z1323" s="14"/>
      <c r="AA1323" s="14"/>
      <c r="AB1323" s="14"/>
      <c r="AC1323" s="14"/>
      <c r="AD1323" s="48"/>
      <c r="AE1323" s="48"/>
      <c r="AF1323" s="48"/>
      <c r="AG1323" s="48"/>
      <c r="AH1323" s="48"/>
      <c r="AI1323" s="14"/>
      <c r="AJ1323" s="14"/>
      <c r="AK1323" s="14"/>
      <c r="AL1323" s="14"/>
      <c r="AM1323" s="14"/>
      <c r="AN1323" s="14"/>
      <c r="AO1323" s="14"/>
      <c r="AP1323" s="14"/>
      <c r="AQ1323" s="14"/>
      <c r="AR1323" s="14"/>
      <c r="AS1323" s="14"/>
      <c r="AT1323" s="14"/>
      <c r="AU1323" s="14"/>
      <c r="AV1323" s="14"/>
      <c r="AW1323" s="14"/>
      <c r="AX1323" s="14"/>
      <c r="AY1323" s="14"/>
      <c r="AZ1323" s="14"/>
      <c r="BA1323" s="14"/>
    </row>
    <row r="1324" ht="14.25" customHeight="1">
      <c r="A1324" s="10"/>
      <c r="B1324" s="12"/>
      <c r="C1324" s="12"/>
      <c r="D1324" s="12"/>
      <c r="E1324" s="44"/>
      <c r="F1324" s="12"/>
      <c r="G1324" s="12"/>
      <c r="H1324" s="45"/>
      <c r="I1324" s="45"/>
      <c r="J1324" s="12"/>
      <c r="K1324" s="12"/>
      <c r="L1324" s="14"/>
      <c r="M1324" s="14"/>
      <c r="N1324" s="14"/>
      <c r="O1324" s="14"/>
      <c r="P1324" s="14"/>
      <c r="Q1324" s="14"/>
      <c r="R1324" s="48"/>
      <c r="S1324" s="48"/>
      <c r="T1324" s="48"/>
      <c r="U1324" s="48"/>
      <c r="V1324" s="48"/>
      <c r="W1324" s="14"/>
      <c r="X1324" s="14"/>
      <c r="Y1324" s="14"/>
      <c r="Z1324" s="14"/>
      <c r="AA1324" s="14"/>
      <c r="AB1324" s="14"/>
      <c r="AC1324" s="14"/>
      <c r="AD1324" s="48"/>
      <c r="AE1324" s="48"/>
      <c r="AF1324" s="48"/>
      <c r="AG1324" s="48"/>
      <c r="AH1324" s="48"/>
      <c r="AI1324" s="14"/>
      <c r="AJ1324" s="14"/>
      <c r="AK1324" s="14"/>
      <c r="AL1324" s="14"/>
      <c r="AM1324" s="14"/>
      <c r="AN1324" s="14"/>
      <c r="AO1324" s="14"/>
      <c r="AP1324" s="14"/>
      <c r="AQ1324" s="14"/>
      <c r="AR1324" s="14"/>
      <c r="AS1324" s="14"/>
      <c r="AT1324" s="14"/>
      <c r="AU1324" s="14"/>
      <c r="AV1324" s="14"/>
      <c r="AW1324" s="14"/>
      <c r="AX1324" s="14"/>
      <c r="AY1324" s="14"/>
      <c r="AZ1324" s="14"/>
      <c r="BA1324" s="14"/>
    </row>
    <row r="1325" ht="14.25" customHeight="1">
      <c r="A1325" s="10"/>
      <c r="B1325" s="12"/>
      <c r="C1325" s="12"/>
      <c r="D1325" s="12"/>
      <c r="E1325" s="44"/>
      <c r="F1325" s="12"/>
      <c r="G1325" s="12"/>
      <c r="H1325" s="45"/>
      <c r="I1325" s="45"/>
      <c r="J1325" s="12"/>
      <c r="K1325" s="12"/>
      <c r="L1325" s="14"/>
      <c r="M1325" s="14"/>
      <c r="N1325" s="14"/>
      <c r="O1325" s="14"/>
      <c r="P1325" s="14"/>
      <c r="Q1325" s="14"/>
      <c r="R1325" s="48"/>
      <c r="S1325" s="48"/>
      <c r="T1325" s="48"/>
      <c r="U1325" s="48"/>
      <c r="V1325" s="48"/>
      <c r="W1325" s="14"/>
      <c r="X1325" s="14"/>
      <c r="Y1325" s="14"/>
      <c r="Z1325" s="14"/>
      <c r="AA1325" s="14"/>
      <c r="AB1325" s="14"/>
      <c r="AC1325" s="14"/>
      <c r="AD1325" s="48"/>
      <c r="AE1325" s="48"/>
      <c r="AF1325" s="48"/>
      <c r="AG1325" s="48"/>
      <c r="AH1325" s="48"/>
      <c r="AI1325" s="14"/>
      <c r="AJ1325" s="14"/>
      <c r="AK1325" s="14"/>
      <c r="AL1325" s="14"/>
      <c r="AM1325" s="14"/>
      <c r="AN1325" s="14"/>
      <c r="AO1325" s="14"/>
      <c r="AP1325" s="14"/>
      <c r="AQ1325" s="14"/>
      <c r="AR1325" s="14"/>
      <c r="AS1325" s="14"/>
      <c r="AT1325" s="14"/>
      <c r="AU1325" s="14"/>
      <c r="AV1325" s="14"/>
      <c r="AW1325" s="14"/>
      <c r="AX1325" s="14"/>
      <c r="AY1325" s="14"/>
      <c r="AZ1325" s="14"/>
      <c r="BA1325" s="14"/>
    </row>
    <row r="1326" ht="14.25" customHeight="1">
      <c r="A1326" s="10"/>
      <c r="B1326" s="12"/>
      <c r="C1326" s="12"/>
      <c r="D1326" s="12"/>
      <c r="E1326" s="44"/>
      <c r="F1326" s="12"/>
      <c r="G1326" s="12"/>
      <c r="H1326" s="45"/>
      <c r="I1326" s="45"/>
      <c r="J1326" s="12"/>
      <c r="K1326" s="12"/>
      <c r="L1326" s="14"/>
      <c r="M1326" s="14"/>
      <c r="N1326" s="14"/>
      <c r="O1326" s="14"/>
      <c r="P1326" s="14"/>
      <c r="Q1326" s="14"/>
      <c r="R1326" s="48"/>
      <c r="S1326" s="48"/>
      <c r="T1326" s="48"/>
      <c r="U1326" s="48"/>
      <c r="V1326" s="48"/>
      <c r="W1326" s="14"/>
      <c r="X1326" s="14"/>
      <c r="Y1326" s="14"/>
      <c r="Z1326" s="14"/>
      <c r="AA1326" s="14"/>
      <c r="AB1326" s="14"/>
      <c r="AC1326" s="14"/>
      <c r="AD1326" s="48"/>
      <c r="AE1326" s="48"/>
      <c r="AF1326" s="48"/>
      <c r="AG1326" s="48"/>
      <c r="AH1326" s="48"/>
      <c r="AI1326" s="14"/>
      <c r="AJ1326" s="14"/>
      <c r="AK1326" s="14"/>
      <c r="AL1326" s="14"/>
      <c r="AM1326" s="14"/>
      <c r="AN1326" s="14"/>
      <c r="AO1326" s="14"/>
      <c r="AP1326" s="14"/>
      <c r="AQ1326" s="14"/>
      <c r="AR1326" s="14"/>
      <c r="AS1326" s="14"/>
      <c r="AT1326" s="14"/>
      <c r="AU1326" s="14"/>
      <c r="AV1326" s="14"/>
      <c r="AW1326" s="14"/>
      <c r="AX1326" s="14"/>
      <c r="AY1326" s="14"/>
      <c r="AZ1326" s="14"/>
      <c r="BA1326" s="14"/>
    </row>
    <row r="1327" ht="14.25" customHeight="1">
      <c r="A1327" s="10"/>
      <c r="B1327" s="12"/>
      <c r="C1327" s="12"/>
      <c r="D1327" s="12"/>
      <c r="E1327" s="44"/>
      <c r="F1327" s="12"/>
      <c r="G1327" s="12"/>
      <c r="H1327" s="45"/>
      <c r="I1327" s="45"/>
      <c r="J1327" s="12"/>
      <c r="K1327" s="12"/>
      <c r="L1327" s="14"/>
      <c r="M1327" s="14"/>
      <c r="N1327" s="14"/>
      <c r="O1327" s="14"/>
      <c r="P1327" s="14"/>
      <c r="Q1327" s="14"/>
      <c r="R1327" s="48"/>
      <c r="S1327" s="48"/>
      <c r="T1327" s="48"/>
      <c r="U1327" s="48"/>
      <c r="V1327" s="48"/>
      <c r="W1327" s="14"/>
      <c r="X1327" s="14"/>
      <c r="Y1327" s="14"/>
      <c r="Z1327" s="14"/>
      <c r="AA1327" s="14"/>
      <c r="AB1327" s="14"/>
      <c r="AC1327" s="14"/>
      <c r="AD1327" s="48"/>
      <c r="AE1327" s="48"/>
      <c r="AF1327" s="48"/>
      <c r="AG1327" s="48"/>
      <c r="AH1327" s="48"/>
      <c r="AI1327" s="14"/>
      <c r="AJ1327" s="14"/>
      <c r="AK1327" s="14"/>
      <c r="AL1327" s="14"/>
      <c r="AM1327" s="14"/>
      <c r="AN1327" s="14"/>
      <c r="AO1327" s="14"/>
      <c r="AP1327" s="14"/>
      <c r="AQ1327" s="14"/>
      <c r="AR1327" s="14"/>
      <c r="AS1327" s="14"/>
      <c r="AT1327" s="14"/>
      <c r="AU1327" s="14"/>
      <c r="AV1327" s="14"/>
      <c r="AW1327" s="14"/>
      <c r="AX1327" s="14"/>
      <c r="AY1327" s="14"/>
      <c r="AZ1327" s="14"/>
      <c r="BA1327" s="14"/>
    </row>
    <row r="1328" ht="14.25" customHeight="1">
      <c r="A1328" s="10"/>
      <c r="B1328" s="12"/>
      <c r="C1328" s="12"/>
      <c r="D1328" s="12"/>
      <c r="E1328" s="44"/>
      <c r="F1328" s="12"/>
      <c r="G1328" s="12"/>
      <c r="H1328" s="45"/>
      <c r="I1328" s="45"/>
      <c r="J1328" s="12"/>
      <c r="K1328" s="12"/>
      <c r="L1328" s="14"/>
      <c r="M1328" s="14"/>
      <c r="N1328" s="14"/>
      <c r="O1328" s="14"/>
      <c r="P1328" s="14"/>
      <c r="Q1328" s="14"/>
      <c r="R1328" s="48"/>
      <c r="S1328" s="48"/>
      <c r="T1328" s="48"/>
      <c r="U1328" s="48"/>
      <c r="V1328" s="48"/>
      <c r="W1328" s="14"/>
      <c r="X1328" s="14"/>
      <c r="Y1328" s="14"/>
      <c r="Z1328" s="14"/>
      <c r="AA1328" s="14"/>
      <c r="AB1328" s="14"/>
      <c r="AC1328" s="14"/>
      <c r="AD1328" s="48"/>
      <c r="AE1328" s="48"/>
      <c r="AF1328" s="48"/>
      <c r="AG1328" s="48"/>
      <c r="AH1328" s="48"/>
      <c r="AI1328" s="14"/>
      <c r="AJ1328" s="14"/>
      <c r="AK1328" s="14"/>
      <c r="AL1328" s="14"/>
      <c r="AM1328" s="14"/>
      <c r="AN1328" s="14"/>
      <c r="AO1328" s="14"/>
      <c r="AP1328" s="14"/>
      <c r="AQ1328" s="14"/>
      <c r="AR1328" s="14"/>
      <c r="AS1328" s="14"/>
      <c r="AT1328" s="14"/>
      <c r="AU1328" s="14"/>
      <c r="AV1328" s="14"/>
      <c r="AW1328" s="14"/>
      <c r="AX1328" s="14"/>
      <c r="AY1328" s="14"/>
      <c r="AZ1328" s="14"/>
      <c r="BA1328" s="14"/>
    </row>
    <row r="1329" ht="14.25" customHeight="1">
      <c r="A1329" s="10"/>
      <c r="B1329" s="12"/>
      <c r="C1329" s="12"/>
      <c r="D1329" s="12"/>
      <c r="E1329" s="44"/>
      <c r="F1329" s="12"/>
      <c r="G1329" s="12"/>
      <c r="H1329" s="45"/>
      <c r="I1329" s="45"/>
      <c r="J1329" s="12"/>
      <c r="K1329" s="12"/>
      <c r="L1329" s="14"/>
      <c r="M1329" s="14"/>
      <c r="N1329" s="14"/>
      <c r="O1329" s="14"/>
      <c r="P1329" s="14"/>
      <c r="Q1329" s="14"/>
      <c r="R1329" s="48"/>
      <c r="S1329" s="48"/>
      <c r="T1329" s="48"/>
      <c r="U1329" s="48"/>
      <c r="V1329" s="48"/>
      <c r="W1329" s="14"/>
      <c r="X1329" s="14"/>
      <c r="Y1329" s="14"/>
      <c r="Z1329" s="14"/>
      <c r="AA1329" s="14"/>
      <c r="AB1329" s="14"/>
      <c r="AC1329" s="14"/>
      <c r="AD1329" s="48"/>
      <c r="AE1329" s="48"/>
      <c r="AF1329" s="48"/>
      <c r="AG1329" s="48"/>
      <c r="AH1329" s="48"/>
      <c r="AI1329" s="14"/>
      <c r="AJ1329" s="14"/>
      <c r="AK1329" s="14"/>
      <c r="AL1329" s="14"/>
      <c r="AM1329" s="14"/>
      <c r="AN1329" s="14"/>
      <c r="AO1329" s="14"/>
      <c r="AP1329" s="14"/>
      <c r="AQ1329" s="14"/>
      <c r="AR1329" s="14"/>
      <c r="AS1329" s="14"/>
      <c r="AT1329" s="14"/>
      <c r="AU1329" s="14"/>
      <c r="AV1329" s="14"/>
      <c r="AW1329" s="14"/>
      <c r="AX1329" s="14"/>
      <c r="AY1329" s="14"/>
      <c r="AZ1329" s="14"/>
      <c r="BA1329" s="14"/>
    </row>
    <row r="1330" ht="14.25" customHeight="1">
      <c r="A1330" s="10"/>
      <c r="B1330" s="12"/>
      <c r="C1330" s="12"/>
      <c r="D1330" s="12"/>
      <c r="E1330" s="44"/>
      <c r="F1330" s="12"/>
      <c r="G1330" s="12"/>
      <c r="H1330" s="45"/>
      <c r="I1330" s="45"/>
      <c r="J1330" s="12"/>
      <c r="K1330" s="12"/>
      <c r="L1330" s="14"/>
      <c r="M1330" s="14"/>
      <c r="N1330" s="14"/>
      <c r="O1330" s="14"/>
      <c r="P1330" s="14"/>
      <c r="Q1330" s="14"/>
      <c r="R1330" s="48"/>
      <c r="S1330" s="48"/>
      <c r="T1330" s="48"/>
      <c r="U1330" s="48"/>
      <c r="V1330" s="48"/>
      <c r="W1330" s="14"/>
      <c r="X1330" s="14"/>
      <c r="Y1330" s="14"/>
      <c r="Z1330" s="14"/>
      <c r="AA1330" s="14"/>
      <c r="AB1330" s="14"/>
      <c r="AC1330" s="14"/>
      <c r="AD1330" s="48"/>
      <c r="AE1330" s="48"/>
      <c r="AF1330" s="48"/>
      <c r="AG1330" s="48"/>
      <c r="AH1330" s="48"/>
      <c r="AI1330" s="14"/>
      <c r="AJ1330" s="14"/>
      <c r="AK1330" s="14"/>
      <c r="AL1330" s="14"/>
      <c r="AM1330" s="14"/>
      <c r="AN1330" s="14"/>
      <c r="AO1330" s="14"/>
      <c r="AP1330" s="14"/>
      <c r="AQ1330" s="14"/>
      <c r="AR1330" s="14"/>
      <c r="AS1330" s="14"/>
      <c r="AT1330" s="14"/>
      <c r="AU1330" s="14"/>
      <c r="AV1330" s="14"/>
      <c r="AW1330" s="14"/>
      <c r="AX1330" s="14"/>
      <c r="AY1330" s="14"/>
      <c r="AZ1330" s="14"/>
      <c r="BA1330" s="14"/>
    </row>
    <row r="1331" ht="14.25" customHeight="1">
      <c r="A1331" s="10"/>
      <c r="B1331" s="12"/>
      <c r="C1331" s="12"/>
      <c r="D1331" s="12"/>
      <c r="E1331" s="44"/>
      <c r="F1331" s="12"/>
      <c r="G1331" s="12"/>
      <c r="H1331" s="45"/>
      <c r="I1331" s="45"/>
      <c r="J1331" s="12"/>
      <c r="K1331" s="12"/>
      <c r="L1331" s="14"/>
      <c r="M1331" s="14"/>
      <c r="N1331" s="14"/>
      <c r="O1331" s="14"/>
      <c r="P1331" s="14"/>
      <c r="Q1331" s="14"/>
      <c r="R1331" s="48"/>
      <c r="S1331" s="48"/>
      <c r="T1331" s="48"/>
      <c r="U1331" s="48"/>
      <c r="V1331" s="48"/>
      <c r="W1331" s="14"/>
      <c r="X1331" s="14"/>
      <c r="Y1331" s="14"/>
      <c r="Z1331" s="14"/>
      <c r="AA1331" s="14"/>
      <c r="AB1331" s="14"/>
      <c r="AC1331" s="14"/>
      <c r="AD1331" s="48"/>
      <c r="AE1331" s="48"/>
      <c r="AF1331" s="48"/>
      <c r="AG1331" s="48"/>
      <c r="AH1331" s="48"/>
      <c r="AI1331" s="14"/>
      <c r="AJ1331" s="14"/>
      <c r="AK1331" s="14"/>
      <c r="AL1331" s="14"/>
      <c r="AM1331" s="14"/>
      <c r="AN1331" s="14"/>
      <c r="AO1331" s="14"/>
      <c r="AP1331" s="14"/>
      <c r="AQ1331" s="14"/>
      <c r="AR1331" s="14"/>
      <c r="AS1331" s="14"/>
      <c r="AT1331" s="14"/>
      <c r="AU1331" s="14"/>
      <c r="AV1331" s="14"/>
      <c r="AW1331" s="14"/>
      <c r="AX1331" s="14"/>
      <c r="AY1331" s="14"/>
      <c r="AZ1331" s="14"/>
      <c r="BA1331" s="14"/>
    </row>
    <row r="1332" ht="14.25" customHeight="1">
      <c r="A1332" s="10"/>
      <c r="B1332" s="12"/>
      <c r="C1332" s="12"/>
      <c r="D1332" s="12"/>
      <c r="E1332" s="44"/>
      <c r="F1332" s="12"/>
      <c r="G1332" s="12"/>
      <c r="H1332" s="45"/>
      <c r="I1332" s="45"/>
      <c r="J1332" s="12"/>
      <c r="K1332" s="12"/>
      <c r="L1332" s="14"/>
      <c r="M1332" s="14"/>
      <c r="N1332" s="14"/>
      <c r="O1332" s="14"/>
      <c r="P1332" s="14"/>
      <c r="Q1332" s="14"/>
      <c r="R1332" s="48"/>
      <c r="S1332" s="48"/>
      <c r="T1332" s="48"/>
      <c r="U1332" s="48"/>
      <c r="V1332" s="48"/>
      <c r="W1332" s="14"/>
      <c r="X1332" s="14"/>
      <c r="Y1332" s="14"/>
      <c r="Z1332" s="14"/>
      <c r="AA1332" s="14"/>
      <c r="AB1332" s="14"/>
      <c r="AC1332" s="14"/>
      <c r="AD1332" s="48"/>
      <c r="AE1332" s="48"/>
      <c r="AF1332" s="48"/>
      <c r="AG1332" s="48"/>
      <c r="AH1332" s="48"/>
      <c r="AI1332" s="14"/>
      <c r="AJ1332" s="14"/>
      <c r="AK1332" s="14"/>
      <c r="AL1332" s="14"/>
      <c r="AM1332" s="14"/>
      <c r="AN1332" s="14"/>
      <c r="AO1332" s="14"/>
      <c r="AP1332" s="14"/>
      <c r="AQ1332" s="14"/>
      <c r="AR1332" s="14"/>
      <c r="AS1332" s="14"/>
      <c r="AT1332" s="14"/>
      <c r="AU1332" s="14"/>
      <c r="AV1332" s="14"/>
      <c r="AW1332" s="14"/>
      <c r="AX1332" s="14"/>
      <c r="AY1332" s="14"/>
      <c r="AZ1332" s="14"/>
      <c r="BA1332" s="14"/>
    </row>
    <row r="1333" ht="14.25" customHeight="1">
      <c r="A1333" s="10"/>
      <c r="B1333" s="12"/>
      <c r="C1333" s="12"/>
      <c r="D1333" s="12"/>
      <c r="E1333" s="44"/>
      <c r="F1333" s="12"/>
      <c r="G1333" s="12"/>
      <c r="H1333" s="45"/>
      <c r="I1333" s="45"/>
      <c r="J1333" s="12"/>
      <c r="K1333" s="12"/>
      <c r="L1333" s="14"/>
      <c r="M1333" s="14"/>
      <c r="N1333" s="14"/>
      <c r="O1333" s="14"/>
      <c r="P1333" s="14"/>
      <c r="Q1333" s="14"/>
      <c r="R1333" s="48"/>
      <c r="S1333" s="48"/>
      <c r="T1333" s="48"/>
      <c r="U1333" s="48"/>
      <c r="V1333" s="48"/>
      <c r="W1333" s="14"/>
      <c r="X1333" s="14"/>
      <c r="Y1333" s="14"/>
      <c r="Z1333" s="14"/>
      <c r="AA1333" s="14"/>
      <c r="AB1333" s="14"/>
      <c r="AC1333" s="14"/>
      <c r="AD1333" s="48"/>
      <c r="AE1333" s="48"/>
      <c r="AF1333" s="48"/>
      <c r="AG1333" s="48"/>
      <c r="AH1333" s="48"/>
      <c r="AI1333" s="14"/>
      <c r="AJ1333" s="14"/>
      <c r="AK1333" s="14"/>
      <c r="AL1333" s="14"/>
      <c r="AM1333" s="14"/>
      <c r="AN1333" s="14"/>
      <c r="AO1333" s="14"/>
      <c r="AP1333" s="14"/>
      <c r="AQ1333" s="14"/>
      <c r="AR1333" s="14"/>
      <c r="AS1333" s="14"/>
      <c r="AT1333" s="14"/>
      <c r="AU1333" s="14"/>
      <c r="AV1333" s="14"/>
      <c r="AW1333" s="14"/>
      <c r="AX1333" s="14"/>
      <c r="AY1333" s="14"/>
      <c r="AZ1333" s="14"/>
      <c r="BA1333" s="14"/>
    </row>
    <row r="1334" ht="14.25" customHeight="1">
      <c r="A1334" s="10"/>
      <c r="B1334" s="12"/>
      <c r="C1334" s="12"/>
      <c r="D1334" s="12"/>
      <c r="E1334" s="44"/>
      <c r="F1334" s="12"/>
      <c r="G1334" s="12"/>
      <c r="H1334" s="45"/>
      <c r="I1334" s="45"/>
      <c r="J1334" s="12"/>
      <c r="K1334" s="12"/>
      <c r="L1334" s="14"/>
      <c r="M1334" s="14"/>
      <c r="N1334" s="14"/>
      <c r="O1334" s="14"/>
      <c r="P1334" s="14"/>
      <c r="Q1334" s="14"/>
      <c r="R1334" s="48"/>
      <c r="S1334" s="48"/>
      <c r="T1334" s="48"/>
      <c r="U1334" s="48"/>
      <c r="V1334" s="48"/>
      <c r="W1334" s="14"/>
      <c r="X1334" s="14"/>
      <c r="Y1334" s="14"/>
      <c r="Z1334" s="14"/>
      <c r="AA1334" s="14"/>
      <c r="AB1334" s="14"/>
      <c r="AC1334" s="14"/>
      <c r="AD1334" s="48"/>
      <c r="AE1334" s="48"/>
      <c r="AF1334" s="48"/>
      <c r="AG1334" s="48"/>
      <c r="AH1334" s="48"/>
      <c r="AI1334" s="14"/>
      <c r="AJ1334" s="14"/>
      <c r="AK1334" s="14"/>
      <c r="AL1334" s="14"/>
      <c r="AM1334" s="14"/>
      <c r="AN1334" s="14"/>
      <c r="AO1334" s="14"/>
      <c r="AP1334" s="14"/>
      <c r="AQ1334" s="14"/>
      <c r="AR1334" s="14"/>
      <c r="AS1334" s="14"/>
      <c r="AT1334" s="14"/>
      <c r="AU1334" s="14"/>
      <c r="AV1334" s="14"/>
      <c r="AW1334" s="14"/>
      <c r="AX1334" s="14"/>
      <c r="AY1334" s="14"/>
      <c r="AZ1334" s="14"/>
      <c r="BA1334" s="14"/>
    </row>
    <row r="1335" ht="14.25" customHeight="1">
      <c r="A1335" s="10"/>
      <c r="B1335" s="12"/>
      <c r="C1335" s="12"/>
      <c r="D1335" s="12"/>
      <c r="E1335" s="44"/>
      <c r="F1335" s="12"/>
      <c r="G1335" s="12"/>
      <c r="H1335" s="45"/>
      <c r="I1335" s="45"/>
      <c r="J1335" s="12"/>
      <c r="K1335" s="12"/>
      <c r="L1335" s="14"/>
      <c r="M1335" s="14"/>
      <c r="N1335" s="14"/>
      <c r="O1335" s="14"/>
      <c r="P1335" s="14"/>
      <c r="Q1335" s="14"/>
      <c r="R1335" s="48"/>
      <c r="S1335" s="48"/>
      <c r="T1335" s="48"/>
      <c r="U1335" s="48"/>
      <c r="V1335" s="48"/>
      <c r="W1335" s="14"/>
      <c r="X1335" s="14"/>
      <c r="Y1335" s="14"/>
      <c r="Z1335" s="14"/>
      <c r="AA1335" s="14"/>
      <c r="AB1335" s="14"/>
      <c r="AC1335" s="14"/>
      <c r="AD1335" s="48"/>
      <c r="AE1335" s="48"/>
      <c r="AF1335" s="48"/>
      <c r="AG1335" s="48"/>
      <c r="AH1335" s="48"/>
      <c r="AI1335" s="14"/>
      <c r="AJ1335" s="14"/>
      <c r="AK1335" s="14"/>
      <c r="AL1335" s="14"/>
      <c r="AM1335" s="14"/>
      <c r="AN1335" s="14"/>
      <c r="AO1335" s="14"/>
      <c r="AP1335" s="14"/>
      <c r="AQ1335" s="14"/>
      <c r="AR1335" s="14"/>
      <c r="AS1335" s="14"/>
      <c r="AT1335" s="14"/>
      <c r="AU1335" s="14"/>
      <c r="AV1335" s="14"/>
      <c r="AW1335" s="14"/>
      <c r="AX1335" s="14"/>
      <c r="AY1335" s="14"/>
      <c r="AZ1335" s="14"/>
      <c r="BA1335" s="14"/>
    </row>
    <row r="1336" ht="14.25" customHeight="1">
      <c r="A1336" s="10"/>
      <c r="B1336" s="12"/>
      <c r="C1336" s="12"/>
      <c r="D1336" s="12"/>
      <c r="E1336" s="44"/>
      <c r="F1336" s="12"/>
      <c r="G1336" s="12"/>
      <c r="H1336" s="45"/>
      <c r="I1336" s="45"/>
      <c r="J1336" s="12"/>
      <c r="K1336" s="12"/>
      <c r="L1336" s="14"/>
      <c r="M1336" s="14"/>
      <c r="N1336" s="14"/>
      <c r="O1336" s="14"/>
      <c r="P1336" s="14"/>
      <c r="Q1336" s="14"/>
      <c r="R1336" s="48"/>
      <c r="S1336" s="48"/>
      <c r="T1336" s="48"/>
      <c r="U1336" s="48"/>
      <c r="V1336" s="48"/>
      <c r="W1336" s="14"/>
      <c r="X1336" s="14"/>
      <c r="Y1336" s="14"/>
      <c r="Z1336" s="14"/>
      <c r="AA1336" s="14"/>
      <c r="AB1336" s="14"/>
      <c r="AC1336" s="14"/>
      <c r="AD1336" s="48"/>
      <c r="AE1336" s="48"/>
      <c r="AF1336" s="48"/>
      <c r="AG1336" s="48"/>
      <c r="AH1336" s="48"/>
      <c r="AI1336" s="14"/>
      <c r="AJ1336" s="14"/>
      <c r="AK1336" s="14"/>
      <c r="AL1336" s="14"/>
      <c r="AM1336" s="14"/>
      <c r="AN1336" s="14"/>
      <c r="AO1336" s="14"/>
      <c r="AP1336" s="14"/>
      <c r="AQ1336" s="14"/>
      <c r="AR1336" s="14"/>
      <c r="AS1336" s="14"/>
      <c r="AT1336" s="14"/>
      <c r="AU1336" s="14"/>
      <c r="AV1336" s="14"/>
      <c r="AW1336" s="14"/>
      <c r="AX1336" s="14"/>
      <c r="AY1336" s="14"/>
      <c r="AZ1336" s="14"/>
      <c r="BA1336" s="14"/>
    </row>
    <row r="1337" ht="14.25" customHeight="1">
      <c r="A1337" s="10"/>
      <c r="B1337" s="12"/>
      <c r="C1337" s="12"/>
      <c r="D1337" s="12"/>
      <c r="E1337" s="44"/>
      <c r="F1337" s="12"/>
      <c r="G1337" s="12"/>
      <c r="H1337" s="45"/>
      <c r="I1337" s="45"/>
      <c r="J1337" s="12"/>
      <c r="K1337" s="12"/>
      <c r="L1337" s="14"/>
      <c r="M1337" s="14"/>
      <c r="N1337" s="14"/>
      <c r="O1337" s="14"/>
      <c r="P1337" s="14"/>
      <c r="Q1337" s="14"/>
      <c r="R1337" s="48"/>
      <c r="S1337" s="48"/>
      <c r="T1337" s="48"/>
      <c r="U1337" s="48"/>
      <c r="V1337" s="48"/>
      <c r="W1337" s="14"/>
      <c r="X1337" s="14"/>
      <c r="Y1337" s="14"/>
      <c r="Z1337" s="14"/>
      <c r="AA1337" s="14"/>
      <c r="AB1337" s="14"/>
      <c r="AC1337" s="14"/>
      <c r="AD1337" s="48"/>
      <c r="AE1337" s="48"/>
      <c r="AF1337" s="48"/>
      <c r="AG1337" s="48"/>
      <c r="AH1337" s="48"/>
      <c r="AI1337" s="14"/>
      <c r="AJ1337" s="14"/>
      <c r="AK1337" s="14"/>
      <c r="AL1337" s="14"/>
      <c r="AM1337" s="14"/>
      <c r="AN1337" s="14"/>
      <c r="AO1337" s="14"/>
      <c r="AP1337" s="14"/>
      <c r="AQ1337" s="14"/>
      <c r="AR1337" s="14"/>
      <c r="AS1337" s="14"/>
      <c r="AT1337" s="14"/>
      <c r="AU1337" s="14"/>
      <c r="AV1337" s="14"/>
      <c r="AW1337" s="14"/>
      <c r="AX1337" s="14"/>
      <c r="AY1337" s="14"/>
      <c r="AZ1337" s="14"/>
      <c r="BA1337" s="14"/>
    </row>
    <row r="1338" ht="14.25" customHeight="1">
      <c r="A1338" s="10"/>
      <c r="B1338" s="12"/>
      <c r="C1338" s="12"/>
      <c r="D1338" s="12"/>
      <c r="E1338" s="44"/>
      <c r="F1338" s="12"/>
      <c r="G1338" s="12"/>
      <c r="H1338" s="45"/>
      <c r="I1338" s="45"/>
      <c r="J1338" s="12"/>
      <c r="K1338" s="12"/>
      <c r="L1338" s="14"/>
      <c r="M1338" s="14"/>
      <c r="N1338" s="14"/>
      <c r="O1338" s="14"/>
      <c r="P1338" s="14"/>
      <c r="Q1338" s="14"/>
      <c r="R1338" s="48"/>
      <c r="S1338" s="48"/>
      <c r="T1338" s="48"/>
      <c r="U1338" s="48"/>
      <c r="V1338" s="48"/>
      <c r="W1338" s="14"/>
      <c r="X1338" s="14"/>
      <c r="Y1338" s="14"/>
      <c r="Z1338" s="14"/>
      <c r="AA1338" s="14"/>
      <c r="AB1338" s="14"/>
      <c r="AC1338" s="14"/>
      <c r="AD1338" s="48"/>
      <c r="AE1338" s="48"/>
      <c r="AF1338" s="48"/>
      <c r="AG1338" s="48"/>
      <c r="AH1338" s="48"/>
      <c r="AI1338" s="14"/>
      <c r="AJ1338" s="14"/>
      <c r="AK1338" s="14"/>
      <c r="AL1338" s="14"/>
      <c r="AM1338" s="14"/>
      <c r="AN1338" s="14"/>
      <c r="AO1338" s="14"/>
      <c r="AP1338" s="14"/>
      <c r="AQ1338" s="14"/>
      <c r="AR1338" s="14"/>
      <c r="AS1338" s="14"/>
      <c r="AT1338" s="14"/>
      <c r="AU1338" s="14"/>
      <c r="AV1338" s="14"/>
      <c r="AW1338" s="14"/>
      <c r="AX1338" s="14"/>
      <c r="AY1338" s="14"/>
      <c r="AZ1338" s="14"/>
      <c r="BA1338" s="14"/>
    </row>
    <row r="1339" ht="14.25" customHeight="1">
      <c r="A1339" s="10"/>
      <c r="B1339" s="12"/>
      <c r="C1339" s="12"/>
      <c r="D1339" s="12"/>
      <c r="E1339" s="44"/>
      <c r="F1339" s="12"/>
      <c r="G1339" s="12"/>
      <c r="H1339" s="45"/>
      <c r="I1339" s="45"/>
      <c r="J1339" s="12"/>
      <c r="K1339" s="12"/>
      <c r="L1339" s="14"/>
      <c r="M1339" s="14"/>
      <c r="N1339" s="14"/>
      <c r="O1339" s="14"/>
      <c r="P1339" s="14"/>
      <c r="Q1339" s="14"/>
      <c r="R1339" s="48"/>
      <c r="S1339" s="48"/>
      <c r="T1339" s="48"/>
      <c r="U1339" s="48"/>
      <c r="V1339" s="48"/>
      <c r="W1339" s="14"/>
      <c r="X1339" s="14"/>
      <c r="Y1339" s="14"/>
      <c r="Z1339" s="14"/>
      <c r="AA1339" s="14"/>
      <c r="AB1339" s="14"/>
      <c r="AC1339" s="14"/>
      <c r="AD1339" s="48"/>
      <c r="AE1339" s="48"/>
      <c r="AF1339" s="48"/>
      <c r="AG1339" s="48"/>
      <c r="AH1339" s="48"/>
      <c r="AI1339" s="14"/>
      <c r="AJ1339" s="14"/>
      <c r="AK1339" s="14"/>
      <c r="AL1339" s="14"/>
      <c r="AM1339" s="14"/>
      <c r="AN1339" s="14"/>
      <c r="AO1339" s="14"/>
      <c r="AP1339" s="14"/>
      <c r="AQ1339" s="14"/>
      <c r="AR1339" s="14"/>
      <c r="AS1339" s="14"/>
      <c r="AT1339" s="14"/>
      <c r="AU1339" s="14"/>
      <c r="AV1339" s="14"/>
      <c r="AW1339" s="14"/>
      <c r="AX1339" s="14"/>
      <c r="AY1339" s="14"/>
      <c r="AZ1339" s="14"/>
      <c r="BA1339" s="14"/>
    </row>
    <row r="1340" ht="14.25" customHeight="1">
      <c r="A1340" s="10"/>
      <c r="B1340" s="12"/>
      <c r="C1340" s="12"/>
      <c r="D1340" s="12"/>
      <c r="E1340" s="44"/>
      <c r="F1340" s="12"/>
      <c r="G1340" s="12"/>
      <c r="H1340" s="45"/>
      <c r="I1340" s="45"/>
      <c r="J1340" s="12"/>
      <c r="K1340" s="12"/>
      <c r="L1340" s="14"/>
      <c r="M1340" s="14"/>
      <c r="N1340" s="14"/>
      <c r="O1340" s="14"/>
      <c r="P1340" s="14"/>
      <c r="Q1340" s="14"/>
      <c r="R1340" s="48"/>
      <c r="S1340" s="48"/>
      <c r="T1340" s="48"/>
      <c r="U1340" s="48"/>
      <c r="V1340" s="48"/>
      <c r="W1340" s="14"/>
      <c r="X1340" s="14"/>
      <c r="Y1340" s="14"/>
      <c r="Z1340" s="14"/>
      <c r="AA1340" s="14"/>
      <c r="AB1340" s="14"/>
      <c r="AC1340" s="14"/>
      <c r="AD1340" s="48"/>
      <c r="AE1340" s="48"/>
      <c r="AF1340" s="48"/>
      <c r="AG1340" s="48"/>
      <c r="AH1340" s="48"/>
      <c r="AI1340" s="14"/>
      <c r="AJ1340" s="14"/>
      <c r="AK1340" s="14"/>
      <c r="AL1340" s="14"/>
      <c r="AM1340" s="14"/>
      <c r="AN1340" s="14"/>
      <c r="AO1340" s="14"/>
      <c r="AP1340" s="14"/>
      <c r="AQ1340" s="14"/>
      <c r="AR1340" s="14"/>
      <c r="AS1340" s="14"/>
      <c r="AT1340" s="14"/>
      <c r="AU1340" s="14"/>
      <c r="AV1340" s="14"/>
      <c r="AW1340" s="14"/>
      <c r="AX1340" s="14"/>
      <c r="AY1340" s="14"/>
      <c r="AZ1340" s="14"/>
      <c r="BA1340" s="14"/>
    </row>
    <row r="1341" ht="14.25" customHeight="1">
      <c r="A1341" s="10"/>
      <c r="B1341" s="12"/>
      <c r="C1341" s="12"/>
      <c r="D1341" s="12"/>
      <c r="E1341" s="44"/>
      <c r="F1341" s="12"/>
      <c r="G1341" s="12"/>
      <c r="H1341" s="45"/>
      <c r="I1341" s="45"/>
      <c r="J1341" s="12"/>
      <c r="K1341" s="12"/>
      <c r="L1341" s="14"/>
      <c r="M1341" s="14"/>
      <c r="N1341" s="14"/>
      <c r="O1341" s="14"/>
      <c r="P1341" s="14"/>
      <c r="Q1341" s="14"/>
      <c r="R1341" s="48"/>
      <c r="S1341" s="48"/>
      <c r="T1341" s="48"/>
      <c r="U1341" s="48"/>
      <c r="V1341" s="48"/>
      <c r="W1341" s="14"/>
      <c r="X1341" s="14"/>
      <c r="Y1341" s="14"/>
      <c r="Z1341" s="14"/>
      <c r="AA1341" s="14"/>
      <c r="AB1341" s="14"/>
      <c r="AC1341" s="14"/>
      <c r="AD1341" s="48"/>
      <c r="AE1341" s="48"/>
      <c r="AF1341" s="48"/>
      <c r="AG1341" s="48"/>
      <c r="AH1341" s="48"/>
      <c r="AI1341" s="14"/>
      <c r="AJ1341" s="14"/>
      <c r="AK1341" s="14"/>
      <c r="AL1341" s="14"/>
      <c r="AM1341" s="14"/>
      <c r="AN1341" s="14"/>
      <c r="AO1341" s="14"/>
      <c r="AP1341" s="14"/>
      <c r="AQ1341" s="14"/>
      <c r="AR1341" s="14"/>
      <c r="AS1341" s="14"/>
      <c r="AT1341" s="14"/>
      <c r="AU1341" s="14"/>
      <c r="AV1341" s="14"/>
      <c r="AW1341" s="14"/>
      <c r="AX1341" s="14"/>
      <c r="AY1341" s="14"/>
      <c r="AZ1341" s="14"/>
      <c r="BA1341" s="14"/>
    </row>
    <row r="1342" ht="14.25" customHeight="1">
      <c r="A1342" s="10"/>
      <c r="B1342" s="12"/>
      <c r="C1342" s="12"/>
      <c r="D1342" s="12"/>
      <c r="E1342" s="44"/>
      <c r="F1342" s="12"/>
      <c r="G1342" s="12"/>
      <c r="H1342" s="45"/>
      <c r="I1342" s="45"/>
      <c r="J1342" s="12"/>
      <c r="K1342" s="12"/>
      <c r="L1342" s="14"/>
      <c r="M1342" s="14"/>
      <c r="N1342" s="14"/>
      <c r="O1342" s="14"/>
      <c r="P1342" s="14"/>
      <c r="Q1342" s="14"/>
      <c r="R1342" s="48"/>
      <c r="S1342" s="48"/>
      <c r="T1342" s="48"/>
      <c r="U1342" s="48"/>
      <c r="V1342" s="48"/>
      <c r="W1342" s="14"/>
      <c r="X1342" s="14"/>
      <c r="Y1342" s="14"/>
      <c r="Z1342" s="14"/>
      <c r="AA1342" s="14"/>
      <c r="AB1342" s="14"/>
      <c r="AC1342" s="14"/>
      <c r="AD1342" s="48"/>
      <c r="AE1342" s="48"/>
      <c r="AF1342" s="48"/>
      <c r="AG1342" s="48"/>
      <c r="AH1342" s="48"/>
      <c r="AI1342" s="14"/>
      <c r="AJ1342" s="14"/>
      <c r="AK1342" s="14"/>
      <c r="AL1342" s="14"/>
      <c r="AM1342" s="14"/>
      <c r="AN1342" s="14"/>
      <c r="AO1342" s="14"/>
      <c r="AP1342" s="14"/>
      <c r="AQ1342" s="14"/>
      <c r="AR1342" s="14"/>
      <c r="AS1342" s="14"/>
      <c r="AT1342" s="14"/>
      <c r="AU1342" s="14"/>
      <c r="AV1342" s="14"/>
      <c r="AW1342" s="14"/>
      <c r="AX1342" s="14"/>
      <c r="AY1342" s="14"/>
      <c r="AZ1342" s="14"/>
      <c r="BA1342" s="14"/>
    </row>
    <row r="1343" ht="14.25" customHeight="1">
      <c r="A1343" s="10"/>
      <c r="B1343" s="12"/>
      <c r="C1343" s="12"/>
      <c r="D1343" s="12"/>
      <c r="E1343" s="44"/>
      <c r="F1343" s="12"/>
      <c r="G1343" s="12"/>
      <c r="H1343" s="45"/>
      <c r="I1343" s="45"/>
      <c r="J1343" s="12"/>
      <c r="K1343" s="12"/>
      <c r="L1343" s="14"/>
      <c r="M1343" s="14"/>
      <c r="N1343" s="14"/>
      <c r="O1343" s="14"/>
      <c r="P1343" s="14"/>
      <c r="Q1343" s="14"/>
      <c r="R1343" s="48"/>
      <c r="S1343" s="48"/>
      <c r="T1343" s="48"/>
      <c r="U1343" s="48"/>
      <c r="V1343" s="48"/>
      <c r="W1343" s="14"/>
      <c r="X1343" s="14"/>
      <c r="Y1343" s="14"/>
      <c r="Z1343" s="14"/>
      <c r="AA1343" s="14"/>
      <c r="AB1343" s="14"/>
      <c r="AC1343" s="14"/>
      <c r="AD1343" s="48"/>
      <c r="AE1343" s="48"/>
      <c r="AF1343" s="48"/>
      <c r="AG1343" s="48"/>
      <c r="AH1343" s="48"/>
      <c r="AI1343" s="14"/>
      <c r="AJ1343" s="14"/>
      <c r="AK1343" s="14"/>
      <c r="AL1343" s="14"/>
      <c r="AM1343" s="14"/>
      <c r="AN1343" s="14"/>
      <c r="AO1343" s="14"/>
      <c r="AP1343" s="14"/>
      <c r="AQ1343" s="14"/>
      <c r="AR1343" s="14"/>
      <c r="AS1343" s="14"/>
      <c r="AT1343" s="14"/>
      <c r="AU1343" s="14"/>
      <c r="AV1343" s="14"/>
      <c r="AW1343" s="14"/>
      <c r="AX1343" s="14"/>
      <c r="AY1343" s="14"/>
      <c r="AZ1343" s="14"/>
      <c r="BA1343" s="14"/>
    </row>
    <row r="1344" ht="14.25" customHeight="1">
      <c r="A1344" s="10"/>
      <c r="B1344" s="12"/>
      <c r="C1344" s="12"/>
      <c r="D1344" s="12"/>
      <c r="E1344" s="44"/>
      <c r="F1344" s="12"/>
      <c r="G1344" s="12"/>
      <c r="H1344" s="45"/>
      <c r="I1344" s="45"/>
      <c r="J1344" s="12"/>
      <c r="K1344" s="12"/>
      <c r="L1344" s="14"/>
      <c r="M1344" s="14"/>
      <c r="N1344" s="14"/>
      <c r="O1344" s="14"/>
      <c r="P1344" s="14"/>
      <c r="Q1344" s="14"/>
      <c r="R1344" s="48"/>
      <c r="S1344" s="48"/>
      <c r="T1344" s="48"/>
      <c r="U1344" s="48"/>
      <c r="V1344" s="48"/>
      <c r="W1344" s="14"/>
      <c r="X1344" s="14"/>
      <c r="Y1344" s="14"/>
      <c r="Z1344" s="14"/>
      <c r="AA1344" s="14"/>
      <c r="AB1344" s="14"/>
      <c r="AC1344" s="14"/>
      <c r="AD1344" s="48"/>
      <c r="AE1344" s="48"/>
      <c r="AF1344" s="48"/>
      <c r="AG1344" s="48"/>
      <c r="AH1344" s="48"/>
      <c r="AI1344" s="14"/>
      <c r="AJ1344" s="14"/>
      <c r="AK1344" s="14"/>
      <c r="AL1344" s="14"/>
      <c r="AM1344" s="14"/>
      <c r="AN1344" s="14"/>
      <c r="AO1344" s="14"/>
      <c r="AP1344" s="14"/>
      <c r="AQ1344" s="14"/>
      <c r="AR1344" s="14"/>
      <c r="AS1344" s="14"/>
      <c r="AT1344" s="14"/>
      <c r="AU1344" s="14"/>
      <c r="AV1344" s="14"/>
      <c r="AW1344" s="14"/>
      <c r="AX1344" s="14"/>
      <c r="AY1344" s="14"/>
      <c r="AZ1344" s="14"/>
      <c r="BA1344" s="14"/>
    </row>
    <row r="1345" ht="14.25" customHeight="1">
      <c r="A1345" s="10"/>
      <c r="B1345" s="12"/>
      <c r="C1345" s="12"/>
      <c r="D1345" s="12"/>
      <c r="E1345" s="44"/>
      <c r="F1345" s="12"/>
      <c r="G1345" s="12"/>
      <c r="H1345" s="45"/>
      <c r="I1345" s="45"/>
      <c r="J1345" s="12"/>
      <c r="K1345" s="12"/>
      <c r="L1345" s="14"/>
      <c r="M1345" s="14"/>
      <c r="N1345" s="14"/>
      <c r="O1345" s="14"/>
      <c r="P1345" s="14"/>
      <c r="Q1345" s="14"/>
      <c r="R1345" s="48"/>
      <c r="S1345" s="48"/>
      <c r="T1345" s="48"/>
      <c r="U1345" s="48"/>
      <c r="V1345" s="48"/>
      <c r="W1345" s="14"/>
      <c r="X1345" s="14"/>
      <c r="Y1345" s="14"/>
      <c r="Z1345" s="14"/>
      <c r="AA1345" s="14"/>
      <c r="AB1345" s="14"/>
      <c r="AC1345" s="14"/>
      <c r="AD1345" s="48"/>
      <c r="AE1345" s="48"/>
      <c r="AF1345" s="48"/>
      <c r="AG1345" s="48"/>
      <c r="AH1345" s="48"/>
      <c r="AI1345" s="14"/>
      <c r="AJ1345" s="14"/>
      <c r="AK1345" s="14"/>
      <c r="AL1345" s="14"/>
      <c r="AM1345" s="14"/>
      <c r="AN1345" s="14"/>
      <c r="AO1345" s="14"/>
      <c r="AP1345" s="14"/>
      <c r="AQ1345" s="14"/>
      <c r="AR1345" s="14"/>
      <c r="AS1345" s="14"/>
      <c r="AT1345" s="14"/>
      <c r="AU1345" s="14"/>
      <c r="AV1345" s="14"/>
      <c r="AW1345" s="14"/>
      <c r="AX1345" s="14"/>
      <c r="AY1345" s="14"/>
      <c r="AZ1345" s="14"/>
      <c r="BA1345" s="14"/>
    </row>
    <row r="1346" ht="14.25" customHeight="1">
      <c r="A1346" s="10"/>
      <c r="B1346" s="12"/>
      <c r="C1346" s="12"/>
      <c r="D1346" s="12"/>
      <c r="E1346" s="44"/>
      <c r="F1346" s="12"/>
      <c r="G1346" s="12"/>
      <c r="H1346" s="45"/>
      <c r="I1346" s="45"/>
      <c r="J1346" s="12"/>
      <c r="K1346" s="12"/>
      <c r="L1346" s="14"/>
      <c r="M1346" s="14"/>
      <c r="N1346" s="14"/>
      <c r="O1346" s="14"/>
      <c r="P1346" s="14"/>
      <c r="Q1346" s="14"/>
      <c r="R1346" s="48"/>
      <c r="S1346" s="48"/>
      <c r="T1346" s="48"/>
      <c r="U1346" s="48"/>
      <c r="V1346" s="48"/>
      <c r="W1346" s="14"/>
      <c r="X1346" s="14"/>
      <c r="Y1346" s="14"/>
      <c r="Z1346" s="14"/>
      <c r="AA1346" s="14"/>
      <c r="AB1346" s="14"/>
      <c r="AC1346" s="14"/>
      <c r="AD1346" s="48"/>
      <c r="AE1346" s="48"/>
      <c r="AF1346" s="48"/>
      <c r="AG1346" s="48"/>
      <c r="AH1346" s="48"/>
      <c r="AI1346" s="14"/>
      <c r="AJ1346" s="14"/>
      <c r="AK1346" s="14"/>
      <c r="AL1346" s="14"/>
      <c r="AM1346" s="14"/>
      <c r="AN1346" s="14"/>
      <c r="AO1346" s="14"/>
      <c r="AP1346" s="14"/>
      <c r="AQ1346" s="14"/>
      <c r="AR1346" s="14"/>
      <c r="AS1346" s="14"/>
      <c r="AT1346" s="14"/>
      <c r="AU1346" s="14"/>
      <c r="AV1346" s="14"/>
      <c r="AW1346" s="14"/>
      <c r="AX1346" s="14"/>
      <c r="AY1346" s="14"/>
      <c r="AZ1346" s="14"/>
      <c r="BA1346" s="14"/>
    </row>
    <row r="1347" ht="14.25" customHeight="1">
      <c r="A1347" s="10"/>
      <c r="B1347" s="12"/>
      <c r="C1347" s="12"/>
      <c r="D1347" s="12"/>
      <c r="E1347" s="44"/>
      <c r="F1347" s="12"/>
      <c r="G1347" s="12"/>
      <c r="H1347" s="45"/>
      <c r="I1347" s="45"/>
      <c r="J1347" s="12"/>
      <c r="K1347" s="12"/>
      <c r="L1347" s="14"/>
      <c r="M1347" s="14"/>
      <c r="N1347" s="14"/>
      <c r="O1347" s="14"/>
      <c r="P1347" s="14"/>
      <c r="Q1347" s="14"/>
      <c r="R1347" s="48"/>
      <c r="S1347" s="48"/>
      <c r="T1347" s="48"/>
      <c r="U1347" s="48"/>
      <c r="V1347" s="48"/>
      <c r="W1347" s="14"/>
      <c r="X1347" s="14"/>
      <c r="Y1347" s="14"/>
      <c r="Z1347" s="14"/>
      <c r="AA1347" s="14"/>
      <c r="AB1347" s="14"/>
      <c r="AC1347" s="14"/>
      <c r="AD1347" s="48"/>
      <c r="AE1347" s="48"/>
      <c r="AF1347" s="48"/>
      <c r="AG1347" s="48"/>
      <c r="AH1347" s="48"/>
      <c r="AI1347" s="14"/>
      <c r="AJ1347" s="14"/>
      <c r="AK1347" s="14"/>
      <c r="AL1347" s="14"/>
      <c r="AM1347" s="14"/>
      <c r="AN1347" s="14"/>
      <c r="AO1347" s="14"/>
      <c r="AP1347" s="14"/>
      <c r="AQ1347" s="14"/>
      <c r="AR1347" s="14"/>
      <c r="AS1347" s="14"/>
      <c r="AT1347" s="14"/>
      <c r="AU1347" s="14"/>
      <c r="AV1347" s="14"/>
      <c r="AW1347" s="14"/>
      <c r="AX1347" s="14"/>
      <c r="AY1347" s="14"/>
      <c r="AZ1347" s="14"/>
      <c r="BA1347" s="14"/>
    </row>
    <row r="1348" ht="14.25" customHeight="1">
      <c r="A1348" s="10"/>
      <c r="B1348" s="12"/>
      <c r="C1348" s="12"/>
      <c r="D1348" s="12"/>
      <c r="E1348" s="44"/>
      <c r="F1348" s="12"/>
      <c r="G1348" s="12"/>
      <c r="H1348" s="45"/>
      <c r="I1348" s="45"/>
      <c r="J1348" s="12"/>
      <c r="K1348" s="12"/>
      <c r="L1348" s="14"/>
      <c r="M1348" s="14"/>
      <c r="N1348" s="14"/>
      <c r="O1348" s="14"/>
      <c r="P1348" s="14"/>
      <c r="Q1348" s="14"/>
      <c r="R1348" s="48"/>
      <c r="S1348" s="48"/>
      <c r="T1348" s="48"/>
      <c r="U1348" s="48"/>
      <c r="V1348" s="48"/>
      <c r="W1348" s="14"/>
      <c r="X1348" s="14"/>
      <c r="Y1348" s="14"/>
      <c r="Z1348" s="14"/>
      <c r="AA1348" s="14"/>
      <c r="AB1348" s="14"/>
      <c r="AC1348" s="14"/>
      <c r="AD1348" s="48"/>
      <c r="AE1348" s="48"/>
      <c r="AF1348" s="48"/>
      <c r="AG1348" s="48"/>
      <c r="AH1348" s="48"/>
      <c r="AI1348" s="14"/>
      <c r="AJ1348" s="14"/>
      <c r="AK1348" s="14"/>
      <c r="AL1348" s="14"/>
      <c r="AM1348" s="14"/>
      <c r="AN1348" s="14"/>
      <c r="AO1348" s="14"/>
      <c r="AP1348" s="14"/>
      <c r="AQ1348" s="14"/>
      <c r="AR1348" s="14"/>
      <c r="AS1348" s="14"/>
      <c r="AT1348" s="14"/>
      <c r="AU1348" s="14"/>
      <c r="AV1348" s="14"/>
      <c r="AW1348" s="14"/>
      <c r="AX1348" s="14"/>
      <c r="AY1348" s="14"/>
      <c r="AZ1348" s="14"/>
      <c r="BA1348" s="14"/>
    </row>
    <row r="1349" ht="14.25" customHeight="1">
      <c r="A1349" s="10"/>
      <c r="B1349" s="12"/>
      <c r="C1349" s="12"/>
      <c r="D1349" s="12"/>
      <c r="E1349" s="44"/>
      <c r="F1349" s="12"/>
      <c r="G1349" s="12"/>
      <c r="H1349" s="45"/>
      <c r="I1349" s="45"/>
      <c r="J1349" s="12"/>
      <c r="K1349" s="12"/>
      <c r="L1349" s="14"/>
      <c r="M1349" s="14"/>
      <c r="N1349" s="14"/>
      <c r="O1349" s="14"/>
      <c r="P1349" s="14"/>
      <c r="Q1349" s="14"/>
      <c r="R1349" s="48"/>
      <c r="S1349" s="48"/>
      <c r="T1349" s="48"/>
      <c r="U1349" s="48"/>
      <c r="V1349" s="48"/>
      <c r="W1349" s="14"/>
      <c r="X1349" s="14"/>
      <c r="Y1349" s="14"/>
      <c r="Z1349" s="14"/>
      <c r="AA1349" s="14"/>
      <c r="AB1349" s="14"/>
      <c r="AC1349" s="14"/>
      <c r="AD1349" s="48"/>
      <c r="AE1349" s="48"/>
      <c r="AF1349" s="48"/>
      <c r="AG1349" s="48"/>
      <c r="AH1349" s="48"/>
      <c r="AI1349" s="14"/>
      <c r="AJ1349" s="14"/>
      <c r="AK1349" s="14"/>
      <c r="AL1349" s="14"/>
      <c r="AM1349" s="14"/>
      <c r="AN1349" s="14"/>
      <c r="AO1349" s="14"/>
      <c r="AP1349" s="14"/>
      <c r="AQ1349" s="14"/>
      <c r="AR1349" s="14"/>
      <c r="AS1349" s="14"/>
      <c r="AT1349" s="14"/>
      <c r="AU1349" s="14"/>
      <c r="AV1349" s="14"/>
      <c r="AW1349" s="14"/>
      <c r="AX1349" s="14"/>
      <c r="AY1349" s="14"/>
      <c r="AZ1349" s="14"/>
      <c r="BA1349" s="14"/>
    </row>
    <row r="1350" ht="14.25" customHeight="1">
      <c r="A1350" s="10"/>
      <c r="B1350" s="12"/>
      <c r="C1350" s="12"/>
      <c r="D1350" s="12"/>
      <c r="E1350" s="44"/>
      <c r="F1350" s="12"/>
      <c r="G1350" s="12"/>
      <c r="H1350" s="45"/>
      <c r="I1350" s="45"/>
      <c r="J1350" s="12"/>
      <c r="K1350" s="12"/>
      <c r="L1350" s="14"/>
      <c r="M1350" s="14"/>
      <c r="N1350" s="14"/>
      <c r="O1350" s="14"/>
      <c r="P1350" s="14"/>
      <c r="Q1350" s="14"/>
      <c r="R1350" s="48"/>
      <c r="S1350" s="48"/>
      <c r="T1350" s="48"/>
      <c r="U1350" s="48"/>
      <c r="V1350" s="48"/>
      <c r="W1350" s="14"/>
      <c r="X1350" s="14"/>
      <c r="Y1350" s="14"/>
      <c r="Z1350" s="14"/>
      <c r="AA1350" s="14"/>
      <c r="AB1350" s="14"/>
      <c r="AC1350" s="14"/>
      <c r="AD1350" s="48"/>
      <c r="AE1350" s="48"/>
      <c r="AF1350" s="48"/>
      <c r="AG1350" s="48"/>
      <c r="AH1350" s="48"/>
      <c r="AI1350" s="14"/>
      <c r="AJ1350" s="14"/>
      <c r="AK1350" s="14"/>
      <c r="AL1350" s="14"/>
      <c r="AM1350" s="14"/>
      <c r="AN1350" s="14"/>
      <c r="AO1350" s="14"/>
      <c r="AP1350" s="14"/>
      <c r="AQ1350" s="14"/>
      <c r="AR1350" s="14"/>
      <c r="AS1350" s="14"/>
      <c r="AT1350" s="14"/>
      <c r="AU1350" s="14"/>
      <c r="AV1350" s="14"/>
      <c r="AW1350" s="14"/>
      <c r="AX1350" s="14"/>
      <c r="AY1350" s="14"/>
      <c r="AZ1350" s="14"/>
      <c r="BA1350" s="14"/>
    </row>
    <row r="1351" ht="14.25" customHeight="1">
      <c r="A1351" s="10"/>
      <c r="B1351" s="12"/>
      <c r="C1351" s="12"/>
      <c r="D1351" s="12"/>
      <c r="E1351" s="44"/>
      <c r="F1351" s="12"/>
      <c r="G1351" s="12"/>
      <c r="H1351" s="45"/>
      <c r="I1351" s="45"/>
      <c r="J1351" s="12"/>
      <c r="K1351" s="12"/>
      <c r="L1351" s="14"/>
      <c r="M1351" s="14"/>
      <c r="N1351" s="14"/>
      <c r="O1351" s="14"/>
      <c r="P1351" s="14"/>
      <c r="Q1351" s="14"/>
      <c r="R1351" s="48"/>
      <c r="S1351" s="48"/>
      <c r="T1351" s="48"/>
      <c r="U1351" s="48"/>
      <c r="V1351" s="48"/>
      <c r="W1351" s="14"/>
      <c r="X1351" s="14"/>
      <c r="Y1351" s="14"/>
      <c r="Z1351" s="14"/>
      <c r="AA1351" s="14"/>
      <c r="AB1351" s="14"/>
      <c r="AC1351" s="14"/>
      <c r="AD1351" s="48"/>
      <c r="AE1351" s="48"/>
      <c r="AF1351" s="48"/>
      <c r="AG1351" s="48"/>
      <c r="AH1351" s="48"/>
      <c r="AI1351" s="14"/>
      <c r="AJ1351" s="14"/>
      <c r="AK1351" s="14"/>
      <c r="AL1351" s="14"/>
      <c r="AM1351" s="14"/>
      <c r="AN1351" s="14"/>
      <c r="AO1351" s="14"/>
      <c r="AP1351" s="14"/>
      <c r="AQ1351" s="14"/>
      <c r="AR1351" s="14"/>
      <c r="AS1351" s="14"/>
      <c r="AT1351" s="14"/>
      <c r="AU1351" s="14"/>
      <c r="AV1351" s="14"/>
      <c r="AW1351" s="14"/>
      <c r="AX1351" s="14"/>
      <c r="AY1351" s="14"/>
      <c r="AZ1351" s="14"/>
      <c r="BA1351" s="14"/>
    </row>
    <row r="1352" ht="14.25" customHeight="1">
      <c r="A1352" s="10"/>
      <c r="B1352" s="12"/>
      <c r="C1352" s="12"/>
      <c r="D1352" s="12"/>
      <c r="E1352" s="44"/>
      <c r="F1352" s="12"/>
      <c r="G1352" s="12"/>
      <c r="H1352" s="45"/>
      <c r="I1352" s="45"/>
      <c r="J1352" s="12"/>
      <c r="K1352" s="12"/>
      <c r="L1352" s="14"/>
      <c r="M1352" s="14"/>
      <c r="N1352" s="14"/>
      <c r="O1352" s="14"/>
      <c r="P1352" s="14"/>
      <c r="Q1352" s="14"/>
      <c r="R1352" s="48"/>
      <c r="S1352" s="48"/>
      <c r="T1352" s="48"/>
      <c r="U1352" s="48"/>
      <c r="V1352" s="48"/>
      <c r="W1352" s="14"/>
      <c r="X1352" s="14"/>
      <c r="Y1352" s="14"/>
      <c r="Z1352" s="14"/>
      <c r="AA1352" s="14"/>
      <c r="AB1352" s="14"/>
      <c r="AC1352" s="14"/>
      <c r="AD1352" s="48"/>
      <c r="AE1352" s="48"/>
      <c r="AF1352" s="48"/>
      <c r="AG1352" s="48"/>
      <c r="AH1352" s="48"/>
      <c r="AI1352" s="14"/>
      <c r="AJ1352" s="14"/>
      <c r="AK1352" s="14"/>
      <c r="AL1352" s="14"/>
      <c r="AM1352" s="14"/>
      <c r="AN1352" s="14"/>
      <c r="AO1352" s="14"/>
      <c r="AP1352" s="14"/>
      <c r="AQ1352" s="14"/>
      <c r="AR1352" s="14"/>
      <c r="AS1352" s="14"/>
      <c r="AT1352" s="14"/>
      <c r="AU1352" s="14"/>
      <c r="AV1352" s="14"/>
      <c r="AW1352" s="14"/>
      <c r="AX1352" s="14"/>
      <c r="AY1352" s="14"/>
      <c r="AZ1352" s="14"/>
      <c r="BA1352" s="14"/>
    </row>
    <row r="1353" ht="14.25" customHeight="1">
      <c r="A1353" s="10"/>
      <c r="B1353" s="12"/>
      <c r="C1353" s="12"/>
      <c r="D1353" s="12"/>
      <c r="E1353" s="44"/>
      <c r="F1353" s="12"/>
      <c r="G1353" s="12"/>
      <c r="H1353" s="45"/>
      <c r="I1353" s="45"/>
      <c r="J1353" s="12"/>
      <c r="K1353" s="12"/>
      <c r="L1353" s="14"/>
      <c r="M1353" s="14"/>
      <c r="N1353" s="14"/>
      <c r="O1353" s="14"/>
      <c r="P1353" s="14"/>
      <c r="Q1353" s="14"/>
      <c r="R1353" s="48"/>
      <c r="S1353" s="48"/>
      <c r="T1353" s="48"/>
      <c r="U1353" s="48"/>
      <c r="V1353" s="48"/>
      <c r="W1353" s="14"/>
      <c r="X1353" s="14"/>
      <c r="Y1353" s="14"/>
      <c r="Z1353" s="14"/>
      <c r="AA1353" s="14"/>
      <c r="AB1353" s="14"/>
      <c r="AC1353" s="14"/>
      <c r="AD1353" s="48"/>
      <c r="AE1353" s="48"/>
      <c r="AF1353" s="48"/>
      <c r="AG1353" s="48"/>
      <c r="AH1353" s="48"/>
      <c r="AI1353" s="14"/>
      <c r="AJ1353" s="14"/>
      <c r="AK1353" s="14"/>
      <c r="AL1353" s="14"/>
      <c r="AM1353" s="14"/>
      <c r="AN1353" s="14"/>
      <c r="AO1353" s="14"/>
      <c r="AP1353" s="14"/>
      <c r="AQ1353" s="14"/>
      <c r="AR1353" s="14"/>
      <c r="AS1353" s="14"/>
      <c r="AT1353" s="14"/>
      <c r="AU1353" s="14"/>
      <c r="AV1353" s="14"/>
      <c r="AW1353" s="14"/>
      <c r="AX1353" s="14"/>
      <c r="AY1353" s="14"/>
      <c r="AZ1353" s="14"/>
      <c r="BA1353" s="14"/>
    </row>
    <row r="1354" ht="14.25" customHeight="1">
      <c r="A1354" s="10"/>
      <c r="B1354" s="12"/>
      <c r="C1354" s="12"/>
      <c r="D1354" s="12"/>
      <c r="E1354" s="44"/>
      <c r="F1354" s="12"/>
      <c r="G1354" s="12"/>
      <c r="H1354" s="45"/>
      <c r="I1354" s="45"/>
      <c r="J1354" s="12"/>
      <c r="K1354" s="12"/>
      <c r="L1354" s="14"/>
      <c r="M1354" s="14"/>
      <c r="N1354" s="14"/>
      <c r="O1354" s="14"/>
      <c r="P1354" s="14"/>
      <c r="Q1354" s="14"/>
      <c r="R1354" s="48"/>
      <c r="S1354" s="48"/>
      <c r="T1354" s="48"/>
      <c r="U1354" s="48"/>
      <c r="V1354" s="48"/>
      <c r="W1354" s="14"/>
      <c r="X1354" s="14"/>
      <c r="Y1354" s="14"/>
      <c r="Z1354" s="14"/>
      <c r="AA1354" s="14"/>
      <c r="AB1354" s="14"/>
      <c r="AC1354" s="14"/>
      <c r="AD1354" s="48"/>
      <c r="AE1354" s="48"/>
      <c r="AF1354" s="48"/>
      <c r="AG1354" s="48"/>
      <c r="AH1354" s="48"/>
      <c r="AI1354" s="14"/>
      <c r="AJ1354" s="14"/>
      <c r="AK1354" s="14"/>
      <c r="AL1354" s="14"/>
      <c r="AM1354" s="14"/>
      <c r="AN1354" s="14"/>
      <c r="AO1354" s="14"/>
      <c r="AP1354" s="14"/>
      <c r="AQ1354" s="14"/>
      <c r="AR1354" s="14"/>
      <c r="AS1354" s="14"/>
      <c r="AT1354" s="14"/>
      <c r="AU1354" s="14"/>
      <c r="AV1354" s="14"/>
      <c r="AW1354" s="14"/>
      <c r="AX1354" s="14"/>
      <c r="AY1354" s="14"/>
      <c r="AZ1354" s="14"/>
      <c r="BA1354" s="14"/>
    </row>
    <row r="1355" ht="14.25" customHeight="1">
      <c r="A1355" s="10"/>
      <c r="B1355" s="12"/>
      <c r="C1355" s="12"/>
      <c r="D1355" s="12"/>
      <c r="E1355" s="44"/>
      <c r="F1355" s="12"/>
      <c r="G1355" s="12"/>
      <c r="H1355" s="45"/>
      <c r="I1355" s="45"/>
      <c r="J1355" s="12"/>
      <c r="K1355" s="12"/>
      <c r="L1355" s="14"/>
      <c r="M1355" s="14"/>
      <c r="N1355" s="14"/>
      <c r="O1355" s="14"/>
      <c r="P1355" s="14"/>
      <c r="Q1355" s="14"/>
      <c r="R1355" s="48"/>
      <c r="S1355" s="48"/>
      <c r="T1355" s="48"/>
      <c r="U1355" s="48"/>
      <c r="V1355" s="48"/>
      <c r="W1355" s="14"/>
      <c r="X1355" s="14"/>
      <c r="Y1355" s="14"/>
      <c r="Z1355" s="14"/>
      <c r="AA1355" s="14"/>
      <c r="AB1355" s="14"/>
      <c r="AC1355" s="14"/>
      <c r="AD1355" s="48"/>
      <c r="AE1355" s="48"/>
      <c r="AF1355" s="48"/>
      <c r="AG1355" s="48"/>
      <c r="AH1355" s="48"/>
      <c r="AI1355" s="14"/>
      <c r="AJ1355" s="14"/>
      <c r="AK1355" s="14"/>
      <c r="AL1355" s="14"/>
      <c r="AM1355" s="14"/>
      <c r="AN1355" s="14"/>
      <c r="AO1355" s="14"/>
      <c r="AP1355" s="14"/>
      <c r="AQ1355" s="14"/>
      <c r="AR1355" s="14"/>
      <c r="AS1355" s="14"/>
      <c r="AT1355" s="14"/>
      <c r="AU1355" s="14"/>
      <c r="AV1355" s="14"/>
      <c r="AW1355" s="14"/>
      <c r="AX1355" s="14"/>
      <c r="AY1355" s="14"/>
      <c r="AZ1355" s="14"/>
      <c r="BA1355" s="14"/>
    </row>
    <row r="1356" ht="14.25" customHeight="1">
      <c r="A1356" s="10"/>
      <c r="B1356" s="12"/>
      <c r="C1356" s="12"/>
      <c r="D1356" s="12"/>
      <c r="E1356" s="44"/>
      <c r="F1356" s="12"/>
      <c r="G1356" s="12"/>
      <c r="H1356" s="45"/>
      <c r="I1356" s="45"/>
      <c r="J1356" s="12"/>
      <c r="K1356" s="12"/>
      <c r="L1356" s="14"/>
      <c r="M1356" s="14"/>
      <c r="N1356" s="14"/>
      <c r="O1356" s="14"/>
      <c r="P1356" s="14"/>
      <c r="Q1356" s="14"/>
      <c r="R1356" s="48"/>
      <c r="S1356" s="48"/>
      <c r="T1356" s="48"/>
      <c r="U1356" s="48"/>
      <c r="V1356" s="48"/>
      <c r="W1356" s="14"/>
      <c r="X1356" s="14"/>
      <c r="Y1356" s="14"/>
      <c r="Z1356" s="14"/>
      <c r="AA1356" s="14"/>
      <c r="AB1356" s="14"/>
      <c r="AC1356" s="14"/>
      <c r="AD1356" s="48"/>
      <c r="AE1356" s="48"/>
      <c r="AF1356" s="48"/>
      <c r="AG1356" s="48"/>
      <c r="AH1356" s="48"/>
      <c r="AI1356" s="14"/>
      <c r="AJ1356" s="14"/>
      <c r="AK1356" s="14"/>
      <c r="AL1356" s="14"/>
      <c r="AM1356" s="14"/>
      <c r="AN1356" s="14"/>
      <c r="AO1356" s="14"/>
      <c r="AP1356" s="14"/>
      <c r="AQ1356" s="14"/>
      <c r="AR1356" s="14"/>
      <c r="AS1356" s="14"/>
      <c r="AT1356" s="14"/>
      <c r="AU1356" s="14"/>
      <c r="AV1356" s="14"/>
      <c r="AW1356" s="14"/>
      <c r="AX1356" s="14"/>
      <c r="AY1356" s="14"/>
      <c r="AZ1356" s="14"/>
      <c r="BA1356" s="14"/>
    </row>
    <row r="1357" ht="14.25" customHeight="1">
      <c r="A1357" s="10"/>
      <c r="B1357" s="12"/>
      <c r="C1357" s="12"/>
      <c r="D1357" s="12"/>
      <c r="E1357" s="44"/>
      <c r="F1357" s="12"/>
      <c r="G1357" s="12"/>
      <c r="H1357" s="45"/>
      <c r="I1357" s="45"/>
      <c r="J1357" s="12"/>
      <c r="K1357" s="12"/>
      <c r="L1357" s="14"/>
      <c r="M1357" s="14"/>
      <c r="N1357" s="14"/>
      <c r="O1357" s="14"/>
      <c r="P1357" s="14"/>
      <c r="Q1357" s="14"/>
      <c r="R1357" s="48"/>
      <c r="S1357" s="48"/>
      <c r="T1357" s="48"/>
      <c r="U1357" s="48"/>
      <c r="V1357" s="48"/>
      <c r="W1357" s="14"/>
      <c r="X1357" s="14"/>
      <c r="Y1357" s="14"/>
      <c r="Z1357" s="14"/>
      <c r="AA1357" s="14"/>
      <c r="AB1357" s="14"/>
      <c r="AC1357" s="14"/>
      <c r="AD1357" s="48"/>
      <c r="AE1357" s="48"/>
      <c r="AF1357" s="48"/>
      <c r="AG1357" s="48"/>
      <c r="AH1357" s="48"/>
      <c r="AI1357" s="14"/>
      <c r="AJ1357" s="14"/>
      <c r="AK1357" s="14"/>
      <c r="AL1357" s="14"/>
      <c r="AM1357" s="14"/>
      <c r="AN1357" s="14"/>
      <c r="AO1357" s="14"/>
      <c r="AP1357" s="14"/>
      <c r="AQ1357" s="14"/>
      <c r="AR1357" s="14"/>
      <c r="AS1357" s="14"/>
      <c r="AT1357" s="14"/>
      <c r="AU1357" s="14"/>
      <c r="AV1357" s="14"/>
      <c r="AW1357" s="14"/>
      <c r="AX1357" s="14"/>
      <c r="AY1357" s="14"/>
      <c r="AZ1357" s="14"/>
      <c r="BA1357" s="14"/>
    </row>
    <row r="1358" ht="14.25" customHeight="1">
      <c r="A1358" s="10"/>
      <c r="B1358" s="12"/>
      <c r="C1358" s="12"/>
      <c r="D1358" s="12"/>
      <c r="E1358" s="44"/>
      <c r="F1358" s="12"/>
      <c r="G1358" s="12"/>
      <c r="H1358" s="45"/>
      <c r="I1358" s="45"/>
      <c r="J1358" s="12"/>
      <c r="K1358" s="12"/>
      <c r="L1358" s="14"/>
      <c r="M1358" s="14"/>
      <c r="N1358" s="14"/>
      <c r="O1358" s="14"/>
      <c r="P1358" s="14"/>
      <c r="Q1358" s="14"/>
      <c r="R1358" s="48"/>
      <c r="S1358" s="48"/>
      <c r="T1358" s="48"/>
      <c r="U1358" s="48"/>
      <c r="V1358" s="48"/>
      <c r="W1358" s="14"/>
      <c r="X1358" s="14"/>
      <c r="Y1358" s="14"/>
      <c r="Z1358" s="14"/>
      <c r="AA1358" s="14"/>
      <c r="AB1358" s="14"/>
      <c r="AC1358" s="14"/>
      <c r="AD1358" s="48"/>
      <c r="AE1358" s="48"/>
      <c r="AF1358" s="48"/>
      <c r="AG1358" s="48"/>
      <c r="AH1358" s="48"/>
      <c r="AI1358" s="14"/>
      <c r="AJ1358" s="14"/>
      <c r="AK1358" s="14"/>
      <c r="AL1358" s="14"/>
      <c r="AM1358" s="14"/>
      <c r="AN1358" s="14"/>
      <c r="AO1358" s="14"/>
      <c r="AP1358" s="14"/>
      <c r="AQ1358" s="14"/>
      <c r="AR1358" s="14"/>
      <c r="AS1358" s="14"/>
      <c r="AT1358" s="14"/>
      <c r="AU1358" s="14"/>
      <c r="AV1358" s="14"/>
      <c r="AW1358" s="14"/>
      <c r="AX1358" s="14"/>
      <c r="AY1358" s="14"/>
      <c r="AZ1358" s="14"/>
      <c r="BA1358" s="14"/>
    </row>
    <row r="1359" ht="14.25" customHeight="1">
      <c r="A1359" s="10"/>
      <c r="B1359" s="12"/>
      <c r="C1359" s="12"/>
      <c r="D1359" s="12"/>
      <c r="E1359" s="44"/>
      <c r="F1359" s="12"/>
      <c r="G1359" s="12"/>
      <c r="H1359" s="45"/>
      <c r="I1359" s="45"/>
      <c r="J1359" s="12"/>
      <c r="K1359" s="12"/>
      <c r="L1359" s="14"/>
      <c r="M1359" s="14"/>
      <c r="N1359" s="14"/>
      <c r="O1359" s="14"/>
      <c r="P1359" s="14"/>
      <c r="Q1359" s="14"/>
      <c r="R1359" s="48"/>
      <c r="S1359" s="48"/>
      <c r="T1359" s="48"/>
      <c r="U1359" s="48"/>
      <c r="V1359" s="48"/>
      <c r="W1359" s="14"/>
      <c r="X1359" s="14"/>
      <c r="Y1359" s="14"/>
      <c r="Z1359" s="14"/>
      <c r="AA1359" s="14"/>
      <c r="AB1359" s="14"/>
      <c r="AC1359" s="14"/>
      <c r="AD1359" s="48"/>
      <c r="AE1359" s="48"/>
      <c r="AF1359" s="48"/>
      <c r="AG1359" s="48"/>
      <c r="AH1359" s="48"/>
      <c r="AI1359" s="14"/>
      <c r="AJ1359" s="14"/>
      <c r="AK1359" s="14"/>
      <c r="AL1359" s="14"/>
      <c r="AM1359" s="14"/>
      <c r="AN1359" s="14"/>
      <c r="AO1359" s="14"/>
      <c r="AP1359" s="14"/>
      <c r="AQ1359" s="14"/>
      <c r="AR1359" s="14"/>
      <c r="AS1359" s="14"/>
      <c r="AT1359" s="14"/>
      <c r="AU1359" s="14"/>
      <c r="AV1359" s="14"/>
      <c r="AW1359" s="14"/>
      <c r="AX1359" s="14"/>
      <c r="AY1359" s="14"/>
      <c r="AZ1359" s="14"/>
      <c r="BA1359" s="14"/>
    </row>
    <row r="1360" ht="14.25" customHeight="1">
      <c r="A1360" s="10"/>
      <c r="B1360" s="12"/>
      <c r="C1360" s="12"/>
      <c r="D1360" s="12"/>
      <c r="E1360" s="44"/>
      <c r="F1360" s="12"/>
      <c r="G1360" s="12"/>
      <c r="H1360" s="45"/>
      <c r="I1360" s="45"/>
      <c r="J1360" s="12"/>
      <c r="K1360" s="12"/>
      <c r="L1360" s="14"/>
      <c r="M1360" s="14"/>
      <c r="N1360" s="14"/>
      <c r="O1360" s="14"/>
      <c r="P1360" s="14"/>
      <c r="Q1360" s="14"/>
      <c r="R1360" s="48"/>
      <c r="S1360" s="48"/>
      <c r="T1360" s="48"/>
      <c r="U1360" s="48"/>
      <c r="V1360" s="48"/>
      <c r="W1360" s="14"/>
      <c r="X1360" s="14"/>
      <c r="Y1360" s="14"/>
      <c r="Z1360" s="14"/>
      <c r="AA1360" s="14"/>
      <c r="AB1360" s="14"/>
      <c r="AC1360" s="14"/>
      <c r="AD1360" s="48"/>
      <c r="AE1360" s="48"/>
      <c r="AF1360" s="48"/>
      <c r="AG1360" s="48"/>
      <c r="AH1360" s="48"/>
      <c r="AI1360" s="14"/>
      <c r="AJ1360" s="14"/>
      <c r="AK1360" s="14"/>
      <c r="AL1360" s="14"/>
      <c r="AM1360" s="14"/>
      <c r="AN1360" s="14"/>
      <c r="AO1360" s="14"/>
      <c r="AP1360" s="14"/>
      <c r="AQ1360" s="14"/>
      <c r="AR1360" s="14"/>
      <c r="AS1360" s="14"/>
      <c r="AT1360" s="14"/>
      <c r="AU1360" s="14"/>
      <c r="AV1360" s="14"/>
      <c r="AW1360" s="14"/>
      <c r="AX1360" s="14"/>
      <c r="AY1360" s="14"/>
      <c r="AZ1360" s="14"/>
      <c r="BA1360" s="14"/>
    </row>
    <row r="1361" ht="14.25" customHeight="1">
      <c r="A1361" s="10"/>
      <c r="B1361" s="12"/>
      <c r="C1361" s="12"/>
      <c r="D1361" s="12"/>
      <c r="E1361" s="44"/>
      <c r="F1361" s="12"/>
      <c r="G1361" s="12"/>
      <c r="H1361" s="45"/>
      <c r="I1361" s="45"/>
      <c r="J1361" s="12"/>
      <c r="K1361" s="12"/>
      <c r="L1361" s="14"/>
      <c r="M1361" s="14"/>
      <c r="N1361" s="14"/>
      <c r="O1361" s="14"/>
      <c r="P1361" s="14"/>
      <c r="Q1361" s="14"/>
      <c r="R1361" s="48"/>
      <c r="S1361" s="48"/>
      <c r="T1361" s="48"/>
      <c r="U1361" s="48"/>
      <c r="V1361" s="48"/>
      <c r="W1361" s="14"/>
      <c r="X1361" s="14"/>
      <c r="Y1361" s="14"/>
      <c r="Z1361" s="14"/>
      <c r="AA1361" s="14"/>
      <c r="AB1361" s="14"/>
      <c r="AC1361" s="14"/>
      <c r="AD1361" s="48"/>
      <c r="AE1361" s="48"/>
      <c r="AF1361" s="48"/>
      <c r="AG1361" s="48"/>
      <c r="AH1361" s="48"/>
      <c r="AI1361" s="14"/>
      <c r="AJ1361" s="14"/>
      <c r="AK1361" s="14"/>
      <c r="AL1361" s="14"/>
      <c r="AM1361" s="14"/>
      <c r="AN1361" s="14"/>
      <c r="AO1361" s="14"/>
      <c r="AP1361" s="14"/>
      <c r="AQ1361" s="14"/>
      <c r="AR1361" s="14"/>
      <c r="AS1361" s="14"/>
      <c r="AT1361" s="14"/>
      <c r="AU1361" s="14"/>
      <c r="AV1361" s="14"/>
      <c r="AW1361" s="14"/>
      <c r="AX1361" s="14"/>
      <c r="AY1361" s="14"/>
      <c r="AZ1361" s="14"/>
      <c r="BA1361" s="14"/>
    </row>
    <row r="1362" ht="14.25" customHeight="1">
      <c r="A1362" s="10"/>
      <c r="B1362" s="12"/>
      <c r="C1362" s="12"/>
      <c r="D1362" s="12"/>
      <c r="E1362" s="44"/>
      <c r="F1362" s="12"/>
      <c r="G1362" s="12"/>
      <c r="H1362" s="45"/>
      <c r="I1362" s="45"/>
      <c r="J1362" s="12"/>
      <c r="K1362" s="12"/>
      <c r="L1362" s="14"/>
      <c r="M1362" s="14"/>
      <c r="N1362" s="14"/>
      <c r="O1362" s="14"/>
      <c r="P1362" s="14"/>
      <c r="Q1362" s="14"/>
      <c r="R1362" s="48"/>
      <c r="S1362" s="48"/>
      <c r="T1362" s="48"/>
      <c r="U1362" s="48"/>
      <c r="V1362" s="48"/>
      <c r="W1362" s="14"/>
      <c r="X1362" s="14"/>
      <c r="Y1362" s="14"/>
      <c r="Z1362" s="14"/>
      <c r="AA1362" s="14"/>
      <c r="AB1362" s="14"/>
      <c r="AC1362" s="14"/>
      <c r="AD1362" s="48"/>
      <c r="AE1362" s="48"/>
      <c r="AF1362" s="48"/>
      <c r="AG1362" s="48"/>
      <c r="AH1362" s="48"/>
      <c r="AI1362" s="14"/>
      <c r="AJ1362" s="14"/>
      <c r="AK1362" s="14"/>
      <c r="AL1362" s="14"/>
      <c r="AM1362" s="14"/>
      <c r="AN1362" s="14"/>
      <c r="AO1362" s="14"/>
      <c r="AP1362" s="14"/>
      <c r="AQ1362" s="14"/>
      <c r="AR1362" s="14"/>
      <c r="AS1362" s="14"/>
      <c r="AT1362" s="14"/>
      <c r="AU1362" s="14"/>
      <c r="AV1362" s="14"/>
      <c r="AW1362" s="14"/>
      <c r="AX1362" s="14"/>
      <c r="AY1362" s="14"/>
      <c r="AZ1362" s="14"/>
      <c r="BA1362" s="14"/>
    </row>
    <row r="1363" ht="14.25" customHeight="1">
      <c r="A1363" s="10"/>
      <c r="B1363" s="12"/>
      <c r="C1363" s="12"/>
      <c r="D1363" s="12"/>
      <c r="E1363" s="44"/>
      <c r="F1363" s="12"/>
      <c r="G1363" s="12"/>
      <c r="H1363" s="45"/>
      <c r="I1363" s="45"/>
      <c r="J1363" s="12"/>
      <c r="K1363" s="12"/>
      <c r="L1363" s="14"/>
      <c r="M1363" s="14"/>
      <c r="N1363" s="14"/>
      <c r="O1363" s="14"/>
      <c r="P1363" s="14"/>
      <c r="Q1363" s="14"/>
      <c r="R1363" s="48"/>
      <c r="S1363" s="48"/>
      <c r="T1363" s="48"/>
      <c r="U1363" s="48"/>
      <c r="V1363" s="48"/>
      <c r="W1363" s="14"/>
      <c r="X1363" s="14"/>
      <c r="Y1363" s="14"/>
      <c r="Z1363" s="14"/>
      <c r="AA1363" s="14"/>
      <c r="AB1363" s="14"/>
      <c r="AC1363" s="14"/>
      <c r="AD1363" s="48"/>
      <c r="AE1363" s="48"/>
      <c r="AF1363" s="48"/>
      <c r="AG1363" s="48"/>
      <c r="AH1363" s="48"/>
      <c r="AI1363" s="14"/>
      <c r="AJ1363" s="14"/>
      <c r="AK1363" s="14"/>
      <c r="AL1363" s="14"/>
      <c r="AM1363" s="14"/>
      <c r="AN1363" s="14"/>
      <c r="AO1363" s="14"/>
      <c r="AP1363" s="14"/>
      <c r="AQ1363" s="14"/>
      <c r="AR1363" s="14"/>
      <c r="AS1363" s="14"/>
      <c r="AT1363" s="14"/>
      <c r="AU1363" s="14"/>
      <c r="AV1363" s="14"/>
      <c r="AW1363" s="14"/>
      <c r="AX1363" s="14"/>
      <c r="AY1363" s="14"/>
      <c r="AZ1363" s="14"/>
      <c r="BA1363" s="14"/>
    </row>
    <row r="1364" ht="14.25" customHeight="1">
      <c r="A1364" s="10"/>
      <c r="B1364" s="12"/>
      <c r="C1364" s="12"/>
      <c r="D1364" s="12"/>
      <c r="E1364" s="44"/>
      <c r="F1364" s="12"/>
      <c r="G1364" s="12"/>
      <c r="H1364" s="45"/>
      <c r="I1364" s="45"/>
      <c r="J1364" s="12"/>
      <c r="K1364" s="12"/>
      <c r="L1364" s="14"/>
      <c r="M1364" s="14"/>
      <c r="N1364" s="14"/>
      <c r="O1364" s="14"/>
      <c r="P1364" s="14"/>
      <c r="Q1364" s="14"/>
      <c r="R1364" s="48"/>
      <c r="S1364" s="48"/>
      <c r="T1364" s="48"/>
      <c r="U1364" s="48"/>
      <c r="V1364" s="48"/>
      <c r="W1364" s="14"/>
      <c r="X1364" s="14"/>
      <c r="Y1364" s="14"/>
      <c r="Z1364" s="14"/>
      <c r="AA1364" s="14"/>
      <c r="AB1364" s="14"/>
      <c r="AC1364" s="14"/>
      <c r="AD1364" s="48"/>
      <c r="AE1364" s="48"/>
      <c r="AF1364" s="48"/>
      <c r="AG1364" s="48"/>
      <c r="AH1364" s="48"/>
      <c r="AI1364" s="14"/>
      <c r="AJ1364" s="14"/>
      <c r="AK1364" s="14"/>
      <c r="AL1364" s="14"/>
      <c r="AM1364" s="14"/>
      <c r="AN1364" s="14"/>
      <c r="AO1364" s="14"/>
      <c r="AP1364" s="14"/>
      <c r="AQ1364" s="14"/>
      <c r="AR1364" s="14"/>
      <c r="AS1364" s="14"/>
      <c r="AT1364" s="14"/>
      <c r="AU1364" s="14"/>
      <c r="AV1364" s="14"/>
      <c r="AW1364" s="14"/>
      <c r="AX1364" s="14"/>
      <c r="AY1364" s="14"/>
      <c r="AZ1364" s="14"/>
      <c r="BA1364" s="14"/>
    </row>
    <row r="1365" ht="14.25" customHeight="1">
      <c r="A1365" s="10"/>
      <c r="B1365" s="12"/>
      <c r="C1365" s="12"/>
      <c r="D1365" s="12"/>
      <c r="E1365" s="44"/>
      <c r="F1365" s="12"/>
      <c r="G1365" s="12"/>
      <c r="H1365" s="45"/>
      <c r="I1365" s="45"/>
      <c r="J1365" s="12"/>
      <c r="K1365" s="12"/>
      <c r="L1365" s="14"/>
      <c r="M1365" s="14"/>
      <c r="N1365" s="14"/>
      <c r="O1365" s="14"/>
      <c r="P1365" s="14"/>
      <c r="Q1365" s="14"/>
      <c r="R1365" s="48"/>
      <c r="S1365" s="48"/>
      <c r="T1365" s="48"/>
      <c r="U1365" s="48"/>
      <c r="V1365" s="48"/>
      <c r="W1365" s="14"/>
      <c r="X1365" s="14"/>
      <c r="Y1365" s="14"/>
      <c r="Z1365" s="14"/>
      <c r="AA1365" s="14"/>
      <c r="AB1365" s="14"/>
      <c r="AC1365" s="14"/>
      <c r="AD1365" s="48"/>
      <c r="AE1365" s="48"/>
      <c r="AF1365" s="48"/>
      <c r="AG1365" s="48"/>
      <c r="AH1365" s="48"/>
      <c r="AI1365" s="14"/>
      <c r="AJ1365" s="14"/>
      <c r="AK1365" s="14"/>
      <c r="AL1365" s="14"/>
      <c r="AM1365" s="14"/>
      <c r="AN1365" s="14"/>
      <c r="AO1365" s="14"/>
      <c r="AP1365" s="14"/>
      <c r="AQ1365" s="14"/>
      <c r="AR1365" s="14"/>
      <c r="AS1365" s="14"/>
      <c r="AT1365" s="14"/>
      <c r="AU1365" s="14"/>
      <c r="AV1365" s="14"/>
      <c r="AW1365" s="14"/>
      <c r="AX1365" s="14"/>
      <c r="AY1365" s="14"/>
      <c r="AZ1365" s="14"/>
      <c r="BA1365" s="14"/>
    </row>
    <row r="1366" ht="14.25" customHeight="1">
      <c r="A1366" s="10"/>
      <c r="B1366" s="12"/>
      <c r="C1366" s="12"/>
      <c r="D1366" s="12"/>
      <c r="E1366" s="44"/>
      <c r="F1366" s="12"/>
      <c r="G1366" s="12"/>
      <c r="H1366" s="45"/>
      <c r="I1366" s="45"/>
      <c r="J1366" s="12"/>
      <c r="K1366" s="12"/>
      <c r="L1366" s="14"/>
      <c r="M1366" s="14"/>
      <c r="N1366" s="14"/>
      <c r="O1366" s="14"/>
      <c r="P1366" s="14"/>
      <c r="Q1366" s="14"/>
      <c r="R1366" s="48"/>
      <c r="S1366" s="48"/>
      <c r="T1366" s="48"/>
      <c r="U1366" s="48"/>
      <c r="V1366" s="48"/>
      <c r="W1366" s="14"/>
      <c r="X1366" s="14"/>
      <c r="Y1366" s="14"/>
      <c r="Z1366" s="14"/>
      <c r="AA1366" s="14"/>
      <c r="AB1366" s="14"/>
      <c r="AC1366" s="14"/>
      <c r="AD1366" s="48"/>
      <c r="AE1366" s="48"/>
      <c r="AF1366" s="48"/>
      <c r="AG1366" s="48"/>
      <c r="AH1366" s="48"/>
      <c r="AI1366" s="14"/>
      <c r="AJ1366" s="14"/>
      <c r="AK1366" s="14"/>
      <c r="AL1366" s="14"/>
      <c r="AM1366" s="14"/>
      <c r="AN1366" s="14"/>
      <c r="AO1366" s="14"/>
      <c r="AP1366" s="14"/>
      <c r="AQ1366" s="14"/>
      <c r="AR1366" s="14"/>
      <c r="AS1366" s="14"/>
      <c r="AT1366" s="14"/>
      <c r="AU1366" s="14"/>
      <c r="AV1366" s="14"/>
      <c r="AW1366" s="14"/>
      <c r="AX1366" s="14"/>
      <c r="AY1366" s="14"/>
      <c r="AZ1366" s="14"/>
      <c r="BA1366" s="14"/>
    </row>
    <row r="1367" ht="14.25" customHeight="1">
      <c r="A1367" s="10"/>
      <c r="B1367" s="12"/>
      <c r="C1367" s="12"/>
      <c r="D1367" s="12"/>
      <c r="E1367" s="44"/>
      <c r="F1367" s="12"/>
      <c r="G1367" s="12"/>
      <c r="H1367" s="45"/>
      <c r="I1367" s="45"/>
      <c r="J1367" s="12"/>
      <c r="K1367" s="12"/>
      <c r="L1367" s="14"/>
      <c r="M1367" s="14"/>
      <c r="N1367" s="14"/>
      <c r="O1367" s="14"/>
      <c r="P1367" s="14"/>
      <c r="Q1367" s="14"/>
      <c r="R1367" s="48"/>
      <c r="S1367" s="48"/>
      <c r="T1367" s="48"/>
      <c r="U1367" s="48"/>
      <c r="V1367" s="48"/>
      <c r="W1367" s="14"/>
      <c r="X1367" s="14"/>
      <c r="Y1367" s="14"/>
      <c r="Z1367" s="14"/>
      <c r="AA1367" s="14"/>
      <c r="AB1367" s="14"/>
      <c r="AC1367" s="14"/>
      <c r="AD1367" s="48"/>
      <c r="AE1367" s="48"/>
      <c r="AF1367" s="48"/>
      <c r="AG1367" s="48"/>
      <c r="AH1367" s="48"/>
      <c r="AI1367" s="14"/>
      <c r="AJ1367" s="14"/>
      <c r="AK1367" s="14"/>
      <c r="AL1367" s="14"/>
      <c r="AM1367" s="14"/>
      <c r="AN1367" s="14"/>
      <c r="AO1367" s="14"/>
      <c r="AP1367" s="14"/>
      <c r="AQ1367" s="14"/>
      <c r="AR1367" s="14"/>
      <c r="AS1367" s="14"/>
      <c r="AT1367" s="14"/>
      <c r="AU1367" s="14"/>
      <c r="AV1367" s="14"/>
      <c r="AW1367" s="14"/>
      <c r="AX1367" s="14"/>
      <c r="AY1367" s="14"/>
      <c r="AZ1367" s="14"/>
      <c r="BA1367" s="14"/>
    </row>
    <row r="1368" ht="14.25" customHeight="1">
      <c r="A1368" s="10"/>
      <c r="B1368" s="12"/>
      <c r="C1368" s="12"/>
      <c r="D1368" s="12"/>
      <c r="E1368" s="44"/>
      <c r="F1368" s="12"/>
      <c r="G1368" s="12"/>
      <c r="H1368" s="45"/>
      <c r="I1368" s="45"/>
      <c r="J1368" s="12"/>
      <c r="K1368" s="12"/>
      <c r="L1368" s="14"/>
      <c r="M1368" s="14"/>
      <c r="N1368" s="14"/>
      <c r="O1368" s="14"/>
      <c r="P1368" s="14"/>
      <c r="Q1368" s="14"/>
      <c r="R1368" s="48"/>
      <c r="S1368" s="48"/>
      <c r="T1368" s="48"/>
      <c r="U1368" s="48"/>
      <c r="V1368" s="48"/>
      <c r="W1368" s="14"/>
      <c r="X1368" s="14"/>
      <c r="Y1368" s="14"/>
      <c r="Z1368" s="14"/>
      <c r="AA1368" s="14"/>
      <c r="AB1368" s="14"/>
      <c r="AC1368" s="14"/>
      <c r="AD1368" s="48"/>
      <c r="AE1368" s="48"/>
      <c r="AF1368" s="48"/>
      <c r="AG1368" s="48"/>
      <c r="AH1368" s="48"/>
      <c r="AI1368" s="14"/>
      <c r="AJ1368" s="14"/>
      <c r="AK1368" s="14"/>
      <c r="AL1368" s="14"/>
      <c r="AM1368" s="14"/>
      <c r="AN1368" s="14"/>
      <c r="AO1368" s="14"/>
      <c r="AP1368" s="14"/>
      <c r="AQ1368" s="14"/>
      <c r="AR1368" s="14"/>
      <c r="AS1368" s="14"/>
      <c r="AT1368" s="14"/>
      <c r="AU1368" s="14"/>
      <c r="AV1368" s="14"/>
      <c r="AW1368" s="14"/>
      <c r="AX1368" s="14"/>
      <c r="AY1368" s="14"/>
      <c r="AZ1368" s="14"/>
      <c r="BA1368" s="14"/>
    </row>
    <row r="1369" ht="14.25" customHeight="1">
      <c r="A1369" s="10"/>
      <c r="B1369" s="12"/>
      <c r="C1369" s="12"/>
      <c r="D1369" s="12"/>
      <c r="E1369" s="44"/>
      <c r="F1369" s="12"/>
      <c r="G1369" s="12"/>
      <c r="H1369" s="45"/>
      <c r="I1369" s="45"/>
      <c r="J1369" s="12"/>
      <c r="K1369" s="12"/>
      <c r="L1369" s="14"/>
      <c r="M1369" s="14"/>
      <c r="N1369" s="14"/>
      <c r="O1369" s="14"/>
      <c r="P1369" s="14"/>
      <c r="Q1369" s="14"/>
      <c r="R1369" s="48"/>
      <c r="S1369" s="48"/>
      <c r="T1369" s="48"/>
      <c r="U1369" s="48"/>
      <c r="V1369" s="48"/>
      <c r="W1369" s="14"/>
      <c r="X1369" s="14"/>
      <c r="Y1369" s="14"/>
      <c r="Z1369" s="14"/>
      <c r="AA1369" s="14"/>
      <c r="AB1369" s="14"/>
      <c r="AC1369" s="14"/>
      <c r="AD1369" s="48"/>
      <c r="AE1369" s="48"/>
      <c r="AF1369" s="48"/>
      <c r="AG1369" s="48"/>
      <c r="AH1369" s="48"/>
      <c r="AI1369" s="14"/>
      <c r="AJ1369" s="14"/>
      <c r="AK1369" s="14"/>
      <c r="AL1369" s="14"/>
      <c r="AM1369" s="14"/>
      <c r="AN1369" s="14"/>
      <c r="AO1369" s="14"/>
      <c r="AP1369" s="14"/>
      <c r="AQ1369" s="14"/>
      <c r="AR1369" s="14"/>
      <c r="AS1369" s="14"/>
      <c r="AT1369" s="14"/>
      <c r="AU1369" s="14"/>
      <c r="AV1369" s="14"/>
      <c r="AW1369" s="14"/>
      <c r="AX1369" s="14"/>
      <c r="AY1369" s="14"/>
      <c r="AZ1369" s="14"/>
      <c r="BA1369" s="14"/>
    </row>
    <row r="1370" ht="14.25" customHeight="1">
      <c r="A1370" s="10"/>
      <c r="B1370" s="12"/>
      <c r="C1370" s="12"/>
      <c r="D1370" s="12"/>
      <c r="E1370" s="44"/>
      <c r="F1370" s="12"/>
      <c r="G1370" s="12"/>
      <c r="H1370" s="45"/>
      <c r="I1370" s="45"/>
      <c r="J1370" s="12"/>
      <c r="K1370" s="12"/>
      <c r="L1370" s="14"/>
      <c r="M1370" s="14"/>
      <c r="N1370" s="14"/>
      <c r="O1370" s="14"/>
      <c r="P1370" s="14"/>
      <c r="Q1370" s="14"/>
      <c r="R1370" s="48"/>
      <c r="S1370" s="48"/>
      <c r="T1370" s="48"/>
      <c r="U1370" s="48"/>
      <c r="V1370" s="48"/>
      <c r="W1370" s="14"/>
      <c r="X1370" s="14"/>
      <c r="Y1370" s="14"/>
      <c r="Z1370" s="14"/>
      <c r="AA1370" s="14"/>
      <c r="AB1370" s="14"/>
      <c r="AC1370" s="14"/>
      <c r="AD1370" s="48"/>
      <c r="AE1370" s="48"/>
      <c r="AF1370" s="48"/>
      <c r="AG1370" s="48"/>
      <c r="AH1370" s="48"/>
      <c r="AI1370" s="14"/>
      <c r="AJ1370" s="14"/>
      <c r="AK1370" s="14"/>
      <c r="AL1370" s="14"/>
      <c r="AM1370" s="14"/>
      <c r="AN1370" s="14"/>
      <c r="AO1370" s="14"/>
      <c r="AP1370" s="14"/>
      <c r="AQ1370" s="14"/>
      <c r="AR1370" s="14"/>
      <c r="AS1370" s="14"/>
      <c r="AT1370" s="14"/>
      <c r="AU1370" s="14"/>
      <c r="AV1370" s="14"/>
      <c r="AW1370" s="14"/>
      <c r="AX1370" s="14"/>
      <c r="AY1370" s="14"/>
      <c r="AZ1370" s="14"/>
      <c r="BA1370" s="14"/>
    </row>
    <row r="1371" ht="14.25" customHeight="1">
      <c r="A1371" s="10"/>
      <c r="B1371" s="12"/>
      <c r="C1371" s="12"/>
      <c r="D1371" s="12"/>
      <c r="E1371" s="44"/>
      <c r="F1371" s="12"/>
      <c r="G1371" s="12"/>
      <c r="H1371" s="45"/>
      <c r="I1371" s="45"/>
      <c r="J1371" s="12"/>
      <c r="K1371" s="12"/>
      <c r="L1371" s="14"/>
      <c r="M1371" s="14"/>
      <c r="N1371" s="14"/>
      <c r="O1371" s="14"/>
      <c r="P1371" s="14"/>
      <c r="Q1371" s="14"/>
      <c r="R1371" s="48"/>
      <c r="S1371" s="48"/>
      <c r="T1371" s="48"/>
      <c r="U1371" s="48"/>
      <c r="V1371" s="48"/>
      <c r="W1371" s="14"/>
      <c r="X1371" s="14"/>
      <c r="Y1371" s="14"/>
      <c r="Z1371" s="14"/>
      <c r="AA1371" s="14"/>
      <c r="AB1371" s="14"/>
      <c r="AC1371" s="14"/>
      <c r="AD1371" s="48"/>
      <c r="AE1371" s="48"/>
      <c r="AF1371" s="48"/>
      <c r="AG1371" s="48"/>
      <c r="AH1371" s="48"/>
      <c r="AI1371" s="14"/>
      <c r="AJ1371" s="14"/>
      <c r="AK1371" s="14"/>
      <c r="AL1371" s="14"/>
      <c r="AM1371" s="14"/>
      <c r="AN1371" s="14"/>
      <c r="AO1371" s="14"/>
      <c r="AP1371" s="14"/>
      <c r="AQ1371" s="14"/>
      <c r="AR1371" s="14"/>
      <c r="AS1371" s="14"/>
      <c r="AT1371" s="14"/>
      <c r="AU1371" s="14"/>
      <c r="AV1371" s="14"/>
      <c r="AW1371" s="14"/>
      <c r="AX1371" s="14"/>
      <c r="AY1371" s="14"/>
      <c r="AZ1371" s="14"/>
      <c r="BA1371" s="14"/>
    </row>
    <row r="1372" ht="14.25" customHeight="1">
      <c r="A1372" s="10"/>
      <c r="B1372" s="12"/>
      <c r="C1372" s="12"/>
      <c r="D1372" s="12"/>
      <c r="E1372" s="44"/>
      <c r="F1372" s="12"/>
      <c r="G1372" s="12"/>
      <c r="H1372" s="45"/>
      <c r="I1372" s="45"/>
      <c r="J1372" s="12"/>
      <c r="K1372" s="12"/>
      <c r="L1372" s="14"/>
      <c r="M1372" s="14"/>
      <c r="N1372" s="14"/>
      <c r="O1372" s="14"/>
      <c r="P1372" s="14"/>
      <c r="Q1372" s="14"/>
      <c r="R1372" s="48"/>
      <c r="S1372" s="48"/>
      <c r="T1372" s="48"/>
      <c r="U1372" s="48"/>
      <c r="V1372" s="48"/>
      <c r="W1372" s="14"/>
      <c r="X1372" s="14"/>
      <c r="Y1372" s="14"/>
      <c r="Z1372" s="14"/>
      <c r="AA1372" s="14"/>
      <c r="AB1372" s="14"/>
      <c r="AC1372" s="14"/>
      <c r="AD1372" s="48"/>
      <c r="AE1372" s="48"/>
      <c r="AF1372" s="48"/>
      <c r="AG1372" s="48"/>
      <c r="AH1372" s="48"/>
      <c r="AI1372" s="14"/>
      <c r="AJ1372" s="14"/>
      <c r="AK1372" s="14"/>
      <c r="AL1372" s="14"/>
      <c r="AM1372" s="14"/>
      <c r="AN1372" s="14"/>
      <c r="AO1372" s="14"/>
      <c r="AP1372" s="14"/>
      <c r="AQ1372" s="14"/>
      <c r="AR1372" s="14"/>
      <c r="AS1372" s="14"/>
      <c r="AT1372" s="14"/>
      <c r="AU1372" s="14"/>
      <c r="AV1372" s="14"/>
      <c r="AW1372" s="14"/>
      <c r="AX1372" s="14"/>
      <c r="AY1372" s="14"/>
      <c r="AZ1372" s="14"/>
      <c r="BA1372" s="14"/>
    </row>
    <row r="1373" ht="14.25" customHeight="1">
      <c r="A1373" s="10"/>
      <c r="B1373" s="12"/>
      <c r="C1373" s="12"/>
      <c r="D1373" s="12"/>
      <c r="E1373" s="44"/>
      <c r="F1373" s="12"/>
      <c r="G1373" s="12"/>
      <c r="H1373" s="45"/>
      <c r="I1373" s="45"/>
      <c r="J1373" s="12"/>
      <c r="K1373" s="12"/>
      <c r="L1373" s="14"/>
      <c r="M1373" s="14"/>
      <c r="N1373" s="14"/>
      <c r="O1373" s="14"/>
      <c r="P1373" s="14"/>
      <c r="Q1373" s="14"/>
      <c r="R1373" s="48"/>
      <c r="S1373" s="48"/>
      <c r="T1373" s="48"/>
      <c r="U1373" s="48"/>
      <c r="V1373" s="48"/>
      <c r="W1373" s="14"/>
      <c r="X1373" s="14"/>
      <c r="Y1373" s="14"/>
      <c r="Z1373" s="14"/>
      <c r="AA1373" s="14"/>
      <c r="AB1373" s="14"/>
      <c r="AC1373" s="14"/>
      <c r="AD1373" s="48"/>
      <c r="AE1373" s="48"/>
      <c r="AF1373" s="48"/>
      <c r="AG1373" s="48"/>
      <c r="AH1373" s="48"/>
      <c r="AI1373" s="14"/>
      <c r="AJ1373" s="14"/>
      <c r="AK1373" s="14"/>
      <c r="AL1373" s="14"/>
      <c r="AM1373" s="14"/>
      <c r="AN1373" s="14"/>
      <c r="AO1373" s="14"/>
      <c r="AP1373" s="14"/>
      <c r="AQ1373" s="14"/>
      <c r="AR1373" s="14"/>
      <c r="AS1373" s="14"/>
      <c r="AT1373" s="14"/>
      <c r="AU1373" s="14"/>
      <c r="AV1373" s="14"/>
      <c r="AW1373" s="14"/>
      <c r="AX1373" s="14"/>
      <c r="AY1373" s="14"/>
      <c r="AZ1373" s="14"/>
      <c r="BA1373" s="14"/>
    </row>
    <row r="1374" ht="14.25" customHeight="1">
      <c r="A1374" s="10"/>
      <c r="B1374" s="12"/>
      <c r="C1374" s="12"/>
      <c r="D1374" s="12"/>
      <c r="E1374" s="44"/>
      <c r="F1374" s="12"/>
      <c r="G1374" s="12"/>
      <c r="H1374" s="45"/>
      <c r="I1374" s="45"/>
      <c r="J1374" s="12"/>
      <c r="K1374" s="12"/>
      <c r="L1374" s="14"/>
      <c r="M1374" s="14"/>
      <c r="N1374" s="14"/>
      <c r="O1374" s="14"/>
      <c r="P1374" s="14"/>
      <c r="Q1374" s="14"/>
      <c r="R1374" s="48"/>
      <c r="S1374" s="48"/>
      <c r="T1374" s="48"/>
      <c r="U1374" s="48"/>
      <c r="V1374" s="48"/>
      <c r="W1374" s="14"/>
      <c r="X1374" s="14"/>
      <c r="Y1374" s="14"/>
      <c r="Z1374" s="14"/>
      <c r="AA1374" s="14"/>
      <c r="AB1374" s="14"/>
      <c r="AC1374" s="14"/>
      <c r="AD1374" s="48"/>
      <c r="AE1374" s="48"/>
      <c r="AF1374" s="48"/>
      <c r="AG1374" s="48"/>
      <c r="AH1374" s="48"/>
      <c r="AI1374" s="14"/>
      <c r="AJ1374" s="14"/>
      <c r="AK1374" s="14"/>
      <c r="AL1374" s="14"/>
      <c r="AM1374" s="14"/>
      <c r="AN1374" s="14"/>
      <c r="AO1374" s="14"/>
      <c r="AP1374" s="14"/>
      <c r="AQ1374" s="14"/>
      <c r="AR1374" s="14"/>
      <c r="AS1374" s="14"/>
      <c r="AT1374" s="14"/>
      <c r="AU1374" s="14"/>
      <c r="AV1374" s="14"/>
      <c r="AW1374" s="14"/>
      <c r="AX1374" s="14"/>
      <c r="AY1374" s="14"/>
      <c r="AZ1374" s="14"/>
      <c r="BA1374" s="14"/>
    </row>
    <row r="1375" ht="14.25" customHeight="1">
      <c r="A1375" s="10"/>
      <c r="B1375" s="12"/>
      <c r="C1375" s="12"/>
      <c r="D1375" s="12"/>
      <c r="E1375" s="44"/>
      <c r="F1375" s="12"/>
      <c r="G1375" s="12"/>
      <c r="H1375" s="45"/>
      <c r="I1375" s="45"/>
      <c r="J1375" s="12"/>
      <c r="K1375" s="12"/>
      <c r="L1375" s="14"/>
      <c r="M1375" s="14"/>
      <c r="N1375" s="14"/>
      <c r="O1375" s="14"/>
      <c r="P1375" s="14"/>
      <c r="Q1375" s="14"/>
      <c r="R1375" s="48"/>
      <c r="S1375" s="48"/>
      <c r="T1375" s="48"/>
      <c r="U1375" s="48"/>
      <c r="V1375" s="48"/>
      <c r="W1375" s="14"/>
      <c r="X1375" s="14"/>
      <c r="Y1375" s="14"/>
      <c r="Z1375" s="14"/>
      <c r="AA1375" s="14"/>
      <c r="AB1375" s="14"/>
      <c r="AC1375" s="14"/>
      <c r="AD1375" s="48"/>
      <c r="AE1375" s="48"/>
      <c r="AF1375" s="48"/>
      <c r="AG1375" s="48"/>
      <c r="AH1375" s="48"/>
      <c r="AI1375" s="14"/>
      <c r="AJ1375" s="14"/>
      <c r="AK1375" s="14"/>
      <c r="AL1375" s="14"/>
      <c r="AM1375" s="14"/>
      <c r="AN1375" s="14"/>
      <c r="AO1375" s="14"/>
      <c r="AP1375" s="14"/>
      <c r="AQ1375" s="14"/>
      <c r="AR1375" s="14"/>
      <c r="AS1375" s="14"/>
      <c r="AT1375" s="14"/>
      <c r="AU1375" s="14"/>
      <c r="AV1375" s="14"/>
      <c r="AW1375" s="14"/>
      <c r="AX1375" s="14"/>
      <c r="AY1375" s="14"/>
      <c r="AZ1375" s="14"/>
      <c r="BA1375" s="14"/>
    </row>
    <row r="1376" ht="14.25" customHeight="1">
      <c r="A1376" s="10"/>
      <c r="B1376" s="12"/>
      <c r="C1376" s="12"/>
      <c r="D1376" s="12"/>
      <c r="E1376" s="44"/>
      <c r="F1376" s="12"/>
      <c r="G1376" s="12"/>
      <c r="H1376" s="45"/>
      <c r="I1376" s="45"/>
      <c r="J1376" s="12"/>
      <c r="K1376" s="12"/>
      <c r="L1376" s="14"/>
      <c r="M1376" s="14"/>
      <c r="N1376" s="14"/>
      <c r="O1376" s="14"/>
      <c r="P1376" s="14"/>
      <c r="Q1376" s="14"/>
      <c r="R1376" s="48"/>
      <c r="S1376" s="48"/>
      <c r="T1376" s="48"/>
      <c r="U1376" s="48"/>
      <c r="V1376" s="48"/>
      <c r="W1376" s="14"/>
      <c r="X1376" s="14"/>
      <c r="Y1376" s="14"/>
      <c r="Z1376" s="14"/>
      <c r="AA1376" s="14"/>
      <c r="AB1376" s="14"/>
      <c r="AC1376" s="14"/>
      <c r="AD1376" s="48"/>
      <c r="AE1376" s="48"/>
      <c r="AF1376" s="48"/>
      <c r="AG1376" s="48"/>
      <c r="AH1376" s="48"/>
      <c r="AI1376" s="14"/>
      <c r="AJ1376" s="14"/>
      <c r="AK1376" s="14"/>
      <c r="AL1376" s="14"/>
      <c r="AM1376" s="14"/>
      <c r="AN1376" s="14"/>
      <c r="AO1376" s="14"/>
      <c r="AP1376" s="14"/>
      <c r="AQ1376" s="14"/>
      <c r="AR1376" s="14"/>
      <c r="AS1376" s="14"/>
      <c r="AT1376" s="14"/>
      <c r="AU1376" s="14"/>
      <c r="AV1376" s="14"/>
      <c r="AW1376" s="14"/>
      <c r="AX1376" s="14"/>
      <c r="AY1376" s="14"/>
      <c r="AZ1376" s="14"/>
      <c r="BA1376" s="14"/>
    </row>
    <row r="1377" ht="14.25" customHeight="1">
      <c r="A1377" s="10"/>
      <c r="B1377" s="12"/>
      <c r="C1377" s="12"/>
      <c r="D1377" s="12"/>
      <c r="E1377" s="44"/>
      <c r="F1377" s="12"/>
      <c r="G1377" s="12"/>
      <c r="H1377" s="45"/>
      <c r="I1377" s="45"/>
      <c r="J1377" s="12"/>
      <c r="K1377" s="12"/>
      <c r="L1377" s="14"/>
      <c r="M1377" s="14"/>
      <c r="N1377" s="14"/>
      <c r="O1377" s="14"/>
      <c r="P1377" s="14"/>
      <c r="Q1377" s="14"/>
      <c r="R1377" s="48"/>
      <c r="S1377" s="48"/>
      <c r="T1377" s="48"/>
      <c r="U1377" s="48"/>
      <c r="V1377" s="48"/>
      <c r="W1377" s="14"/>
      <c r="X1377" s="14"/>
      <c r="Y1377" s="14"/>
      <c r="Z1377" s="14"/>
      <c r="AA1377" s="14"/>
      <c r="AB1377" s="14"/>
      <c r="AC1377" s="14"/>
      <c r="AD1377" s="48"/>
      <c r="AE1377" s="48"/>
      <c r="AF1377" s="48"/>
      <c r="AG1377" s="48"/>
      <c r="AH1377" s="48"/>
      <c r="AI1377" s="14"/>
      <c r="AJ1377" s="14"/>
      <c r="AK1377" s="14"/>
      <c r="AL1377" s="14"/>
      <c r="AM1377" s="14"/>
      <c r="AN1377" s="14"/>
      <c r="AO1377" s="14"/>
      <c r="AP1377" s="14"/>
      <c r="AQ1377" s="14"/>
      <c r="AR1377" s="14"/>
      <c r="AS1377" s="14"/>
      <c r="AT1377" s="14"/>
      <c r="AU1377" s="14"/>
      <c r="AV1377" s="14"/>
      <c r="AW1377" s="14"/>
      <c r="AX1377" s="14"/>
      <c r="AY1377" s="14"/>
      <c r="AZ1377" s="14"/>
      <c r="BA1377" s="14"/>
    </row>
    <row r="1378" ht="14.25" customHeight="1">
      <c r="A1378" s="10"/>
      <c r="B1378" s="12"/>
      <c r="C1378" s="12"/>
      <c r="D1378" s="12"/>
      <c r="E1378" s="44"/>
      <c r="F1378" s="12"/>
      <c r="G1378" s="12"/>
      <c r="H1378" s="45"/>
      <c r="I1378" s="45"/>
      <c r="J1378" s="12"/>
      <c r="K1378" s="12"/>
      <c r="L1378" s="14"/>
      <c r="M1378" s="14"/>
      <c r="N1378" s="14"/>
      <c r="O1378" s="14"/>
      <c r="P1378" s="14"/>
      <c r="Q1378" s="14"/>
      <c r="R1378" s="48"/>
      <c r="S1378" s="48"/>
      <c r="T1378" s="48"/>
      <c r="U1378" s="48"/>
      <c r="V1378" s="48"/>
      <c r="W1378" s="14"/>
      <c r="X1378" s="14"/>
      <c r="Y1378" s="14"/>
      <c r="Z1378" s="14"/>
      <c r="AA1378" s="14"/>
      <c r="AB1378" s="14"/>
      <c r="AC1378" s="14"/>
      <c r="AD1378" s="48"/>
      <c r="AE1378" s="48"/>
      <c r="AF1378" s="48"/>
      <c r="AG1378" s="48"/>
      <c r="AH1378" s="48"/>
      <c r="AI1378" s="14"/>
      <c r="AJ1378" s="14"/>
      <c r="AK1378" s="14"/>
      <c r="AL1378" s="14"/>
      <c r="AM1378" s="14"/>
      <c r="AN1378" s="14"/>
      <c r="AO1378" s="14"/>
      <c r="AP1378" s="14"/>
      <c r="AQ1378" s="14"/>
      <c r="AR1378" s="14"/>
      <c r="AS1378" s="14"/>
      <c r="AT1378" s="14"/>
      <c r="AU1378" s="14"/>
      <c r="AV1378" s="14"/>
      <c r="AW1378" s="14"/>
      <c r="AX1378" s="14"/>
      <c r="AY1378" s="14"/>
      <c r="AZ1378" s="14"/>
      <c r="BA1378" s="14"/>
    </row>
    <row r="1379" ht="14.25" customHeight="1">
      <c r="A1379" s="10"/>
      <c r="B1379" s="12"/>
      <c r="C1379" s="12"/>
      <c r="D1379" s="12"/>
      <c r="E1379" s="44"/>
      <c r="F1379" s="12"/>
      <c r="G1379" s="12"/>
      <c r="H1379" s="45"/>
      <c r="I1379" s="45"/>
      <c r="J1379" s="12"/>
      <c r="K1379" s="12"/>
      <c r="L1379" s="14"/>
      <c r="M1379" s="14"/>
      <c r="N1379" s="14"/>
      <c r="O1379" s="14"/>
      <c r="P1379" s="14"/>
      <c r="Q1379" s="14"/>
      <c r="R1379" s="48"/>
      <c r="S1379" s="48"/>
      <c r="T1379" s="48"/>
      <c r="U1379" s="48"/>
      <c r="V1379" s="48"/>
      <c r="W1379" s="14"/>
      <c r="X1379" s="14"/>
      <c r="Y1379" s="14"/>
      <c r="Z1379" s="14"/>
      <c r="AA1379" s="14"/>
      <c r="AB1379" s="14"/>
      <c r="AC1379" s="14"/>
      <c r="AD1379" s="48"/>
      <c r="AE1379" s="48"/>
      <c r="AF1379" s="48"/>
      <c r="AG1379" s="48"/>
      <c r="AH1379" s="48"/>
      <c r="AI1379" s="14"/>
      <c r="AJ1379" s="14"/>
      <c r="AK1379" s="14"/>
      <c r="AL1379" s="14"/>
      <c r="AM1379" s="14"/>
      <c r="AN1379" s="14"/>
      <c r="AO1379" s="14"/>
      <c r="AP1379" s="14"/>
      <c r="AQ1379" s="14"/>
      <c r="AR1379" s="14"/>
      <c r="AS1379" s="14"/>
      <c r="AT1379" s="14"/>
      <c r="AU1379" s="14"/>
      <c r="AV1379" s="14"/>
      <c r="AW1379" s="14"/>
      <c r="AX1379" s="14"/>
      <c r="AY1379" s="14"/>
      <c r="AZ1379" s="14"/>
      <c r="BA1379" s="14"/>
    </row>
    <row r="1380" ht="14.25" customHeight="1">
      <c r="A1380" s="10"/>
      <c r="B1380" s="12"/>
      <c r="C1380" s="12"/>
      <c r="D1380" s="12"/>
      <c r="E1380" s="44"/>
      <c r="F1380" s="12"/>
      <c r="G1380" s="12"/>
      <c r="H1380" s="45"/>
      <c r="I1380" s="45"/>
      <c r="J1380" s="12"/>
      <c r="K1380" s="12"/>
      <c r="L1380" s="14"/>
      <c r="M1380" s="14"/>
      <c r="N1380" s="14"/>
      <c r="O1380" s="14"/>
      <c r="P1380" s="14"/>
      <c r="Q1380" s="14"/>
      <c r="R1380" s="48"/>
      <c r="S1380" s="48"/>
      <c r="T1380" s="48"/>
      <c r="U1380" s="48"/>
      <c r="V1380" s="48"/>
      <c r="W1380" s="14"/>
      <c r="X1380" s="14"/>
      <c r="Y1380" s="14"/>
      <c r="Z1380" s="14"/>
      <c r="AA1380" s="14"/>
      <c r="AB1380" s="14"/>
      <c r="AC1380" s="14"/>
      <c r="AD1380" s="48"/>
      <c r="AE1380" s="48"/>
      <c r="AF1380" s="48"/>
      <c r="AG1380" s="48"/>
      <c r="AH1380" s="48"/>
      <c r="AI1380" s="14"/>
      <c r="AJ1380" s="14"/>
      <c r="AK1380" s="14"/>
      <c r="AL1380" s="14"/>
      <c r="AM1380" s="14"/>
      <c r="AN1380" s="14"/>
      <c r="AO1380" s="14"/>
      <c r="AP1380" s="14"/>
      <c r="AQ1380" s="14"/>
      <c r="AR1380" s="14"/>
      <c r="AS1380" s="14"/>
      <c r="AT1380" s="14"/>
      <c r="AU1380" s="14"/>
      <c r="AV1380" s="14"/>
      <c r="AW1380" s="14"/>
      <c r="AX1380" s="14"/>
      <c r="AY1380" s="14"/>
      <c r="AZ1380" s="14"/>
      <c r="BA1380" s="14"/>
    </row>
    <row r="1381" ht="14.25" customHeight="1">
      <c r="A1381" s="10"/>
      <c r="B1381" s="12"/>
      <c r="C1381" s="12"/>
      <c r="D1381" s="12"/>
      <c r="E1381" s="44"/>
      <c r="F1381" s="12"/>
      <c r="G1381" s="12"/>
      <c r="H1381" s="45"/>
      <c r="I1381" s="45"/>
      <c r="J1381" s="12"/>
      <c r="K1381" s="12"/>
      <c r="L1381" s="14"/>
      <c r="M1381" s="14"/>
      <c r="N1381" s="14"/>
      <c r="O1381" s="14"/>
      <c r="P1381" s="14"/>
      <c r="Q1381" s="14"/>
      <c r="R1381" s="48"/>
      <c r="S1381" s="48"/>
      <c r="T1381" s="48"/>
      <c r="U1381" s="48"/>
      <c r="V1381" s="48"/>
      <c r="W1381" s="14"/>
      <c r="X1381" s="14"/>
      <c r="Y1381" s="14"/>
      <c r="Z1381" s="14"/>
      <c r="AA1381" s="14"/>
      <c r="AB1381" s="14"/>
      <c r="AC1381" s="14"/>
      <c r="AD1381" s="48"/>
      <c r="AE1381" s="48"/>
      <c r="AF1381" s="48"/>
      <c r="AG1381" s="48"/>
      <c r="AH1381" s="48"/>
      <c r="AI1381" s="14"/>
      <c r="AJ1381" s="14"/>
      <c r="AK1381" s="14"/>
      <c r="AL1381" s="14"/>
      <c r="AM1381" s="14"/>
      <c r="AN1381" s="14"/>
      <c r="AO1381" s="14"/>
      <c r="AP1381" s="14"/>
      <c r="AQ1381" s="14"/>
      <c r="AR1381" s="14"/>
      <c r="AS1381" s="14"/>
      <c r="AT1381" s="14"/>
      <c r="AU1381" s="14"/>
      <c r="AV1381" s="14"/>
      <c r="AW1381" s="14"/>
      <c r="AX1381" s="14"/>
      <c r="AY1381" s="14"/>
      <c r="AZ1381" s="14"/>
      <c r="BA1381" s="14"/>
    </row>
    <row r="1382" ht="14.25" customHeight="1">
      <c r="A1382" s="10"/>
      <c r="B1382" s="12"/>
      <c r="C1382" s="12"/>
      <c r="D1382" s="12"/>
      <c r="E1382" s="44"/>
      <c r="F1382" s="12"/>
      <c r="G1382" s="12"/>
      <c r="H1382" s="45"/>
      <c r="I1382" s="45"/>
      <c r="J1382" s="12"/>
      <c r="K1382" s="12"/>
      <c r="L1382" s="14"/>
      <c r="M1382" s="14"/>
      <c r="N1382" s="14"/>
      <c r="O1382" s="14"/>
      <c r="P1382" s="14"/>
      <c r="Q1382" s="14"/>
      <c r="R1382" s="48"/>
      <c r="S1382" s="48"/>
      <c r="T1382" s="48"/>
      <c r="U1382" s="48"/>
      <c r="V1382" s="48"/>
      <c r="W1382" s="14"/>
      <c r="X1382" s="14"/>
      <c r="Y1382" s="14"/>
      <c r="Z1382" s="14"/>
      <c r="AA1382" s="14"/>
      <c r="AB1382" s="14"/>
      <c r="AC1382" s="14"/>
      <c r="AD1382" s="48"/>
      <c r="AE1382" s="48"/>
      <c r="AF1382" s="48"/>
      <c r="AG1382" s="48"/>
      <c r="AH1382" s="48"/>
      <c r="AI1382" s="14"/>
      <c r="AJ1382" s="14"/>
      <c r="AK1382" s="14"/>
      <c r="AL1382" s="14"/>
      <c r="AM1382" s="14"/>
      <c r="AN1382" s="14"/>
      <c r="AO1382" s="14"/>
      <c r="AP1382" s="14"/>
      <c r="AQ1382" s="14"/>
      <c r="AR1382" s="14"/>
      <c r="AS1382" s="14"/>
      <c r="AT1382" s="14"/>
      <c r="AU1382" s="14"/>
      <c r="AV1382" s="14"/>
      <c r="AW1382" s="14"/>
      <c r="AX1382" s="14"/>
      <c r="AY1382" s="14"/>
      <c r="AZ1382" s="14"/>
      <c r="BA1382" s="14"/>
    </row>
    <row r="1383" ht="14.25" customHeight="1">
      <c r="A1383" s="10"/>
      <c r="B1383" s="12"/>
      <c r="C1383" s="12"/>
      <c r="D1383" s="12"/>
      <c r="E1383" s="44"/>
      <c r="F1383" s="12"/>
      <c r="G1383" s="12"/>
      <c r="H1383" s="45"/>
      <c r="I1383" s="45"/>
      <c r="J1383" s="12"/>
      <c r="K1383" s="12"/>
      <c r="L1383" s="14"/>
      <c r="M1383" s="14"/>
      <c r="N1383" s="14"/>
      <c r="O1383" s="14"/>
      <c r="P1383" s="14"/>
      <c r="Q1383" s="14"/>
      <c r="R1383" s="48"/>
      <c r="S1383" s="48"/>
      <c r="T1383" s="48"/>
      <c r="U1383" s="48"/>
      <c r="V1383" s="48"/>
      <c r="W1383" s="14"/>
      <c r="X1383" s="14"/>
      <c r="Y1383" s="14"/>
      <c r="Z1383" s="14"/>
      <c r="AA1383" s="14"/>
      <c r="AB1383" s="14"/>
      <c r="AC1383" s="14"/>
      <c r="AD1383" s="48"/>
      <c r="AE1383" s="48"/>
      <c r="AF1383" s="48"/>
      <c r="AG1383" s="48"/>
      <c r="AH1383" s="48"/>
      <c r="AI1383" s="14"/>
      <c r="AJ1383" s="14"/>
      <c r="AK1383" s="14"/>
      <c r="AL1383" s="14"/>
      <c r="AM1383" s="14"/>
      <c r="AN1383" s="14"/>
      <c r="AO1383" s="14"/>
      <c r="AP1383" s="14"/>
      <c r="AQ1383" s="14"/>
      <c r="AR1383" s="14"/>
      <c r="AS1383" s="14"/>
      <c r="AT1383" s="14"/>
      <c r="AU1383" s="14"/>
      <c r="AV1383" s="14"/>
      <c r="AW1383" s="14"/>
      <c r="AX1383" s="14"/>
      <c r="AY1383" s="14"/>
      <c r="AZ1383" s="14"/>
      <c r="BA1383" s="14"/>
    </row>
    <row r="1384" ht="14.25" customHeight="1">
      <c r="A1384" s="10"/>
      <c r="B1384" s="12"/>
      <c r="C1384" s="12"/>
      <c r="D1384" s="12"/>
      <c r="E1384" s="44"/>
      <c r="F1384" s="12"/>
      <c r="G1384" s="12"/>
      <c r="H1384" s="45"/>
      <c r="I1384" s="45"/>
      <c r="J1384" s="12"/>
      <c r="K1384" s="12"/>
      <c r="L1384" s="14"/>
      <c r="M1384" s="14"/>
      <c r="N1384" s="14"/>
      <c r="O1384" s="14"/>
      <c r="P1384" s="14"/>
      <c r="Q1384" s="14"/>
      <c r="R1384" s="48"/>
      <c r="S1384" s="48"/>
      <c r="T1384" s="48"/>
      <c r="U1384" s="48"/>
      <c r="V1384" s="48"/>
      <c r="W1384" s="14"/>
      <c r="X1384" s="14"/>
      <c r="Y1384" s="14"/>
      <c r="Z1384" s="14"/>
      <c r="AA1384" s="14"/>
      <c r="AB1384" s="14"/>
      <c r="AC1384" s="14"/>
      <c r="AD1384" s="48"/>
      <c r="AE1384" s="48"/>
      <c r="AF1384" s="48"/>
      <c r="AG1384" s="48"/>
      <c r="AH1384" s="48"/>
      <c r="AI1384" s="14"/>
      <c r="AJ1384" s="14"/>
      <c r="AK1384" s="14"/>
      <c r="AL1384" s="14"/>
      <c r="AM1384" s="14"/>
      <c r="AN1384" s="14"/>
      <c r="AO1384" s="14"/>
      <c r="AP1384" s="14"/>
      <c r="AQ1384" s="14"/>
      <c r="AR1384" s="14"/>
      <c r="AS1384" s="14"/>
      <c r="AT1384" s="14"/>
      <c r="AU1384" s="14"/>
      <c r="AV1384" s="14"/>
      <c r="AW1384" s="14"/>
      <c r="AX1384" s="14"/>
      <c r="AY1384" s="14"/>
      <c r="AZ1384" s="14"/>
      <c r="BA1384" s="14"/>
    </row>
    <row r="1385" ht="14.25" customHeight="1">
      <c r="A1385" s="10"/>
      <c r="B1385" s="12"/>
      <c r="C1385" s="12"/>
      <c r="D1385" s="12"/>
      <c r="E1385" s="44"/>
      <c r="F1385" s="12"/>
      <c r="G1385" s="12"/>
      <c r="H1385" s="45"/>
      <c r="I1385" s="45"/>
      <c r="J1385" s="12"/>
      <c r="K1385" s="12"/>
      <c r="L1385" s="14"/>
      <c r="M1385" s="14"/>
      <c r="N1385" s="14"/>
      <c r="O1385" s="14"/>
      <c r="P1385" s="14"/>
      <c r="Q1385" s="14"/>
      <c r="R1385" s="48"/>
      <c r="S1385" s="48"/>
      <c r="T1385" s="48"/>
      <c r="U1385" s="48"/>
      <c r="V1385" s="48"/>
      <c r="W1385" s="14"/>
      <c r="X1385" s="14"/>
      <c r="Y1385" s="14"/>
      <c r="Z1385" s="14"/>
      <c r="AA1385" s="14"/>
      <c r="AB1385" s="14"/>
      <c r="AC1385" s="14"/>
      <c r="AD1385" s="48"/>
      <c r="AE1385" s="48"/>
      <c r="AF1385" s="48"/>
      <c r="AG1385" s="48"/>
      <c r="AH1385" s="48"/>
      <c r="AI1385" s="14"/>
      <c r="AJ1385" s="14"/>
      <c r="AK1385" s="14"/>
      <c r="AL1385" s="14"/>
      <c r="AM1385" s="14"/>
      <c r="AN1385" s="14"/>
      <c r="AO1385" s="14"/>
      <c r="AP1385" s="14"/>
      <c r="AQ1385" s="14"/>
      <c r="AR1385" s="14"/>
      <c r="AS1385" s="14"/>
      <c r="AT1385" s="14"/>
      <c r="AU1385" s="14"/>
      <c r="AV1385" s="14"/>
      <c r="AW1385" s="14"/>
      <c r="AX1385" s="14"/>
      <c r="AY1385" s="14"/>
      <c r="AZ1385" s="14"/>
      <c r="BA1385" s="14"/>
    </row>
    <row r="1386" ht="14.25" customHeight="1">
      <c r="A1386" s="10"/>
      <c r="B1386" s="12"/>
      <c r="C1386" s="12"/>
      <c r="D1386" s="12"/>
      <c r="E1386" s="44"/>
      <c r="F1386" s="12"/>
      <c r="G1386" s="12"/>
      <c r="H1386" s="45"/>
      <c r="I1386" s="45"/>
      <c r="J1386" s="12"/>
      <c r="K1386" s="12"/>
      <c r="L1386" s="14"/>
      <c r="M1386" s="14"/>
      <c r="N1386" s="14"/>
      <c r="O1386" s="14"/>
      <c r="P1386" s="14"/>
      <c r="Q1386" s="14"/>
      <c r="R1386" s="48"/>
      <c r="S1386" s="48"/>
      <c r="T1386" s="48"/>
      <c r="U1386" s="48"/>
      <c r="V1386" s="48"/>
      <c r="W1386" s="14"/>
      <c r="X1386" s="14"/>
      <c r="Y1386" s="14"/>
      <c r="Z1386" s="14"/>
      <c r="AA1386" s="14"/>
      <c r="AB1386" s="14"/>
      <c r="AC1386" s="14"/>
      <c r="AD1386" s="48"/>
      <c r="AE1386" s="48"/>
      <c r="AF1386" s="48"/>
      <c r="AG1386" s="48"/>
      <c r="AH1386" s="48"/>
      <c r="AI1386" s="14"/>
      <c r="AJ1386" s="14"/>
      <c r="AK1386" s="14"/>
      <c r="AL1386" s="14"/>
      <c r="AM1386" s="14"/>
      <c r="AN1386" s="14"/>
      <c r="AO1386" s="14"/>
      <c r="AP1386" s="14"/>
      <c r="AQ1386" s="14"/>
      <c r="AR1386" s="14"/>
      <c r="AS1386" s="14"/>
      <c r="AT1386" s="14"/>
      <c r="AU1386" s="14"/>
      <c r="AV1386" s="14"/>
      <c r="AW1386" s="14"/>
      <c r="AX1386" s="14"/>
      <c r="AY1386" s="14"/>
      <c r="AZ1386" s="14"/>
      <c r="BA1386" s="14"/>
    </row>
    <row r="1387" ht="14.25" customHeight="1">
      <c r="A1387" s="10"/>
      <c r="B1387" s="12"/>
      <c r="C1387" s="12"/>
      <c r="D1387" s="12"/>
      <c r="E1387" s="44"/>
      <c r="F1387" s="12"/>
      <c r="G1387" s="12"/>
      <c r="H1387" s="45"/>
      <c r="I1387" s="45"/>
      <c r="J1387" s="12"/>
      <c r="K1387" s="12"/>
      <c r="L1387" s="14"/>
      <c r="M1387" s="14"/>
      <c r="N1387" s="14"/>
      <c r="O1387" s="14"/>
      <c r="P1387" s="14"/>
      <c r="Q1387" s="14"/>
      <c r="R1387" s="48"/>
      <c r="S1387" s="48"/>
      <c r="T1387" s="48"/>
      <c r="U1387" s="48"/>
      <c r="V1387" s="48"/>
      <c r="W1387" s="14"/>
      <c r="X1387" s="14"/>
      <c r="Y1387" s="14"/>
      <c r="Z1387" s="14"/>
      <c r="AA1387" s="14"/>
      <c r="AB1387" s="14"/>
      <c r="AC1387" s="14"/>
      <c r="AD1387" s="48"/>
      <c r="AE1387" s="48"/>
      <c r="AF1387" s="48"/>
      <c r="AG1387" s="48"/>
      <c r="AH1387" s="48"/>
      <c r="AI1387" s="14"/>
      <c r="AJ1387" s="14"/>
      <c r="AK1387" s="14"/>
      <c r="AL1387" s="14"/>
      <c r="AM1387" s="14"/>
      <c r="AN1387" s="14"/>
      <c r="AO1387" s="14"/>
      <c r="AP1387" s="14"/>
      <c r="AQ1387" s="14"/>
      <c r="AR1387" s="14"/>
      <c r="AS1387" s="14"/>
      <c r="AT1387" s="14"/>
      <c r="AU1387" s="14"/>
      <c r="AV1387" s="14"/>
      <c r="AW1387" s="14"/>
      <c r="AX1387" s="14"/>
      <c r="AY1387" s="14"/>
      <c r="AZ1387" s="14"/>
      <c r="BA1387" s="14"/>
    </row>
    <row r="1388" ht="14.25" customHeight="1">
      <c r="A1388" s="10"/>
      <c r="B1388" s="12"/>
      <c r="C1388" s="12"/>
      <c r="D1388" s="12"/>
      <c r="E1388" s="44"/>
      <c r="F1388" s="12"/>
      <c r="G1388" s="12"/>
      <c r="H1388" s="45"/>
      <c r="I1388" s="45"/>
      <c r="J1388" s="12"/>
      <c r="K1388" s="12"/>
      <c r="L1388" s="14"/>
      <c r="M1388" s="14"/>
      <c r="N1388" s="14"/>
      <c r="O1388" s="14"/>
      <c r="P1388" s="14"/>
      <c r="Q1388" s="14"/>
      <c r="R1388" s="48"/>
      <c r="S1388" s="48"/>
      <c r="T1388" s="48"/>
      <c r="U1388" s="48"/>
      <c r="V1388" s="48"/>
      <c r="W1388" s="14"/>
      <c r="X1388" s="14"/>
      <c r="Y1388" s="14"/>
      <c r="Z1388" s="14"/>
      <c r="AA1388" s="14"/>
      <c r="AB1388" s="14"/>
      <c r="AC1388" s="14"/>
      <c r="AD1388" s="48"/>
      <c r="AE1388" s="48"/>
      <c r="AF1388" s="48"/>
      <c r="AG1388" s="48"/>
      <c r="AH1388" s="48"/>
      <c r="AI1388" s="14"/>
      <c r="AJ1388" s="14"/>
      <c r="AK1388" s="14"/>
      <c r="AL1388" s="14"/>
      <c r="AM1388" s="14"/>
      <c r="AN1388" s="14"/>
      <c r="AO1388" s="14"/>
      <c r="AP1388" s="14"/>
      <c r="AQ1388" s="14"/>
      <c r="AR1388" s="14"/>
      <c r="AS1388" s="14"/>
      <c r="AT1388" s="14"/>
      <c r="AU1388" s="14"/>
      <c r="AV1388" s="14"/>
      <c r="AW1388" s="14"/>
      <c r="AX1388" s="14"/>
      <c r="AY1388" s="14"/>
      <c r="AZ1388" s="14"/>
      <c r="BA1388" s="14"/>
    </row>
    <row r="1389" ht="14.25" customHeight="1">
      <c r="A1389" s="10"/>
      <c r="B1389" s="12"/>
      <c r="C1389" s="12"/>
      <c r="D1389" s="12"/>
      <c r="E1389" s="44"/>
      <c r="F1389" s="12"/>
      <c r="G1389" s="12"/>
      <c r="H1389" s="45"/>
      <c r="I1389" s="45"/>
      <c r="J1389" s="12"/>
      <c r="K1389" s="12"/>
      <c r="L1389" s="14"/>
      <c r="M1389" s="14"/>
      <c r="N1389" s="14"/>
      <c r="O1389" s="14"/>
      <c r="P1389" s="14"/>
      <c r="Q1389" s="14"/>
      <c r="R1389" s="48"/>
      <c r="S1389" s="48"/>
      <c r="T1389" s="48"/>
      <c r="U1389" s="48"/>
      <c r="V1389" s="48"/>
      <c r="W1389" s="14"/>
      <c r="X1389" s="14"/>
      <c r="Y1389" s="14"/>
      <c r="Z1389" s="14"/>
      <c r="AA1389" s="14"/>
      <c r="AB1389" s="14"/>
      <c r="AC1389" s="14"/>
      <c r="AD1389" s="48"/>
      <c r="AE1389" s="48"/>
      <c r="AF1389" s="48"/>
      <c r="AG1389" s="48"/>
      <c r="AH1389" s="48"/>
      <c r="AI1389" s="14"/>
      <c r="AJ1389" s="14"/>
      <c r="AK1389" s="14"/>
      <c r="AL1389" s="14"/>
      <c r="AM1389" s="14"/>
      <c r="AN1389" s="14"/>
      <c r="AO1389" s="14"/>
      <c r="AP1389" s="14"/>
      <c r="AQ1389" s="14"/>
      <c r="AR1389" s="14"/>
      <c r="AS1389" s="14"/>
      <c r="AT1389" s="14"/>
      <c r="AU1389" s="14"/>
      <c r="AV1389" s="14"/>
      <c r="AW1389" s="14"/>
      <c r="AX1389" s="14"/>
      <c r="AY1389" s="14"/>
      <c r="AZ1389" s="14"/>
      <c r="BA1389" s="14"/>
    </row>
    <row r="1390" ht="14.25" customHeight="1">
      <c r="A1390" s="10"/>
      <c r="B1390" s="12"/>
      <c r="C1390" s="12"/>
      <c r="D1390" s="12"/>
      <c r="E1390" s="44"/>
      <c r="F1390" s="12"/>
      <c r="G1390" s="12"/>
      <c r="H1390" s="45"/>
      <c r="I1390" s="45"/>
      <c r="J1390" s="12"/>
      <c r="K1390" s="12"/>
      <c r="L1390" s="14"/>
      <c r="M1390" s="14"/>
      <c r="N1390" s="14"/>
      <c r="O1390" s="14"/>
      <c r="P1390" s="14"/>
      <c r="Q1390" s="14"/>
      <c r="R1390" s="48"/>
      <c r="S1390" s="48"/>
      <c r="T1390" s="48"/>
      <c r="U1390" s="48"/>
      <c r="V1390" s="48"/>
      <c r="W1390" s="14"/>
      <c r="X1390" s="14"/>
      <c r="Y1390" s="14"/>
      <c r="Z1390" s="14"/>
      <c r="AA1390" s="14"/>
      <c r="AB1390" s="14"/>
      <c r="AC1390" s="14"/>
      <c r="AD1390" s="48"/>
      <c r="AE1390" s="48"/>
      <c r="AF1390" s="48"/>
      <c r="AG1390" s="48"/>
      <c r="AH1390" s="48"/>
      <c r="AI1390" s="14"/>
      <c r="AJ1390" s="14"/>
      <c r="AK1390" s="14"/>
      <c r="AL1390" s="14"/>
      <c r="AM1390" s="14"/>
      <c r="AN1390" s="14"/>
      <c r="AO1390" s="14"/>
      <c r="AP1390" s="14"/>
      <c r="AQ1390" s="14"/>
      <c r="AR1390" s="14"/>
      <c r="AS1390" s="14"/>
      <c r="AT1390" s="14"/>
      <c r="AU1390" s="14"/>
      <c r="AV1390" s="14"/>
      <c r="AW1390" s="14"/>
      <c r="AX1390" s="14"/>
      <c r="AY1390" s="14"/>
      <c r="AZ1390" s="14"/>
      <c r="BA1390" s="14"/>
    </row>
    <row r="1391" ht="14.25" customHeight="1">
      <c r="A1391" s="10"/>
      <c r="B1391" s="12"/>
      <c r="C1391" s="12"/>
      <c r="D1391" s="12"/>
      <c r="E1391" s="44"/>
      <c r="F1391" s="12"/>
      <c r="G1391" s="12"/>
      <c r="H1391" s="45"/>
      <c r="I1391" s="45"/>
      <c r="J1391" s="12"/>
      <c r="K1391" s="12"/>
      <c r="L1391" s="14"/>
      <c r="M1391" s="14"/>
      <c r="N1391" s="14"/>
      <c r="O1391" s="14"/>
      <c r="P1391" s="14"/>
      <c r="Q1391" s="14"/>
      <c r="R1391" s="48"/>
      <c r="S1391" s="48"/>
      <c r="T1391" s="48"/>
      <c r="U1391" s="48"/>
      <c r="V1391" s="48"/>
      <c r="W1391" s="14"/>
      <c r="X1391" s="14"/>
      <c r="Y1391" s="14"/>
      <c r="Z1391" s="14"/>
      <c r="AA1391" s="14"/>
      <c r="AB1391" s="14"/>
      <c r="AC1391" s="14"/>
      <c r="AD1391" s="48"/>
      <c r="AE1391" s="48"/>
      <c r="AF1391" s="48"/>
      <c r="AG1391" s="48"/>
      <c r="AH1391" s="48"/>
      <c r="AI1391" s="14"/>
      <c r="AJ1391" s="14"/>
      <c r="AK1391" s="14"/>
      <c r="AL1391" s="14"/>
      <c r="AM1391" s="14"/>
      <c r="AN1391" s="14"/>
      <c r="AO1391" s="14"/>
      <c r="AP1391" s="14"/>
      <c r="AQ1391" s="14"/>
      <c r="AR1391" s="14"/>
      <c r="AS1391" s="14"/>
      <c r="AT1391" s="14"/>
      <c r="AU1391" s="14"/>
      <c r="AV1391" s="14"/>
      <c r="AW1391" s="14"/>
      <c r="AX1391" s="14"/>
      <c r="AY1391" s="14"/>
      <c r="AZ1391" s="14"/>
      <c r="BA1391" s="14"/>
    </row>
    <row r="1392" ht="14.25" customHeight="1">
      <c r="A1392" s="10"/>
      <c r="B1392" s="12"/>
      <c r="C1392" s="12"/>
      <c r="D1392" s="12"/>
      <c r="E1392" s="44"/>
      <c r="F1392" s="12"/>
      <c r="G1392" s="12"/>
      <c r="H1392" s="45"/>
      <c r="I1392" s="45"/>
      <c r="J1392" s="12"/>
      <c r="K1392" s="12"/>
      <c r="L1392" s="14"/>
      <c r="M1392" s="14"/>
      <c r="N1392" s="14"/>
      <c r="O1392" s="14"/>
      <c r="P1392" s="14"/>
      <c r="Q1392" s="14"/>
      <c r="R1392" s="48"/>
      <c r="S1392" s="48"/>
      <c r="T1392" s="48"/>
      <c r="U1392" s="48"/>
      <c r="V1392" s="48"/>
      <c r="W1392" s="14"/>
      <c r="X1392" s="14"/>
      <c r="Y1392" s="14"/>
      <c r="Z1392" s="14"/>
      <c r="AA1392" s="14"/>
      <c r="AB1392" s="14"/>
      <c r="AC1392" s="14"/>
      <c r="AD1392" s="48"/>
      <c r="AE1392" s="48"/>
      <c r="AF1392" s="48"/>
      <c r="AG1392" s="48"/>
      <c r="AH1392" s="48"/>
      <c r="AI1392" s="14"/>
      <c r="AJ1392" s="14"/>
      <c r="AK1392" s="14"/>
      <c r="AL1392" s="14"/>
      <c r="AM1392" s="14"/>
      <c r="AN1392" s="14"/>
      <c r="AO1392" s="14"/>
      <c r="AP1392" s="14"/>
      <c r="AQ1392" s="14"/>
      <c r="AR1392" s="14"/>
      <c r="AS1392" s="14"/>
      <c r="AT1392" s="14"/>
      <c r="AU1392" s="14"/>
      <c r="AV1392" s="14"/>
      <c r="AW1392" s="14"/>
      <c r="AX1392" s="14"/>
      <c r="AY1392" s="14"/>
      <c r="AZ1392" s="14"/>
      <c r="BA1392" s="14"/>
    </row>
    <row r="1393" ht="14.25" customHeight="1">
      <c r="A1393" s="10"/>
      <c r="B1393" s="12"/>
      <c r="C1393" s="12"/>
      <c r="D1393" s="12"/>
      <c r="E1393" s="44"/>
      <c r="F1393" s="12"/>
      <c r="G1393" s="12"/>
      <c r="H1393" s="45"/>
      <c r="I1393" s="45"/>
      <c r="J1393" s="12"/>
      <c r="K1393" s="12"/>
      <c r="L1393" s="14"/>
      <c r="M1393" s="14"/>
      <c r="N1393" s="14"/>
      <c r="O1393" s="14"/>
      <c r="P1393" s="14"/>
      <c r="Q1393" s="14"/>
      <c r="R1393" s="48"/>
      <c r="S1393" s="48"/>
      <c r="T1393" s="48"/>
      <c r="U1393" s="48"/>
      <c r="V1393" s="48"/>
      <c r="W1393" s="14"/>
      <c r="X1393" s="14"/>
      <c r="Y1393" s="14"/>
      <c r="Z1393" s="14"/>
      <c r="AA1393" s="14"/>
      <c r="AB1393" s="14"/>
      <c r="AC1393" s="14"/>
      <c r="AD1393" s="48"/>
      <c r="AE1393" s="48"/>
      <c r="AF1393" s="48"/>
      <c r="AG1393" s="48"/>
      <c r="AH1393" s="48"/>
      <c r="AI1393" s="14"/>
      <c r="AJ1393" s="14"/>
      <c r="AK1393" s="14"/>
      <c r="AL1393" s="14"/>
      <c r="AM1393" s="14"/>
      <c r="AN1393" s="14"/>
      <c r="AO1393" s="14"/>
      <c r="AP1393" s="14"/>
      <c r="AQ1393" s="14"/>
      <c r="AR1393" s="14"/>
      <c r="AS1393" s="14"/>
      <c r="AT1393" s="14"/>
      <c r="AU1393" s="14"/>
      <c r="AV1393" s="14"/>
      <c r="AW1393" s="14"/>
      <c r="AX1393" s="14"/>
      <c r="AY1393" s="14"/>
      <c r="AZ1393" s="14"/>
      <c r="BA1393" s="14"/>
    </row>
    <row r="1394" ht="14.25" customHeight="1">
      <c r="A1394" s="10"/>
      <c r="B1394" s="12"/>
      <c r="C1394" s="12"/>
      <c r="D1394" s="12"/>
      <c r="E1394" s="44"/>
      <c r="F1394" s="12"/>
      <c r="G1394" s="12"/>
      <c r="H1394" s="45"/>
      <c r="I1394" s="45"/>
      <c r="J1394" s="12"/>
      <c r="K1394" s="12"/>
      <c r="L1394" s="14"/>
      <c r="M1394" s="14"/>
      <c r="N1394" s="14"/>
      <c r="O1394" s="14"/>
      <c r="P1394" s="14"/>
      <c r="Q1394" s="14"/>
      <c r="R1394" s="48"/>
      <c r="S1394" s="48"/>
      <c r="T1394" s="48"/>
      <c r="U1394" s="48"/>
      <c r="V1394" s="48"/>
      <c r="W1394" s="14"/>
      <c r="X1394" s="14"/>
      <c r="Y1394" s="14"/>
      <c r="Z1394" s="14"/>
      <c r="AA1394" s="14"/>
      <c r="AB1394" s="14"/>
      <c r="AC1394" s="14"/>
      <c r="AD1394" s="48"/>
      <c r="AE1394" s="48"/>
      <c r="AF1394" s="48"/>
      <c r="AG1394" s="48"/>
      <c r="AH1394" s="48"/>
      <c r="AI1394" s="14"/>
      <c r="AJ1394" s="14"/>
      <c r="AK1394" s="14"/>
      <c r="AL1394" s="14"/>
      <c r="AM1394" s="14"/>
      <c r="AN1394" s="14"/>
      <c r="AO1394" s="14"/>
      <c r="AP1394" s="14"/>
      <c r="AQ1394" s="14"/>
      <c r="AR1394" s="14"/>
      <c r="AS1394" s="14"/>
      <c r="AT1394" s="14"/>
      <c r="AU1394" s="14"/>
      <c r="AV1394" s="14"/>
      <c r="AW1394" s="14"/>
      <c r="AX1394" s="14"/>
      <c r="AY1394" s="14"/>
      <c r="AZ1394" s="14"/>
      <c r="BA1394" s="14"/>
    </row>
    <row r="1395" ht="14.25" customHeight="1">
      <c r="A1395" s="10"/>
      <c r="B1395" s="12"/>
      <c r="C1395" s="12"/>
      <c r="D1395" s="12"/>
      <c r="E1395" s="44"/>
      <c r="F1395" s="12"/>
      <c r="G1395" s="12"/>
      <c r="H1395" s="45"/>
      <c r="I1395" s="45"/>
      <c r="J1395" s="12"/>
      <c r="K1395" s="12"/>
      <c r="L1395" s="14"/>
      <c r="M1395" s="14"/>
      <c r="N1395" s="14"/>
      <c r="O1395" s="14"/>
      <c r="P1395" s="14"/>
      <c r="Q1395" s="14"/>
      <c r="R1395" s="48"/>
      <c r="S1395" s="48"/>
      <c r="T1395" s="48"/>
      <c r="U1395" s="48"/>
      <c r="V1395" s="48"/>
      <c r="W1395" s="14"/>
      <c r="X1395" s="14"/>
      <c r="Y1395" s="14"/>
      <c r="Z1395" s="14"/>
      <c r="AA1395" s="14"/>
      <c r="AB1395" s="14"/>
      <c r="AC1395" s="14"/>
      <c r="AD1395" s="48"/>
      <c r="AE1395" s="48"/>
      <c r="AF1395" s="48"/>
      <c r="AG1395" s="48"/>
      <c r="AH1395" s="48"/>
      <c r="AI1395" s="14"/>
      <c r="AJ1395" s="14"/>
      <c r="AK1395" s="14"/>
      <c r="AL1395" s="14"/>
      <c r="AM1395" s="14"/>
      <c r="AN1395" s="14"/>
      <c r="AO1395" s="14"/>
      <c r="AP1395" s="14"/>
      <c r="AQ1395" s="14"/>
      <c r="AR1395" s="14"/>
      <c r="AS1395" s="14"/>
      <c r="AT1395" s="14"/>
      <c r="AU1395" s="14"/>
      <c r="AV1395" s="14"/>
      <c r="AW1395" s="14"/>
      <c r="AX1395" s="14"/>
      <c r="AY1395" s="14"/>
      <c r="AZ1395" s="14"/>
      <c r="BA1395" s="14"/>
    </row>
    <row r="1396" ht="14.25" customHeight="1">
      <c r="A1396" s="10"/>
      <c r="B1396" s="12"/>
      <c r="C1396" s="12"/>
      <c r="D1396" s="12"/>
      <c r="E1396" s="44"/>
      <c r="F1396" s="12"/>
      <c r="G1396" s="12"/>
      <c r="H1396" s="45"/>
      <c r="I1396" s="45"/>
      <c r="J1396" s="12"/>
      <c r="K1396" s="12"/>
      <c r="L1396" s="14"/>
      <c r="M1396" s="14"/>
      <c r="N1396" s="14"/>
      <c r="O1396" s="14"/>
      <c r="P1396" s="14"/>
      <c r="Q1396" s="14"/>
      <c r="R1396" s="48"/>
      <c r="S1396" s="48"/>
      <c r="T1396" s="48"/>
      <c r="U1396" s="48"/>
      <c r="V1396" s="48"/>
      <c r="W1396" s="14"/>
      <c r="X1396" s="14"/>
      <c r="Y1396" s="14"/>
      <c r="Z1396" s="14"/>
      <c r="AA1396" s="14"/>
      <c r="AB1396" s="14"/>
      <c r="AC1396" s="14"/>
      <c r="AD1396" s="48"/>
      <c r="AE1396" s="48"/>
      <c r="AF1396" s="48"/>
      <c r="AG1396" s="48"/>
      <c r="AH1396" s="48"/>
      <c r="AI1396" s="14"/>
      <c r="AJ1396" s="14"/>
      <c r="AK1396" s="14"/>
      <c r="AL1396" s="14"/>
      <c r="AM1396" s="14"/>
      <c r="AN1396" s="14"/>
      <c r="AO1396" s="14"/>
      <c r="AP1396" s="14"/>
      <c r="AQ1396" s="14"/>
      <c r="AR1396" s="14"/>
      <c r="AS1396" s="14"/>
      <c r="AT1396" s="14"/>
      <c r="AU1396" s="14"/>
      <c r="AV1396" s="14"/>
      <c r="AW1396" s="14"/>
      <c r="AX1396" s="14"/>
      <c r="AY1396" s="14"/>
      <c r="AZ1396" s="14"/>
      <c r="BA1396" s="14"/>
    </row>
    <row r="1397" ht="14.25" customHeight="1">
      <c r="A1397" s="10"/>
      <c r="B1397" s="12"/>
      <c r="C1397" s="12"/>
      <c r="D1397" s="12"/>
      <c r="E1397" s="44"/>
      <c r="F1397" s="12"/>
      <c r="G1397" s="12"/>
      <c r="H1397" s="45"/>
      <c r="I1397" s="45"/>
      <c r="J1397" s="12"/>
      <c r="K1397" s="12"/>
      <c r="L1397" s="14"/>
      <c r="M1397" s="14"/>
      <c r="N1397" s="14"/>
      <c r="O1397" s="14"/>
      <c r="P1397" s="14"/>
      <c r="Q1397" s="14"/>
      <c r="R1397" s="48"/>
      <c r="S1397" s="48"/>
      <c r="T1397" s="48"/>
      <c r="U1397" s="48"/>
      <c r="V1397" s="48"/>
      <c r="W1397" s="14"/>
      <c r="X1397" s="14"/>
      <c r="Y1397" s="14"/>
      <c r="Z1397" s="14"/>
      <c r="AA1397" s="14"/>
      <c r="AB1397" s="14"/>
      <c r="AC1397" s="14"/>
      <c r="AD1397" s="48"/>
      <c r="AE1397" s="48"/>
      <c r="AF1397" s="48"/>
      <c r="AG1397" s="48"/>
      <c r="AH1397" s="48"/>
      <c r="AI1397" s="14"/>
      <c r="AJ1397" s="14"/>
      <c r="AK1397" s="14"/>
      <c r="AL1397" s="14"/>
      <c r="AM1397" s="14"/>
      <c r="AN1397" s="14"/>
      <c r="AO1397" s="14"/>
      <c r="AP1397" s="14"/>
      <c r="AQ1397" s="14"/>
      <c r="AR1397" s="14"/>
      <c r="AS1397" s="14"/>
      <c r="AT1397" s="14"/>
      <c r="AU1397" s="14"/>
      <c r="AV1397" s="14"/>
      <c r="AW1397" s="14"/>
      <c r="AX1397" s="14"/>
      <c r="AY1397" s="14"/>
      <c r="AZ1397" s="14"/>
      <c r="BA1397" s="14"/>
    </row>
    <row r="1398" ht="14.25" customHeight="1">
      <c r="A1398" s="10"/>
      <c r="B1398" s="12"/>
      <c r="C1398" s="12"/>
      <c r="D1398" s="12"/>
      <c r="E1398" s="44"/>
      <c r="F1398" s="12"/>
      <c r="G1398" s="12"/>
      <c r="H1398" s="45"/>
      <c r="I1398" s="45"/>
      <c r="J1398" s="12"/>
      <c r="K1398" s="12"/>
      <c r="L1398" s="14"/>
      <c r="M1398" s="14"/>
      <c r="N1398" s="14"/>
      <c r="O1398" s="14"/>
      <c r="P1398" s="14"/>
      <c r="Q1398" s="14"/>
      <c r="R1398" s="48"/>
      <c r="S1398" s="48"/>
      <c r="T1398" s="48"/>
      <c r="U1398" s="48"/>
      <c r="V1398" s="48"/>
      <c r="W1398" s="14"/>
      <c r="X1398" s="14"/>
      <c r="Y1398" s="14"/>
      <c r="Z1398" s="14"/>
      <c r="AA1398" s="14"/>
      <c r="AB1398" s="14"/>
      <c r="AC1398" s="14"/>
      <c r="AD1398" s="48"/>
      <c r="AE1398" s="48"/>
      <c r="AF1398" s="48"/>
      <c r="AG1398" s="48"/>
      <c r="AH1398" s="48"/>
      <c r="AI1398" s="14"/>
      <c r="AJ1398" s="14"/>
      <c r="AK1398" s="14"/>
      <c r="AL1398" s="14"/>
      <c r="AM1398" s="14"/>
      <c r="AN1398" s="14"/>
      <c r="AO1398" s="14"/>
      <c r="AP1398" s="14"/>
      <c r="AQ1398" s="14"/>
      <c r="AR1398" s="14"/>
      <c r="AS1398" s="14"/>
      <c r="AT1398" s="14"/>
      <c r="AU1398" s="14"/>
      <c r="AV1398" s="14"/>
      <c r="AW1398" s="14"/>
      <c r="AX1398" s="14"/>
      <c r="AY1398" s="14"/>
      <c r="AZ1398" s="14"/>
      <c r="BA1398" s="14"/>
    </row>
    <row r="1399" ht="14.25" customHeight="1">
      <c r="A1399" s="10"/>
      <c r="B1399" s="12"/>
      <c r="C1399" s="12"/>
      <c r="D1399" s="12"/>
      <c r="E1399" s="44"/>
      <c r="F1399" s="12"/>
      <c r="G1399" s="12"/>
      <c r="H1399" s="45"/>
      <c r="I1399" s="45"/>
      <c r="J1399" s="12"/>
      <c r="K1399" s="12"/>
      <c r="L1399" s="14"/>
      <c r="M1399" s="14"/>
      <c r="N1399" s="14"/>
      <c r="O1399" s="14"/>
      <c r="P1399" s="14"/>
      <c r="Q1399" s="14"/>
      <c r="R1399" s="48"/>
      <c r="S1399" s="48"/>
      <c r="T1399" s="48"/>
      <c r="U1399" s="48"/>
      <c r="V1399" s="48"/>
      <c r="W1399" s="14"/>
      <c r="X1399" s="14"/>
      <c r="Y1399" s="14"/>
      <c r="Z1399" s="14"/>
      <c r="AA1399" s="14"/>
      <c r="AB1399" s="14"/>
      <c r="AC1399" s="14"/>
      <c r="AD1399" s="48"/>
      <c r="AE1399" s="48"/>
      <c r="AF1399" s="48"/>
      <c r="AG1399" s="48"/>
      <c r="AH1399" s="48"/>
      <c r="AI1399" s="14"/>
      <c r="AJ1399" s="14"/>
      <c r="AK1399" s="14"/>
      <c r="AL1399" s="14"/>
      <c r="AM1399" s="14"/>
      <c r="AN1399" s="14"/>
      <c r="AO1399" s="14"/>
      <c r="AP1399" s="14"/>
      <c r="AQ1399" s="14"/>
      <c r="AR1399" s="14"/>
      <c r="AS1399" s="14"/>
      <c r="AT1399" s="14"/>
      <c r="AU1399" s="14"/>
      <c r="AV1399" s="14"/>
      <c r="AW1399" s="14"/>
      <c r="AX1399" s="14"/>
      <c r="AY1399" s="14"/>
      <c r="AZ1399" s="14"/>
      <c r="BA1399" s="14"/>
    </row>
    <row r="1400" ht="14.25" customHeight="1">
      <c r="A1400" s="10"/>
      <c r="B1400" s="12"/>
      <c r="C1400" s="12"/>
      <c r="D1400" s="12"/>
      <c r="E1400" s="44"/>
      <c r="F1400" s="12"/>
      <c r="G1400" s="12"/>
      <c r="H1400" s="45"/>
      <c r="I1400" s="45"/>
      <c r="J1400" s="12"/>
      <c r="K1400" s="12"/>
      <c r="L1400" s="14"/>
      <c r="M1400" s="14"/>
      <c r="N1400" s="14"/>
      <c r="O1400" s="14"/>
      <c r="P1400" s="14"/>
      <c r="Q1400" s="14"/>
      <c r="R1400" s="48"/>
      <c r="S1400" s="48"/>
      <c r="T1400" s="48"/>
      <c r="U1400" s="48"/>
      <c r="V1400" s="48"/>
      <c r="W1400" s="14"/>
      <c r="X1400" s="14"/>
      <c r="Y1400" s="14"/>
      <c r="Z1400" s="14"/>
      <c r="AA1400" s="14"/>
      <c r="AB1400" s="14"/>
      <c r="AC1400" s="14"/>
      <c r="AD1400" s="48"/>
      <c r="AE1400" s="48"/>
      <c r="AF1400" s="48"/>
      <c r="AG1400" s="48"/>
      <c r="AH1400" s="48"/>
      <c r="AI1400" s="14"/>
      <c r="AJ1400" s="14"/>
      <c r="AK1400" s="14"/>
      <c r="AL1400" s="14"/>
      <c r="AM1400" s="14"/>
      <c r="AN1400" s="14"/>
      <c r="AO1400" s="14"/>
      <c r="AP1400" s="14"/>
      <c r="AQ1400" s="14"/>
      <c r="AR1400" s="14"/>
      <c r="AS1400" s="14"/>
      <c r="AT1400" s="14"/>
      <c r="AU1400" s="14"/>
      <c r="AV1400" s="14"/>
      <c r="AW1400" s="14"/>
      <c r="AX1400" s="14"/>
      <c r="AY1400" s="14"/>
      <c r="AZ1400" s="14"/>
      <c r="BA1400" s="14"/>
    </row>
    <row r="1401" ht="14.25" customHeight="1">
      <c r="A1401" s="10"/>
      <c r="B1401" s="12"/>
      <c r="C1401" s="12"/>
      <c r="D1401" s="12"/>
      <c r="E1401" s="44"/>
      <c r="F1401" s="12"/>
      <c r="G1401" s="12"/>
      <c r="H1401" s="45"/>
      <c r="I1401" s="45"/>
      <c r="J1401" s="12"/>
      <c r="K1401" s="12"/>
      <c r="L1401" s="14"/>
      <c r="M1401" s="14"/>
      <c r="N1401" s="14"/>
      <c r="O1401" s="14"/>
      <c r="P1401" s="14"/>
      <c r="Q1401" s="14"/>
      <c r="R1401" s="48"/>
      <c r="S1401" s="48"/>
      <c r="T1401" s="48"/>
      <c r="U1401" s="48"/>
      <c r="V1401" s="48"/>
      <c r="W1401" s="14"/>
      <c r="X1401" s="14"/>
      <c r="Y1401" s="14"/>
      <c r="Z1401" s="14"/>
      <c r="AA1401" s="14"/>
      <c r="AB1401" s="14"/>
      <c r="AC1401" s="14"/>
      <c r="AD1401" s="48"/>
      <c r="AE1401" s="48"/>
      <c r="AF1401" s="48"/>
      <c r="AG1401" s="48"/>
      <c r="AH1401" s="48"/>
      <c r="AI1401" s="14"/>
      <c r="AJ1401" s="14"/>
      <c r="AK1401" s="14"/>
      <c r="AL1401" s="14"/>
      <c r="AM1401" s="14"/>
      <c r="AN1401" s="14"/>
      <c r="AO1401" s="14"/>
      <c r="AP1401" s="14"/>
      <c r="AQ1401" s="14"/>
      <c r="AR1401" s="14"/>
      <c r="AS1401" s="14"/>
      <c r="AT1401" s="14"/>
      <c r="AU1401" s="14"/>
      <c r="AV1401" s="14"/>
      <c r="AW1401" s="14"/>
      <c r="AX1401" s="14"/>
      <c r="AY1401" s="14"/>
      <c r="AZ1401" s="14"/>
      <c r="BA1401" s="14"/>
    </row>
    <row r="1402" ht="14.25" customHeight="1">
      <c r="A1402" s="10"/>
      <c r="B1402" s="12"/>
      <c r="C1402" s="12"/>
      <c r="D1402" s="12"/>
      <c r="E1402" s="44"/>
      <c r="F1402" s="12"/>
      <c r="G1402" s="12"/>
      <c r="H1402" s="45"/>
      <c r="I1402" s="45"/>
      <c r="J1402" s="12"/>
      <c r="K1402" s="12"/>
      <c r="L1402" s="14"/>
      <c r="M1402" s="14"/>
      <c r="N1402" s="14"/>
      <c r="O1402" s="14"/>
      <c r="P1402" s="14"/>
      <c r="Q1402" s="14"/>
      <c r="R1402" s="48"/>
      <c r="S1402" s="48"/>
      <c r="T1402" s="48"/>
      <c r="U1402" s="48"/>
      <c r="V1402" s="48"/>
      <c r="W1402" s="14"/>
      <c r="X1402" s="14"/>
      <c r="Y1402" s="14"/>
      <c r="Z1402" s="14"/>
      <c r="AA1402" s="14"/>
      <c r="AB1402" s="14"/>
      <c r="AC1402" s="14"/>
      <c r="AD1402" s="48"/>
      <c r="AE1402" s="48"/>
      <c r="AF1402" s="48"/>
      <c r="AG1402" s="48"/>
      <c r="AH1402" s="48"/>
      <c r="AI1402" s="14"/>
      <c r="AJ1402" s="14"/>
      <c r="AK1402" s="14"/>
      <c r="AL1402" s="14"/>
      <c r="AM1402" s="14"/>
      <c r="AN1402" s="14"/>
      <c r="AO1402" s="14"/>
      <c r="AP1402" s="14"/>
      <c r="AQ1402" s="14"/>
      <c r="AR1402" s="14"/>
      <c r="AS1402" s="14"/>
      <c r="AT1402" s="14"/>
      <c r="AU1402" s="14"/>
      <c r="AV1402" s="14"/>
      <c r="AW1402" s="14"/>
      <c r="AX1402" s="14"/>
      <c r="AY1402" s="14"/>
      <c r="AZ1402" s="14"/>
      <c r="BA1402" s="14"/>
    </row>
    <row r="1403" ht="14.25" customHeight="1">
      <c r="A1403" s="10"/>
      <c r="B1403" s="12"/>
      <c r="C1403" s="12"/>
      <c r="D1403" s="12"/>
      <c r="E1403" s="44"/>
      <c r="F1403" s="12"/>
      <c r="G1403" s="12"/>
      <c r="H1403" s="45"/>
      <c r="I1403" s="45"/>
      <c r="J1403" s="12"/>
      <c r="K1403" s="12"/>
      <c r="L1403" s="14"/>
      <c r="M1403" s="14"/>
      <c r="N1403" s="14"/>
      <c r="O1403" s="14"/>
      <c r="P1403" s="14"/>
      <c r="Q1403" s="14"/>
      <c r="R1403" s="48"/>
      <c r="S1403" s="48"/>
      <c r="T1403" s="48"/>
      <c r="U1403" s="48"/>
      <c r="V1403" s="48"/>
      <c r="W1403" s="14"/>
      <c r="X1403" s="14"/>
      <c r="Y1403" s="14"/>
      <c r="Z1403" s="14"/>
      <c r="AA1403" s="14"/>
      <c r="AB1403" s="14"/>
      <c r="AC1403" s="14"/>
      <c r="AD1403" s="48"/>
      <c r="AE1403" s="48"/>
      <c r="AF1403" s="48"/>
      <c r="AG1403" s="48"/>
      <c r="AH1403" s="48"/>
      <c r="AI1403" s="14"/>
      <c r="AJ1403" s="14"/>
      <c r="AK1403" s="14"/>
      <c r="AL1403" s="14"/>
      <c r="AM1403" s="14"/>
      <c r="AN1403" s="14"/>
      <c r="AO1403" s="14"/>
      <c r="AP1403" s="14"/>
      <c r="AQ1403" s="14"/>
      <c r="AR1403" s="14"/>
      <c r="AS1403" s="14"/>
      <c r="AT1403" s="14"/>
      <c r="AU1403" s="14"/>
      <c r="AV1403" s="14"/>
      <c r="AW1403" s="14"/>
      <c r="AX1403" s="14"/>
      <c r="AY1403" s="14"/>
      <c r="AZ1403" s="14"/>
      <c r="BA1403" s="14"/>
    </row>
    <row r="1404" ht="14.25" customHeight="1">
      <c r="A1404" s="10"/>
      <c r="B1404" s="12"/>
      <c r="C1404" s="12"/>
      <c r="D1404" s="12"/>
      <c r="E1404" s="44"/>
      <c r="F1404" s="12"/>
      <c r="G1404" s="12"/>
      <c r="H1404" s="45"/>
      <c r="I1404" s="45"/>
      <c r="J1404" s="12"/>
      <c r="K1404" s="12"/>
      <c r="L1404" s="14"/>
      <c r="M1404" s="14"/>
      <c r="N1404" s="14"/>
      <c r="O1404" s="14"/>
      <c r="P1404" s="14"/>
      <c r="Q1404" s="14"/>
      <c r="R1404" s="48"/>
      <c r="S1404" s="48"/>
      <c r="T1404" s="48"/>
      <c r="U1404" s="48"/>
      <c r="V1404" s="48"/>
      <c r="W1404" s="14"/>
      <c r="X1404" s="14"/>
      <c r="Y1404" s="14"/>
      <c r="Z1404" s="14"/>
      <c r="AA1404" s="14"/>
      <c r="AB1404" s="14"/>
      <c r="AC1404" s="14"/>
      <c r="AD1404" s="48"/>
      <c r="AE1404" s="48"/>
      <c r="AF1404" s="48"/>
      <c r="AG1404" s="48"/>
      <c r="AH1404" s="48"/>
      <c r="AI1404" s="14"/>
      <c r="AJ1404" s="14"/>
      <c r="AK1404" s="14"/>
      <c r="AL1404" s="14"/>
      <c r="AM1404" s="14"/>
      <c r="AN1404" s="14"/>
      <c r="AO1404" s="14"/>
      <c r="AP1404" s="14"/>
      <c r="AQ1404" s="14"/>
      <c r="AR1404" s="14"/>
      <c r="AS1404" s="14"/>
      <c r="AT1404" s="14"/>
      <c r="AU1404" s="14"/>
      <c r="AV1404" s="14"/>
      <c r="AW1404" s="14"/>
      <c r="AX1404" s="14"/>
      <c r="AY1404" s="14"/>
      <c r="AZ1404" s="14"/>
      <c r="BA1404" s="14"/>
    </row>
    <row r="1405" ht="14.25" customHeight="1">
      <c r="A1405" s="10"/>
      <c r="B1405" s="12"/>
      <c r="C1405" s="12"/>
      <c r="D1405" s="12"/>
      <c r="E1405" s="44"/>
      <c r="F1405" s="12"/>
      <c r="G1405" s="12"/>
      <c r="H1405" s="45"/>
      <c r="I1405" s="45"/>
      <c r="J1405" s="12"/>
      <c r="K1405" s="12"/>
      <c r="L1405" s="14"/>
      <c r="M1405" s="14"/>
      <c r="N1405" s="14"/>
      <c r="O1405" s="14"/>
      <c r="P1405" s="14"/>
      <c r="Q1405" s="14"/>
      <c r="R1405" s="48"/>
      <c r="S1405" s="48"/>
      <c r="T1405" s="48"/>
      <c r="U1405" s="48"/>
      <c r="V1405" s="48"/>
      <c r="W1405" s="14"/>
      <c r="X1405" s="14"/>
      <c r="Y1405" s="14"/>
      <c r="Z1405" s="14"/>
      <c r="AA1405" s="14"/>
      <c r="AB1405" s="14"/>
      <c r="AC1405" s="14"/>
      <c r="AD1405" s="48"/>
      <c r="AE1405" s="48"/>
      <c r="AF1405" s="48"/>
      <c r="AG1405" s="48"/>
      <c r="AH1405" s="48"/>
      <c r="AI1405" s="14"/>
      <c r="AJ1405" s="14"/>
      <c r="AK1405" s="14"/>
      <c r="AL1405" s="14"/>
      <c r="AM1405" s="14"/>
      <c r="AN1405" s="14"/>
      <c r="AO1405" s="14"/>
      <c r="AP1405" s="14"/>
      <c r="AQ1405" s="14"/>
      <c r="AR1405" s="14"/>
      <c r="AS1405" s="14"/>
      <c r="AT1405" s="14"/>
      <c r="AU1405" s="14"/>
      <c r="AV1405" s="14"/>
      <c r="AW1405" s="14"/>
      <c r="AX1405" s="14"/>
      <c r="AY1405" s="14"/>
      <c r="AZ1405" s="14"/>
      <c r="BA1405" s="14"/>
    </row>
    <row r="1406" ht="14.25" customHeight="1">
      <c r="A1406" s="10"/>
      <c r="B1406" s="12"/>
      <c r="C1406" s="12"/>
      <c r="D1406" s="12"/>
      <c r="E1406" s="44"/>
      <c r="F1406" s="12"/>
      <c r="G1406" s="12"/>
      <c r="H1406" s="45"/>
      <c r="I1406" s="45"/>
      <c r="J1406" s="12"/>
      <c r="K1406" s="12"/>
      <c r="L1406" s="14"/>
      <c r="M1406" s="14"/>
      <c r="N1406" s="14"/>
      <c r="O1406" s="14"/>
      <c r="P1406" s="14"/>
      <c r="Q1406" s="14"/>
      <c r="R1406" s="48"/>
      <c r="S1406" s="48"/>
      <c r="T1406" s="48"/>
      <c r="U1406" s="48"/>
      <c r="V1406" s="48"/>
      <c r="W1406" s="14"/>
      <c r="X1406" s="14"/>
      <c r="Y1406" s="14"/>
      <c r="Z1406" s="14"/>
      <c r="AA1406" s="14"/>
      <c r="AB1406" s="14"/>
      <c r="AC1406" s="14"/>
      <c r="AD1406" s="48"/>
      <c r="AE1406" s="48"/>
      <c r="AF1406" s="48"/>
      <c r="AG1406" s="48"/>
      <c r="AH1406" s="48"/>
      <c r="AI1406" s="14"/>
      <c r="AJ1406" s="14"/>
      <c r="AK1406" s="14"/>
      <c r="AL1406" s="14"/>
      <c r="AM1406" s="14"/>
      <c r="AN1406" s="14"/>
      <c r="AO1406" s="14"/>
      <c r="AP1406" s="14"/>
      <c r="AQ1406" s="14"/>
      <c r="AR1406" s="14"/>
      <c r="AS1406" s="14"/>
      <c r="AT1406" s="14"/>
      <c r="AU1406" s="14"/>
      <c r="AV1406" s="14"/>
      <c r="AW1406" s="14"/>
      <c r="AX1406" s="14"/>
      <c r="AY1406" s="14"/>
      <c r="AZ1406" s="14"/>
      <c r="BA1406" s="14"/>
    </row>
    <row r="1407" ht="14.25" customHeight="1">
      <c r="A1407" s="10"/>
      <c r="B1407" s="12"/>
      <c r="C1407" s="12"/>
      <c r="D1407" s="12"/>
      <c r="E1407" s="44"/>
      <c r="F1407" s="12"/>
      <c r="G1407" s="12"/>
      <c r="H1407" s="45"/>
      <c r="I1407" s="45"/>
      <c r="J1407" s="12"/>
      <c r="K1407" s="12"/>
      <c r="L1407" s="14"/>
      <c r="M1407" s="14"/>
      <c r="N1407" s="14"/>
      <c r="O1407" s="14"/>
      <c r="P1407" s="14"/>
      <c r="Q1407" s="14"/>
      <c r="R1407" s="48"/>
      <c r="S1407" s="48"/>
      <c r="T1407" s="48"/>
      <c r="U1407" s="48"/>
      <c r="V1407" s="48"/>
      <c r="W1407" s="14"/>
      <c r="X1407" s="14"/>
      <c r="Y1407" s="14"/>
      <c r="Z1407" s="14"/>
      <c r="AA1407" s="14"/>
      <c r="AB1407" s="14"/>
      <c r="AC1407" s="14"/>
      <c r="AD1407" s="48"/>
      <c r="AE1407" s="48"/>
      <c r="AF1407" s="48"/>
      <c r="AG1407" s="48"/>
      <c r="AH1407" s="48"/>
      <c r="AI1407" s="14"/>
      <c r="AJ1407" s="14"/>
      <c r="AK1407" s="14"/>
      <c r="AL1407" s="14"/>
      <c r="AM1407" s="14"/>
      <c r="AN1407" s="14"/>
      <c r="AO1407" s="14"/>
      <c r="AP1407" s="14"/>
      <c r="AQ1407" s="14"/>
      <c r="AR1407" s="14"/>
      <c r="AS1407" s="14"/>
      <c r="AT1407" s="14"/>
      <c r="AU1407" s="14"/>
      <c r="AV1407" s="14"/>
      <c r="AW1407" s="14"/>
      <c r="AX1407" s="14"/>
      <c r="AY1407" s="14"/>
      <c r="AZ1407" s="14"/>
      <c r="BA1407" s="14"/>
    </row>
    <row r="1408" ht="14.25" customHeight="1">
      <c r="A1408" s="10"/>
      <c r="B1408" s="12"/>
      <c r="C1408" s="12"/>
      <c r="D1408" s="12"/>
      <c r="E1408" s="44"/>
      <c r="F1408" s="12"/>
      <c r="G1408" s="12"/>
      <c r="H1408" s="45"/>
      <c r="I1408" s="45"/>
      <c r="J1408" s="12"/>
      <c r="K1408" s="12"/>
      <c r="L1408" s="14"/>
      <c r="M1408" s="14"/>
      <c r="N1408" s="14"/>
      <c r="O1408" s="14"/>
      <c r="P1408" s="14"/>
      <c r="Q1408" s="14"/>
      <c r="R1408" s="48"/>
      <c r="S1408" s="48"/>
      <c r="T1408" s="48"/>
      <c r="U1408" s="48"/>
      <c r="V1408" s="48"/>
      <c r="W1408" s="14"/>
      <c r="X1408" s="14"/>
      <c r="Y1408" s="14"/>
      <c r="Z1408" s="14"/>
      <c r="AA1408" s="14"/>
      <c r="AB1408" s="14"/>
      <c r="AC1408" s="14"/>
      <c r="AD1408" s="48"/>
      <c r="AE1408" s="48"/>
      <c r="AF1408" s="48"/>
      <c r="AG1408" s="48"/>
      <c r="AH1408" s="48"/>
      <c r="AI1408" s="14"/>
      <c r="AJ1408" s="14"/>
      <c r="AK1408" s="14"/>
      <c r="AL1408" s="14"/>
      <c r="AM1408" s="14"/>
      <c r="AN1408" s="14"/>
      <c r="AO1408" s="14"/>
      <c r="AP1408" s="14"/>
      <c r="AQ1408" s="14"/>
      <c r="AR1408" s="14"/>
      <c r="AS1408" s="14"/>
      <c r="AT1408" s="14"/>
      <c r="AU1408" s="14"/>
      <c r="AV1408" s="14"/>
      <c r="AW1408" s="14"/>
      <c r="AX1408" s="14"/>
      <c r="AY1408" s="14"/>
      <c r="AZ1408" s="14"/>
      <c r="BA1408" s="14"/>
    </row>
    <row r="1409" ht="14.25" customHeight="1">
      <c r="A1409" s="10"/>
      <c r="B1409" s="12"/>
      <c r="C1409" s="12"/>
      <c r="D1409" s="12"/>
      <c r="E1409" s="44"/>
      <c r="F1409" s="12"/>
      <c r="G1409" s="12"/>
      <c r="H1409" s="45"/>
      <c r="I1409" s="45"/>
      <c r="J1409" s="12"/>
      <c r="K1409" s="12"/>
      <c r="L1409" s="14"/>
      <c r="M1409" s="14"/>
      <c r="N1409" s="14"/>
      <c r="O1409" s="14"/>
      <c r="P1409" s="14"/>
      <c r="Q1409" s="14"/>
      <c r="R1409" s="48"/>
      <c r="S1409" s="48"/>
      <c r="T1409" s="48"/>
      <c r="U1409" s="48"/>
      <c r="V1409" s="48"/>
      <c r="W1409" s="14"/>
      <c r="X1409" s="14"/>
      <c r="Y1409" s="14"/>
      <c r="Z1409" s="14"/>
      <c r="AA1409" s="14"/>
      <c r="AB1409" s="14"/>
      <c r="AC1409" s="14"/>
      <c r="AD1409" s="48"/>
      <c r="AE1409" s="48"/>
      <c r="AF1409" s="48"/>
      <c r="AG1409" s="48"/>
      <c r="AH1409" s="48"/>
      <c r="AI1409" s="14"/>
      <c r="AJ1409" s="14"/>
      <c r="AK1409" s="14"/>
      <c r="AL1409" s="14"/>
      <c r="AM1409" s="14"/>
      <c r="AN1409" s="14"/>
      <c r="AO1409" s="14"/>
      <c r="AP1409" s="14"/>
      <c r="AQ1409" s="14"/>
      <c r="AR1409" s="14"/>
      <c r="AS1409" s="14"/>
      <c r="AT1409" s="14"/>
      <c r="AU1409" s="14"/>
      <c r="AV1409" s="14"/>
      <c r="AW1409" s="14"/>
      <c r="AX1409" s="14"/>
      <c r="AY1409" s="14"/>
      <c r="AZ1409" s="14"/>
      <c r="BA1409" s="14"/>
    </row>
    <row r="1410" ht="14.25" customHeight="1">
      <c r="A1410" s="10"/>
      <c r="B1410" s="12"/>
      <c r="C1410" s="12"/>
      <c r="D1410" s="12"/>
      <c r="E1410" s="44"/>
      <c r="F1410" s="12"/>
      <c r="G1410" s="12"/>
      <c r="H1410" s="45"/>
      <c r="I1410" s="45"/>
      <c r="J1410" s="12"/>
      <c r="K1410" s="12"/>
      <c r="L1410" s="14"/>
      <c r="M1410" s="14"/>
      <c r="N1410" s="14"/>
      <c r="O1410" s="14"/>
      <c r="P1410" s="14"/>
      <c r="Q1410" s="14"/>
      <c r="R1410" s="48"/>
      <c r="S1410" s="48"/>
      <c r="T1410" s="48"/>
      <c r="U1410" s="48"/>
      <c r="V1410" s="48"/>
      <c r="W1410" s="14"/>
      <c r="X1410" s="14"/>
      <c r="Y1410" s="14"/>
      <c r="Z1410" s="14"/>
      <c r="AA1410" s="14"/>
      <c r="AB1410" s="14"/>
      <c r="AC1410" s="14"/>
      <c r="AD1410" s="48"/>
      <c r="AE1410" s="48"/>
      <c r="AF1410" s="48"/>
      <c r="AG1410" s="48"/>
      <c r="AH1410" s="48"/>
      <c r="AI1410" s="14"/>
      <c r="AJ1410" s="14"/>
      <c r="AK1410" s="14"/>
      <c r="AL1410" s="14"/>
      <c r="AM1410" s="14"/>
      <c r="AN1410" s="14"/>
      <c r="AO1410" s="14"/>
      <c r="AP1410" s="14"/>
      <c r="AQ1410" s="14"/>
      <c r="AR1410" s="14"/>
      <c r="AS1410" s="14"/>
      <c r="AT1410" s="14"/>
      <c r="AU1410" s="14"/>
      <c r="AV1410" s="14"/>
      <c r="AW1410" s="14"/>
      <c r="AX1410" s="14"/>
      <c r="AY1410" s="14"/>
      <c r="AZ1410" s="14"/>
      <c r="BA1410" s="14"/>
    </row>
    <row r="1411" ht="14.25" customHeight="1">
      <c r="A1411" s="10"/>
      <c r="B1411" s="12"/>
      <c r="C1411" s="12"/>
      <c r="D1411" s="12"/>
      <c r="E1411" s="44"/>
      <c r="F1411" s="12"/>
      <c r="G1411" s="12"/>
      <c r="H1411" s="45"/>
      <c r="I1411" s="45"/>
      <c r="J1411" s="12"/>
      <c r="K1411" s="12"/>
      <c r="L1411" s="14"/>
      <c r="M1411" s="14"/>
      <c r="N1411" s="14"/>
      <c r="O1411" s="14"/>
      <c r="P1411" s="14"/>
      <c r="Q1411" s="14"/>
      <c r="R1411" s="48"/>
      <c r="S1411" s="48"/>
      <c r="T1411" s="48"/>
      <c r="U1411" s="48"/>
      <c r="V1411" s="48"/>
      <c r="W1411" s="14"/>
      <c r="X1411" s="14"/>
      <c r="Y1411" s="14"/>
      <c r="Z1411" s="14"/>
      <c r="AA1411" s="14"/>
      <c r="AB1411" s="14"/>
      <c r="AC1411" s="14"/>
      <c r="AD1411" s="48"/>
      <c r="AE1411" s="48"/>
      <c r="AF1411" s="48"/>
      <c r="AG1411" s="48"/>
      <c r="AH1411" s="48"/>
      <c r="AI1411" s="14"/>
      <c r="AJ1411" s="14"/>
      <c r="AK1411" s="14"/>
      <c r="AL1411" s="14"/>
      <c r="AM1411" s="14"/>
      <c r="AN1411" s="14"/>
      <c r="AO1411" s="14"/>
      <c r="AP1411" s="14"/>
      <c r="AQ1411" s="14"/>
      <c r="AR1411" s="14"/>
      <c r="AS1411" s="14"/>
      <c r="AT1411" s="14"/>
      <c r="AU1411" s="14"/>
      <c r="AV1411" s="14"/>
      <c r="AW1411" s="14"/>
      <c r="AX1411" s="14"/>
      <c r="AY1411" s="14"/>
      <c r="AZ1411" s="14"/>
      <c r="BA1411" s="14"/>
    </row>
    <row r="1412" ht="14.25" customHeight="1">
      <c r="A1412" s="10"/>
      <c r="B1412" s="12"/>
      <c r="C1412" s="12"/>
      <c r="D1412" s="12"/>
      <c r="E1412" s="44"/>
      <c r="F1412" s="12"/>
      <c r="G1412" s="12"/>
      <c r="H1412" s="45"/>
      <c r="I1412" s="45"/>
      <c r="J1412" s="12"/>
      <c r="K1412" s="12"/>
      <c r="L1412" s="14"/>
      <c r="M1412" s="14"/>
      <c r="N1412" s="14"/>
      <c r="O1412" s="14"/>
      <c r="P1412" s="14"/>
      <c r="Q1412" s="14"/>
      <c r="R1412" s="48"/>
      <c r="S1412" s="48"/>
      <c r="T1412" s="48"/>
      <c r="U1412" s="48"/>
      <c r="V1412" s="48"/>
      <c r="W1412" s="14"/>
      <c r="X1412" s="14"/>
      <c r="Y1412" s="14"/>
      <c r="Z1412" s="14"/>
      <c r="AA1412" s="14"/>
      <c r="AB1412" s="14"/>
      <c r="AC1412" s="14"/>
      <c r="AD1412" s="48"/>
      <c r="AE1412" s="48"/>
      <c r="AF1412" s="48"/>
      <c r="AG1412" s="48"/>
      <c r="AH1412" s="48"/>
      <c r="AI1412" s="14"/>
      <c r="AJ1412" s="14"/>
      <c r="AK1412" s="14"/>
      <c r="AL1412" s="14"/>
      <c r="AM1412" s="14"/>
      <c r="AN1412" s="14"/>
      <c r="AO1412" s="14"/>
      <c r="AP1412" s="14"/>
      <c r="AQ1412" s="14"/>
      <c r="AR1412" s="14"/>
      <c r="AS1412" s="14"/>
      <c r="AT1412" s="14"/>
      <c r="AU1412" s="14"/>
      <c r="AV1412" s="14"/>
      <c r="AW1412" s="14"/>
      <c r="AX1412" s="14"/>
      <c r="AY1412" s="14"/>
      <c r="AZ1412" s="14"/>
      <c r="BA1412" s="14"/>
    </row>
    <row r="1413" ht="14.25" customHeight="1">
      <c r="A1413" s="10"/>
      <c r="B1413" s="12"/>
      <c r="C1413" s="12"/>
      <c r="D1413" s="12"/>
      <c r="E1413" s="44"/>
      <c r="F1413" s="12"/>
      <c r="G1413" s="12"/>
      <c r="H1413" s="45"/>
      <c r="I1413" s="45"/>
      <c r="J1413" s="12"/>
      <c r="K1413" s="12"/>
      <c r="L1413" s="14"/>
      <c r="M1413" s="14"/>
      <c r="N1413" s="14"/>
      <c r="O1413" s="14"/>
      <c r="P1413" s="14"/>
      <c r="Q1413" s="14"/>
      <c r="R1413" s="48"/>
      <c r="S1413" s="48"/>
      <c r="T1413" s="48"/>
      <c r="U1413" s="48"/>
      <c r="V1413" s="48"/>
      <c r="W1413" s="14"/>
      <c r="X1413" s="14"/>
      <c r="Y1413" s="14"/>
      <c r="Z1413" s="14"/>
      <c r="AA1413" s="14"/>
      <c r="AB1413" s="14"/>
      <c r="AC1413" s="14"/>
      <c r="AD1413" s="48"/>
      <c r="AE1413" s="48"/>
      <c r="AF1413" s="48"/>
      <c r="AG1413" s="48"/>
      <c r="AH1413" s="48"/>
      <c r="AI1413" s="14"/>
      <c r="AJ1413" s="14"/>
      <c r="AK1413" s="14"/>
      <c r="AL1413" s="14"/>
      <c r="AM1413" s="14"/>
      <c r="AN1413" s="14"/>
      <c r="AO1413" s="14"/>
      <c r="AP1413" s="14"/>
      <c r="AQ1413" s="14"/>
      <c r="AR1413" s="14"/>
      <c r="AS1413" s="14"/>
      <c r="AT1413" s="14"/>
      <c r="AU1413" s="14"/>
      <c r="AV1413" s="14"/>
      <c r="AW1413" s="14"/>
      <c r="AX1413" s="14"/>
      <c r="AY1413" s="14"/>
      <c r="AZ1413" s="14"/>
      <c r="BA1413" s="14"/>
    </row>
    <row r="1414" ht="14.25" customHeight="1">
      <c r="A1414" s="10"/>
      <c r="B1414" s="12"/>
      <c r="C1414" s="12"/>
      <c r="D1414" s="12"/>
      <c r="E1414" s="44"/>
      <c r="F1414" s="12"/>
      <c r="G1414" s="12"/>
      <c r="H1414" s="45"/>
      <c r="I1414" s="45"/>
      <c r="J1414" s="12"/>
      <c r="K1414" s="12"/>
      <c r="L1414" s="14"/>
      <c r="M1414" s="14"/>
      <c r="N1414" s="14"/>
      <c r="O1414" s="14"/>
      <c r="P1414" s="14"/>
      <c r="Q1414" s="14"/>
      <c r="R1414" s="48"/>
      <c r="S1414" s="48"/>
      <c r="T1414" s="48"/>
      <c r="U1414" s="48"/>
      <c r="V1414" s="48"/>
      <c r="W1414" s="14"/>
      <c r="X1414" s="14"/>
      <c r="Y1414" s="14"/>
      <c r="Z1414" s="14"/>
      <c r="AA1414" s="14"/>
      <c r="AB1414" s="14"/>
      <c r="AC1414" s="14"/>
      <c r="AD1414" s="48"/>
      <c r="AE1414" s="48"/>
      <c r="AF1414" s="48"/>
      <c r="AG1414" s="48"/>
      <c r="AH1414" s="48"/>
      <c r="AI1414" s="14"/>
      <c r="AJ1414" s="14"/>
      <c r="AK1414" s="14"/>
      <c r="AL1414" s="14"/>
      <c r="AM1414" s="14"/>
      <c r="AN1414" s="14"/>
      <c r="AO1414" s="14"/>
      <c r="AP1414" s="14"/>
      <c r="AQ1414" s="14"/>
      <c r="AR1414" s="14"/>
      <c r="AS1414" s="14"/>
      <c r="AT1414" s="14"/>
      <c r="AU1414" s="14"/>
      <c r="AV1414" s="14"/>
      <c r="AW1414" s="14"/>
      <c r="AX1414" s="14"/>
      <c r="AY1414" s="14"/>
      <c r="AZ1414" s="14"/>
      <c r="BA1414" s="14"/>
    </row>
    <row r="1415" ht="14.25" customHeight="1">
      <c r="A1415" s="10"/>
      <c r="B1415" s="12"/>
      <c r="C1415" s="12"/>
      <c r="D1415" s="12"/>
      <c r="E1415" s="44"/>
      <c r="F1415" s="12"/>
      <c r="G1415" s="12"/>
      <c r="H1415" s="45"/>
      <c r="I1415" s="45"/>
      <c r="J1415" s="12"/>
      <c r="K1415" s="12"/>
      <c r="L1415" s="14"/>
      <c r="M1415" s="14"/>
      <c r="N1415" s="14"/>
      <c r="O1415" s="14"/>
      <c r="P1415" s="14"/>
      <c r="Q1415" s="14"/>
      <c r="R1415" s="48"/>
      <c r="S1415" s="48"/>
      <c r="T1415" s="48"/>
      <c r="U1415" s="48"/>
      <c r="V1415" s="48"/>
      <c r="W1415" s="14"/>
      <c r="X1415" s="14"/>
      <c r="Y1415" s="14"/>
      <c r="Z1415" s="14"/>
      <c r="AA1415" s="14"/>
      <c r="AB1415" s="14"/>
      <c r="AC1415" s="14"/>
      <c r="AD1415" s="48"/>
      <c r="AE1415" s="48"/>
      <c r="AF1415" s="48"/>
      <c r="AG1415" s="48"/>
      <c r="AH1415" s="48"/>
      <c r="AI1415" s="14"/>
      <c r="AJ1415" s="14"/>
      <c r="AK1415" s="14"/>
      <c r="AL1415" s="14"/>
      <c r="AM1415" s="14"/>
      <c r="AN1415" s="14"/>
      <c r="AO1415" s="14"/>
      <c r="AP1415" s="14"/>
      <c r="AQ1415" s="14"/>
      <c r="AR1415" s="14"/>
      <c r="AS1415" s="14"/>
      <c r="AT1415" s="14"/>
      <c r="AU1415" s="14"/>
      <c r="AV1415" s="14"/>
      <c r="AW1415" s="14"/>
      <c r="AX1415" s="14"/>
      <c r="AY1415" s="14"/>
      <c r="AZ1415" s="14"/>
      <c r="BA1415" s="14"/>
    </row>
    <row r="1416" ht="14.25" customHeight="1">
      <c r="A1416" s="10"/>
      <c r="B1416" s="12"/>
      <c r="C1416" s="12"/>
      <c r="D1416" s="12"/>
      <c r="E1416" s="44"/>
      <c r="F1416" s="12"/>
      <c r="G1416" s="12"/>
      <c r="H1416" s="45"/>
      <c r="I1416" s="45"/>
      <c r="J1416" s="12"/>
      <c r="K1416" s="12"/>
      <c r="L1416" s="14"/>
      <c r="M1416" s="14"/>
      <c r="N1416" s="14"/>
      <c r="O1416" s="14"/>
      <c r="P1416" s="14"/>
      <c r="Q1416" s="14"/>
      <c r="R1416" s="48"/>
      <c r="S1416" s="48"/>
      <c r="T1416" s="48"/>
      <c r="U1416" s="48"/>
      <c r="V1416" s="48"/>
      <c r="W1416" s="14"/>
      <c r="X1416" s="14"/>
      <c r="Y1416" s="14"/>
      <c r="Z1416" s="14"/>
      <c r="AA1416" s="14"/>
      <c r="AB1416" s="14"/>
      <c r="AC1416" s="14"/>
      <c r="AD1416" s="48"/>
      <c r="AE1416" s="48"/>
      <c r="AF1416" s="48"/>
      <c r="AG1416" s="48"/>
      <c r="AH1416" s="48"/>
      <c r="AI1416" s="14"/>
      <c r="AJ1416" s="14"/>
      <c r="AK1416" s="14"/>
      <c r="AL1416" s="14"/>
      <c r="AM1416" s="14"/>
      <c r="AN1416" s="14"/>
      <c r="AO1416" s="14"/>
      <c r="AP1416" s="14"/>
      <c r="AQ1416" s="14"/>
      <c r="AR1416" s="14"/>
      <c r="AS1416" s="14"/>
      <c r="AT1416" s="14"/>
      <c r="AU1416" s="14"/>
      <c r="AV1416" s="14"/>
      <c r="AW1416" s="14"/>
      <c r="AX1416" s="14"/>
      <c r="AY1416" s="14"/>
      <c r="AZ1416" s="14"/>
      <c r="BA1416" s="14"/>
    </row>
    <row r="1417" ht="14.25" customHeight="1">
      <c r="A1417" s="10"/>
      <c r="B1417" s="12"/>
      <c r="C1417" s="12"/>
      <c r="D1417" s="12"/>
      <c r="E1417" s="44"/>
      <c r="F1417" s="12"/>
      <c r="G1417" s="12"/>
      <c r="H1417" s="45"/>
      <c r="I1417" s="45"/>
      <c r="J1417" s="12"/>
      <c r="K1417" s="12"/>
      <c r="L1417" s="14"/>
      <c r="M1417" s="14"/>
      <c r="N1417" s="14"/>
      <c r="O1417" s="14"/>
      <c r="P1417" s="14"/>
      <c r="Q1417" s="14"/>
      <c r="R1417" s="48"/>
      <c r="S1417" s="48"/>
      <c r="T1417" s="48"/>
      <c r="U1417" s="48"/>
      <c r="V1417" s="48"/>
      <c r="W1417" s="14"/>
      <c r="X1417" s="14"/>
      <c r="Y1417" s="14"/>
      <c r="Z1417" s="14"/>
      <c r="AA1417" s="14"/>
      <c r="AB1417" s="14"/>
      <c r="AC1417" s="14"/>
      <c r="AD1417" s="48"/>
      <c r="AE1417" s="48"/>
      <c r="AF1417" s="48"/>
      <c r="AG1417" s="48"/>
      <c r="AH1417" s="48"/>
      <c r="AI1417" s="14"/>
      <c r="AJ1417" s="14"/>
      <c r="AK1417" s="14"/>
      <c r="AL1417" s="14"/>
      <c r="AM1417" s="14"/>
      <c r="AN1417" s="14"/>
      <c r="AO1417" s="14"/>
      <c r="AP1417" s="14"/>
      <c r="AQ1417" s="14"/>
      <c r="AR1417" s="14"/>
      <c r="AS1417" s="14"/>
      <c r="AT1417" s="14"/>
      <c r="AU1417" s="14"/>
      <c r="AV1417" s="14"/>
      <c r="AW1417" s="14"/>
      <c r="AX1417" s="14"/>
      <c r="AY1417" s="14"/>
      <c r="AZ1417" s="14"/>
      <c r="BA1417" s="14"/>
    </row>
    <row r="1418" ht="14.25" customHeight="1">
      <c r="A1418" s="10"/>
      <c r="B1418" s="12"/>
      <c r="C1418" s="12"/>
      <c r="D1418" s="12"/>
      <c r="E1418" s="44"/>
      <c r="F1418" s="12"/>
      <c r="G1418" s="12"/>
      <c r="H1418" s="45"/>
      <c r="I1418" s="45"/>
      <c r="J1418" s="12"/>
      <c r="K1418" s="12"/>
      <c r="L1418" s="14"/>
      <c r="M1418" s="14"/>
      <c r="N1418" s="14"/>
      <c r="O1418" s="14"/>
      <c r="P1418" s="14"/>
      <c r="Q1418" s="14"/>
      <c r="R1418" s="48"/>
      <c r="S1418" s="48"/>
      <c r="T1418" s="48"/>
      <c r="U1418" s="48"/>
      <c r="V1418" s="48"/>
      <c r="W1418" s="14"/>
      <c r="X1418" s="14"/>
      <c r="Y1418" s="14"/>
      <c r="Z1418" s="14"/>
      <c r="AA1418" s="14"/>
      <c r="AB1418" s="14"/>
      <c r="AC1418" s="14"/>
      <c r="AD1418" s="48"/>
      <c r="AE1418" s="48"/>
      <c r="AF1418" s="48"/>
      <c r="AG1418" s="48"/>
      <c r="AH1418" s="48"/>
      <c r="AI1418" s="14"/>
      <c r="AJ1418" s="14"/>
      <c r="AK1418" s="14"/>
      <c r="AL1418" s="14"/>
      <c r="AM1418" s="14"/>
      <c r="AN1418" s="14"/>
      <c r="AO1418" s="14"/>
      <c r="AP1418" s="14"/>
      <c r="AQ1418" s="14"/>
      <c r="AR1418" s="14"/>
      <c r="AS1418" s="14"/>
      <c r="AT1418" s="14"/>
      <c r="AU1418" s="14"/>
      <c r="AV1418" s="14"/>
      <c r="AW1418" s="14"/>
      <c r="AX1418" s="14"/>
      <c r="AY1418" s="14"/>
      <c r="AZ1418" s="14"/>
      <c r="BA1418" s="14"/>
    </row>
    <row r="1419" ht="14.25" customHeight="1">
      <c r="A1419" s="10"/>
      <c r="B1419" s="12"/>
      <c r="C1419" s="12"/>
      <c r="D1419" s="12"/>
      <c r="E1419" s="44"/>
      <c r="F1419" s="12"/>
      <c r="G1419" s="12"/>
      <c r="H1419" s="45"/>
      <c r="I1419" s="45"/>
      <c r="J1419" s="12"/>
      <c r="K1419" s="12"/>
      <c r="L1419" s="14"/>
      <c r="M1419" s="14"/>
      <c r="N1419" s="14"/>
      <c r="O1419" s="14"/>
      <c r="P1419" s="14"/>
      <c r="Q1419" s="14"/>
      <c r="R1419" s="48"/>
      <c r="S1419" s="48"/>
      <c r="T1419" s="48"/>
      <c r="U1419" s="48"/>
      <c r="V1419" s="48"/>
      <c r="W1419" s="14"/>
      <c r="X1419" s="14"/>
      <c r="Y1419" s="14"/>
      <c r="Z1419" s="14"/>
      <c r="AA1419" s="14"/>
      <c r="AB1419" s="14"/>
      <c r="AC1419" s="14"/>
      <c r="AD1419" s="48"/>
      <c r="AE1419" s="48"/>
      <c r="AF1419" s="48"/>
      <c r="AG1419" s="48"/>
      <c r="AH1419" s="48"/>
      <c r="AI1419" s="14"/>
      <c r="AJ1419" s="14"/>
      <c r="AK1419" s="14"/>
      <c r="AL1419" s="14"/>
      <c r="AM1419" s="14"/>
      <c r="AN1419" s="14"/>
      <c r="AO1419" s="14"/>
      <c r="AP1419" s="14"/>
      <c r="AQ1419" s="14"/>
      <c r="AR1419" s="14"/>
      <c r="AS1419" s="14"/>
      <c r="AT1419" s="14"/>
      <c r="AU1419" s="14"/>
      <c r="AV1419" s="14"/>
      <c r="AW1419" s="14"/>
      <c r="AX1419" s="14"/>
      <c r="AY1419" s="14"/>
      <c r="AZ1419" s="14"/>
      <c r="BA1419" s="14"/>
    </row>
    <row r="1420" ht="14.25" customHeight="1">
      <c r="A1420" s="10"/>
      <c r="B1420" s="12"/>
      <c r="C1420" s="12"/>
      <c r="D1420" s="12"/>
      <c r="E1420" s="44"/>
      <c r="F1420" s="12"/>
      <c r="G1420" s="12"/>
      <c r="H1420" s="45"/>
      <c r="I1420" s="45"/>
      <c r="J1420" s="12"/>
      <c r="K1420" s="12"/>
      <c r="L1420" s="14"/>
      <c r="M1420" s="14"/>
      <c r="N1420" s="14"/>
      <c r="O1420" s="14"/>
      <c r="P1420" s="14"/>
      <c r="Q1420" s="14"/>
      <c r="R1420" s="48"/>
      <c r="S1420" s="48"/>
      <c r="T1420" s="48"/>
      <c r="U1420" s="48"/>
      <c r="V1420" s="48"/>
      <c r="W1420" s="14"/>
      <c r="X1420" s="14"/>
      <c r="Y1420" s="14"/>
      <c r="Z1420" s="14"/>
      <c r="AA1420" s="14"/>
      <c r="AB1420" s="14"/>
      <c r="AC1420" s="14"/>
      <c r="AD1420" s="48"/>
      <c r="AE1420" s="48"/>
      <c r="AF1420" s="48"/>
      <c r="AG1420" s="48"/>
      <c r="AH1420" s="48"/>
      <c r="AI1420" s="14"/>
      <c r="AJ1420" s="14"/>
      <c r="AK1420" s="14"/>
      <c r="AL1420" s="14"/>
      <c r="AM1420" s="14"/>
      <c r="AN1420" s="14"/>
      <c r="AO1420" s="14"/>
      <c r="AP1420" s="14"/>
      <c r="AQ1420" s="14"/>
      <c r="AR1420" s="14"/>
      <c r="AS1420" s="14"/>
      <c r="AT1420" s="14"/>
      <c r="AU1420" s="14"/>
      <c r="AV1420" s="14"/>
      <c r="AW1420" s="14"/>
      <c r="AX1420" s="14"/>
      <c r="AY1420" s="14"/>
      <c r="AZ1420" s="14"/>
      <c r="BA1420" s="14"/>
    </row>
    <row r="1421" ht="14.25" customHeight="1">
      <c r="A1421" s="10"/>
      <c r="B1421" s="12"/>
      <c r="C1421" s="12"/>
      <c r="D1421" s="12"/>
      <c r="E1421" s="44"/>
      <c r="F1421" s="12"/>
      <c r="G1421" s="12"/>
      <c r="H1421" s="45"/>
      <c r="I1421" s="45"/>
      <c r="J1421" s="12"/>
      <c r="K1421" s="12"/>
      <c r="L1421" s="14"/>
      <c r="M1421" s="14"/>
      <c r="N1421" s="14"/>
      <c r="O1421" s="14"/>
      <c r="P1421" s="14"/>
      <c r="Q1421" s="14"/>
      <c r="R1421" s="48"/>
      <c r="S1421" s="48"/>
      <c r="T1421" s="48"/>
      <c r="U1421" s="48"/>
      <c r="V1421" s="48"/>
      <c r="W1421" s="14"/>
      <c r="X1421" s="14"/>
      <c r="Y1421" s="14"/>
      <c r="Z1421" s="14"/>
      <c r="AA1421" s="14"/>
      <c r="AB1421" s="14"/>
      <c r="AC1421" s="14"/>
      <c r="AD1421" s="48"/>
      <c r="AE1421" s="48"/>
      <c r="AF1421" s="48"/>
      <c r="AG1421" s="48"/>
      <c r="AH1421" s="48"/>
      <c r="AI1421" s="14"/>
      <c r="AJ1421" s="14"/>
      <c r="AK1421" s="14"/>
      <c r="AL1421" s="14"/>
      <c r="AM1421" s="14"/>
      <c r="AN1421" s="14"/>
      <c r="AO1421" s="14"/>
      <c r="AP1421" s="14"/>
      <c r="AQ1421" s="14"/>
      <c r="AR1421" s="14"/>
      <c r="AS1421" s="14"/>
      <c r="AT1421" s="14"/>
      <c r="AU1421" s="14"/>
      <c r="AV1421" s="14"/>
      <c r="AW1421" s="14"/>
      <c r="AX1421" s="14"/>
      <c r="AY1421" s="14"/>
      <c r="AZ1421" s="14"/>
      <c r="BA1421" s="14"/>
    </row>
    <row r="1422" ht="14.25" customHeight="1">
      <c r="A1422" s="10"/>
      <c r="B1422" s="12"/>
      <c r="C1422" s="12"/>
      <c r="D1422" s="12"/>
      <c r="E1422" s="44"/>
      <c r="F1422" s="12"/>
      <c r="G1422" s="12"/>
      <c r="H1422" s="45"/>
      <c r="I1422" s="45"/>
      <c r="J1422" s="12"/>
      <c r="K1422" s="12"/>
      <c r="L1422" s="14"/>
      <c r="M1422" s="14"/>
      <c r="N1422" s="14"/>
      <c r="O1422" s="14"/>
      <c r="P1422" s="14"/>
      <c r="Q1422" s="14"/>
      <c r="R1422" s="48"/>
      <c r="S1422" s="48"/>
      <c r="T1422" s="48"/>
      <c r="U1422" s="48"/>
      <c r="V1422" s="48"/>
      <c r="W1422" s="14"/>
      <c r="X1422" s="14"/>
      <c r="Y1422" s="14"/>
      <c r="Z1422" s="14"/>
      <c r="AA1422" s="14"/>
      <c r="AB1422" s="14"/>
      <c r="AC1422" s="14"/>
      <c r="AD1422" s="48"/>
      <c r="AE1422" s="48"/>
      <c r="AF1422" s="48"/>
      <c r="AG1422" s="48"/>
      <c r="AH1422" s="48"/>
      <c r="AI1422" s="14"/>
      <c r="AJ1422" s="14"/>
      <c r="AK1422" s="14"/>
      <c r="AL1422" s="14"/>
      <c r="AM1422" s="14"/>
      <c r="AN1422" s="14"/>
      <c r="AO1422" s="14"/>
      <c r="AP1422" s="14"/>
      <c r="AQ1422" s="14"/>
      <c r="AR1422" s="14"/>
      <c r="AS1422" s="14"/>
      <c r="AT1422" s="14"/>
      <c r="AU1422" s="14"/>
      <c r="AV1422" s="14"/>
      <c r="AW1422" s="14"/>
      <c r="AX1422" s="14"/>
      <c r="AY1422" s="14"/>
      <c r="AZ1422" s="14"/>
      <c r="BA1422" s="14"/>
    </row>
    <row r="1423" ht="14.25" customHeight="1">
      <c r="A1423" s="10"/>
      <c r="B1423" s="12"/>
      <c r="C1423" s="12"/>
      <c r="D1423" s="12"/>
      <c r="E1423" s="44"/>
      <c r="F1423" s="12"/>
      <c r="G1423" s="12"/>
      <c r="H1423" s="45"/>
      <c r="I1423" s="45"/>
      <c r="J1423" s="12"/>
      <c r="K1423" s="12"/>
      <c r="L1423" s="14"/>
      <c r="M1423" s="14"/>
      <c r="N1423" s="14"/>
      <c r="O1423" s="14"/>
      <c r="P1423" s="14"/>
      <c r="Q1423" s="14"/>
      <c r="R1423" s="48"/>
      <c r="S1423" s="48"/>
      <c r="T1423" s="48"/>
      <c r="U1423" s="48"/>
      <c r="V1423" s="48"/>
      <c r="W1423" s="14"/>
      <c r="X1423" s="14"/>
      <c r="Y1423" s="14"/>
      <c r="Z1423" s="14"/>
      <c r="AA1423" s="14"/>
      <c r="AB1423" s="14"/>
      <c r="AC1423" s="14"/>
      <c r="AD1423" s="48"/>
      <c r="AE1423" s="48"/>
      <c r="AF1423" s="48"/>
      <c r="AG1423" s="48"/>
      <c r="AH1423" s="48"/>
      <c r="AI1423" s="14"/>
      <c r="AJ1423" s="14"/>
      <c r="AK1423" s="14"/>
      <c r="AL1423" s="14"/>
      <c r="AM1423" s="14"/>
      <c r="AN1423" s="14"/>
      <c r="AO1423" s="14"/>
      <c r="AP1423" s="14"/>
      <c r="AQ1423" s="14"/>
      <c r="AR1423" s="14"/>
      <c r="AS1423" s="14"/>
      <c r="AT1423" s="14"/>
      <c r="AU1423" s="14"/>
      <c r="AV1423" s="14"/>
      <c r="AW1423" s="14"/>
      <c r="AX1423" s="14"/>
      <c r="AY1423" s="14"/>
      <c r="AZ1423" s="14"/>
      <c r="BA1423" s="14"/>
    </row>
    <row r="1424" ht="14.25" customHeight="1">
      <c r="A1424" s="10"/>
      <c r="B1424" s="12"/>
      <c r="C1424" s="12"/>
      <c r="D1424" s="12"/>
      <c r="E1424" s="44"/>
      <c r="F1424" s="12"/>
      <c r="G1424" s="12"/>
      <c r="H1424" s="45"/>
      <c r="I1424" s="45"/>
      <c r="J1424" s="12"/>
      <c r="K1424" s="12"/>
      <c r="L1424" s="14"/>
      <c r="M1424" s="14"/>
      <c r="N1424" s="14"/>
      <c r="O1424" s="14"/>
      <c r="P1424" s="14"/>
      <c r="Q1424" s="14"/>
      <c r="R1424" s="48"/>
      <c r="S1424" s="48"/>
      <c r="T1424" s="48"/>
      <c r="U1424" s="48"/>
      <c r="V1424" s="48"/>
      <c r="W1424" s="14"/>
      <c r="X1424" s="14"/>
      <c r="Y1424" s="14"/>
      <c r="Z1424" s="14"/>
      <c r="AA1424" s="14"/>
      <c r="AB1424" s="14"/>
      <c r="AC1424" s="14"/>
      <c r="AD1424" s="48"/>
      <c r="AE1424" s="48"/>
      <c r="AF1424" s="48"/>
      <c r="AG1424" s="48"/>
      <c r="AH1424" s="48"/>
      <c r="AI1424" s="14"/>
      <c r="AJ1424" s="14"/>
      <c r="AK1424" s="14"/>
      <c r="AL1424" s="14"/>
      <c r="AM1424" s="14"/>
      <c r="AN1424" s="14"/>
      <c r="AO1424" s="14"/>
      <c r="AP1424" s="14"/>
      <c r="AQ1424" s="14"/>
      <c r="AR1424" s="14"/>
      <c r="AS1424" s="14"/>
      <c r="AT1424" s="14"/>
      <c r="AU1424" s="14"/>
      <c r="AV1424" s="14"/>
      <c r="AW1424" s="14"/>
      <c r="AX1424" s="14"/>
      <c r="AY1424" s="14"/>
      <c r="AZ1424" s="14"/>
      <c r="BA1424" s="14"/>
    </row>
    <row r="1425" ht="14.25" customHeight="1">
      <c r="A1425" s="10"/>
      <c r="B1425" s="12"/>
      <c r="C1425" s="12"/>
      <c r="D1425" s="12"/>
      <c r="E1425" s="44"/>
      <c r="F1425" s="12"/>
      <c r="G1425" s="12"/>
      <c r="H1425" s="45"/>
      <c r="I1425" s="45"/>
      <c r="J1425" s="12"/>
      <c r="K1425" s="12"/>
      <c r="L1425" s="14"/>
      <c r="M1425" s="14"/>
      <c r="N1425" s="14"/>
      <c r="O1425" s="14"/>
      <c r="P1425" s="14"/>
      <c r="Q1425" s="14"/>
      <c r="R1425" s="48"/>
      <c r="S1425" s="48"/>
      <c r="T1425" s="48"/>
      <c r="U1425" s="48"/>
      <c r="V1425" s="48"/>
      <c r="W1425" s="14"/>
      <c r="X1425" s="14"/>
      <c r="Y1425" s="14"/>
      <c r="Z1425" s="14"/>
      <c r="AA1425" s="14"/>
      <c r="AB1425" s="14"/>
      <c r="AC1425" s="14"/>
      <c r="AD1425" s="48"/>
      <c r="AE1425" s="48"/>
      <c r="AF1425" s="48"/>
      <c r="AG1425" s="48"/>
      <c r="AH1425" s="48"/>
      <c r="AI1425" s="14"/>
      <c r="AJ1425" s="14"/>
      <c r="AK1425" s="14"/>
      <c r="AL1425" s="14"/>
      <c r="AM1425" s="14"/>
      <c r="AN1425" s="14"/>
      <c r="AO1425" s="14"/>
      <c r="AP1425" s="14"/>
      <c r="AQ1425" s="14"/>
      <c r="AR1425" s="14"/>
      <c r="AS1425" s="14"/>
      <c r="AT1425" s="14"/>
      <c r="AU1425" s="14"/>
      <c r="AV1425" s="14"/>
      <c r="AW1425" s="14"/>
      <c r="AX1425" s="14"/>
      <c r="AY1425" s="14"/>
      <c r="AZ1425" s="14"/>
      <c r="BA1425" s="14"/>
    </row>
    <row r="1426" ht="14.25" customHeight="1">
      <c r="A1426" s="10"/>
      <c r="B1426" s="12"/>
      <c r="C1426" s="12"/>
      <c r="D1426" s="12"/>
      <c r="E1426" s="44"/>
      <c r="F1426" s="12"/>
      <c r="G1426" s="12"/>
      <c r="H1426" s="45"/>
      <c r="I1426" s="45"/>
      <c r="J1426" s="12"/>
      <c r="K1426" s="12"/>
      <c r="L1426" s="14"/>
      <c r="M1426" s="14"/>
      <c r="N1426" s="14"/>
      <c r="O1426" s="14"/>
      <c r="P1426" s="14"/>
      <c r="Q1426" s="14"/>
      <c r="R1426" s="48"/>
      <c r="S1426" s="48"/>
      <c r="T1426" s="48"/>
      <c r="U1426" s="48"/>
      <c r="V1426" s="48"/>
      <c r="W1426" s="14"/>
      <c r="X1426" s="14"/>
      <c r="Y1426" s="14"/>
      <c r="Z1426" s="14"/>
      <c r="AA1426" s="14"/>
      <c r="AB1426" s="14"/>
      <c r="AC1426" s="14"/>
      <c r="AD1426" s="48"/>
      <c r="AE1426" s="48"/>
      <c r="AF1426" s="48"/>
      <c r="AG1426" s="48"/>
      <c r="AH1426" s="48"/>
      <c r="AI1426" s="14"/>
      <c r="AJ1426" s="14"/>
      <c r="AK1426" s="14"/>
      <c r="AL1426" s="14"/>
      <c r="AM1426" s="14"/>
      <c r="AN1426" s="14"/>
      <c r="AO1426" s="14"/>
      <c r="AP1426" s="14"/>
      <c r="AQ1426" s="14"/>
      <c r="AR1426" s="14"/>
      <c r="AS1426" s="14"/>
      <c r="AT1426" s="14"/>
      <c r="AU1426" s="14"/>
      <c r="AV1426" s="14"/>
      <c r="AW1426" s="14"/>
      <c r="AX1426" s="14"/>
      <c r="AY1426" s="14"/>
      <c r="AZ1426" s="14"/>
      <c r="BA1426" s="14"/>
    </row>
    <row r="1427" ht="14.25" customHeight="1">
      <c r="A1427" s="10"/>
      <c r="B1427" s="12"/>
      <c r="C1427" s="12"/>
      <c r="D1427" s="12"/>
      <c r="E1427" s="44"/>
      <c r="F1427" s="12"/>
      <c r="G1427" s="12"/>
      <c r="H1427" s="45"/>
      <c r="I1427" s="45"/>
      <c r="J1427" s="12"/>
      <c r="K1427" s="12"/>
      <c r="L1427" s="14"/>
      <c r="M1427" s="14"/>
      <c r="N1427" s="14"/>
      <c r="O1427" s="14"/>
      <c r="P1427" s="14"/>
      <c r="Q1427" s="14"/>
      <c r="R1427" s="48"/>
      <c r="S1427" s="48"/>
      <c r="T1427" s="48"/>
      <c r="U1427" s="48"/>
      <c r="V1427" s="48"/>
      <c r="W1427" s="14"/>
      <c r="X1427" s="14"/>
      <c r="Y1427" s="14"/>
      <c r="Z1427" s="14"/>
      <c r="AA1427" s="14"/>
      <c r="AB1427" s="14"/>
      <c r="AC1427" s="14"/>
      <c r="AD1427" s="48"/>
      <c r="AE1427" s="48"/>
      <c r="AF1427" s="48"/>
      <c r="AG1427" s="48"/>
      <c r="AH1427" s="48"/>
      <c r="AI1427" s="14"/>
      <c r="AJ1427" s="14"/>
      <c r="AK1427" s="14"/>
      <c r="AL1427" s="14"/>
      <c r="AM1427" s="14"/>
      <c r="AN1427" s="14"/>
      <c r="AO1427" s="14"/>
      <c r="AP1427" s="14"/>
      <c r="AQ1427" s="14"/>
      <c r="AR1427" s="14"/>
      <c r="AS1427" s="14"/>
      <c r="AT1427" s="14"/>
      <c r="AU1427" s="14"/>
      <c r="AV1427" s="14"/>
      <c r="AW1427" s="14"/>
      <c r="AX1427" s="14"/>
      <c r="AY1427" s="14"/>
      <c r="AZ1427" s="14"/>
      <c r="BA1427" s="14"/>
    </row>
    <row r="1428" ht="14.25" customHeight="1">
      <c r="A1428" s="10"/>
      <c r="B1428" s="12"/>
      <c r="C1428" s="12"/>
      <c r="D1428" s="12"/>
      <c r="E1428" s="44"/>
      <c r="F1428" s="12"/>
      <c r="G1428" s="12"/>
      <c r="H1428" s="45"/>
      <c r="I1428" s="45"/>
      <c r="J1428" s="12"/>
      <c r="K1428" s="12"/>
      <c r="L1428" s="14"/>
      <c r="M1428" s="14"/>
      <c r="N1428" s="14"/>
      <c r="O1428" s="14"/>
      <c r="P1428" s="14"/>
      <c r="Q1428" s="14"/>
      <c r="R1428" s="48"/>
      <c r="S1428" s="48"/>
      <c r="T1428" s="48"/>
      <c r="U1428" s="48"/>
      <c r="V1428" s="48"/>
      <c r="W1428" s="14"/>
      <c r="X1428" s="14"/>
      <c r="Y1428" s="14"/>
      <c r="Z1428" s="14"/>
      <c r="AA1428" s="14"/>
      <c r="AB1428" s="14"/>
      <c r="AC1428" s="14"/>
      <c r="AD1428" s="48"/>
      <c r="AE1428" s="48"/>
      <c r="AF1428" s="48"/>
      <c r="AG1428" s="48"/>
      <c r="AH1428" s="48"/>
      <c r="AI1428" s="14"/>
      <c r="AJ1428" s="14"/>
      <c r="AK1428" s="14"/>
      <c r="AL1428" s="14"/>
      <c r="AM1428" s="14"/>
      <c r="AN1428" s="14"/>
      <c r="AO1428" s="14"/>
      <c r="AP1428" s="14"/>
      <c r="AQ1428" s="14"/>
      <c r="AR1428" s="14"/>
      <c r="AS1428" s="14"/>
      <c r="AT1428" s="14"/>
      <c r="AU1428" s="14"/>
      <c r="AV1428" s="14"/>
      <c r="AW1428" s="14"/>
      <c r="AX1428" s="14"/>
      <c r="AY1428" s="14"/>
      <c r="AZ1428" s="14"/>
      <c r="BA1428" s="14"/>
    </row>
    <row r="1429" ht="14.25" customHeight="1">
      <c r="A1429" s="10"/>
      <c r="B1429" s="12"/>
      <c r="C1429" s="12"/>
      <c r="D1429" s="12"/>
      <c r="E1429" s="44"/>
      <c r="F1429" s="12"/>
      <c r="G1429" s="12"/>
      <c r="H1429" s="45"/>
      <c r="I1429" s="45"/>
      <c r="J1429" s="12"/>
      <c r="K1429" s="12"/>
      <c r="L1429" s="14"/>
      <c r="M1429" s="14"/>
      <c r="N1429" s="14"/>
      <c r="O1429" s="14"/>
      <c r="P1429" s="14"/>
      <c r="Q1429" s="14"/>
      <c r="R1429" s="48"/>
      <c r="S1429" s="48"/>
      <c r="T1429" s="48"/>
      <c r="U1429" s="48"/>
      <c r="V1429" s="48"/>
      <c r="W1429" s="14"/>
      <c r="X1429" s="14"/>
      <c r="Y1429" s="14"/>
      <c r="Z1429" s="14"/>
      <c r="AA1429" s="14"/>
      <c r="AB1429" s="14"/>
      <c r="AC1429" s="14"/>
      <c r="AD1429" s="48"/>
      <c r="AE1429" s="48"/>
      <c r="AF1429" s="48"/>
      <c r="AG1429" s="48"/>
      <c r="AH1429" s="48"/>
      <c r="AI1429" s="14"/>
      <c r="AJ1429" s="14"/>
      <c r="AK1429" s="14"/>
      <c r="AL1429" s="14"/>
      <c r="AM1429" s="14"/>
      <c r="AN1429" s="14"/>
      <c r="AO1429" s="14"/>
      <c r="AP1429" s="14"/>
      <c r="AQ1429" s="14"/>
      <c r="AR1429" s="14"/>
      <c r="AS1429" s="14"/>
      <c r="AT1429" s="14"/>
      <c r="AU1429" s="14"/>
      <c r="AV1429" s="14"/>
      <c r="AW1429" s="14"/>
      <c r="AX1429" s="14"/>
      <c r="AY1429" s="14"/>
      <c r="AZ1429" s="14"/>
      <c r="BA1429" s="14"/>
    </row>
    <row r="1430" ht="14.25" customHeight="1">
      <c r="A1430" s="10"/>
      <c r="B1430" s="12"/>
      <c r="C1430" s="12"/>
      <c r="D1430" s="12"/>
      <c r="E1430" s="44"/>
      <c r="F1430" s="12"/>
      <c r="G1430" s="12"/>
      <c r="H1430" s="45"/>
      <c r="I1430" s="45"/>
      <c r="J1430" s="12"/>
      <c r="K1430" s="12"/>
      <c r="L1430" s="14"/>
      <c r="M1430" s="14"/>
      <c r="N1430" s="14"/>
      <c r="O1430" s="14"/>
      <c r="P1430" s="14"/>
      <c r="Q1430" s="14"/>
      <c r="R1430" s="48"/>
      <c r="S1430" s="48"/>
      <c r="T1430" s="48"/>
      <c r="U1430" s="48"/>
      <c r="V1430" s="48"/>
      <c r="W1430" s="14"/>
      <c r="X1430" s="14"/>
      <c r="Y1430" s="14"/>
      <c r="Z1430" s="14"/>
      <c r="AA1430" s="14"/>
      <c r="AB1430" s="14"/>
      <c r="AC1430" s="14"/>
      <c r="AD1430" s="48"/>
      <c r="AE1430" s="48"/>
      <c r="AF1430" s="48"/>
      <c r="AG1430" s="48"/>
      <c r="AH1430" s="48"/>
      <c r="AI1430" s="14"/>
      <c r="AJ1430" s="14"/>
      <c r="AK1430" s="14"/>
      <c r="AL1430" s="14"/>
      <c r="AM1430" s="14"/>
      <c r="AN1430" s="14"/>
      <c r="AO1430" s="14"/>
      <c r="AP1430" s="14"/>
      <c r="AQ1430" s="14"/>
      <c r="AR1430" s="14"/>
      <c r="AS1430" s="14"/>
      <c r="AT1430" s="14"/>
      <c r="AU1430" s="14"/>
      <c r="AV1430" s="14"/>
      <c r="AW1430" s="14"/>
      <c r="AX1430" s="14"/>
      <c r="AY1430" s="14"/>
      <c r="AZ1430" s="14"/>
      <c r="BA1430" s="14"/>
    </row>
    <row r="1431" ht="14.25" customHeight="1">
      <c r="A1431" s="10"/>
      <c r="B1431" s="12"/>
      <c r="C1431" s="12"/>
      <c r="D1431" s="12"/>
      <c r="E1431" s="44"/>
      <c r="F1431" s="12"/>
      <c r="G1431" s="12"/>
      <c r="H1431" s="45"/>
      <c r="I1431" s="45"/>
      <c r="J1431" s="12"/>
      <c r="K1431" s="12"/>
      <c r="L1431" s="14"/>
      <c r="M1431" s="14"/>
      <c r="N1431" s="14"/>
      <c r="O1431" s="14"/>
      <c r="P1431" s="14"/>
      <c r="Q1431" s="14"/>
      <c r="R1431" s="48"/>
      <c r="S1431" s="48"/>
      <c r="T1431" s="48"/>
      <c r="U1431" s="48"/>
      <c r="V1431" s="48"/>
      <c r="W1431" s="14"/>
      <c r="X1431" s="14"/>
      <c r="Y1431" s="14"/>
      <c r="Z1431" s="14"/>
      <c r="AA1431" s="14"/>
      <c r="AB1431" s="14"/>
      <c r="AC1431" s="14"/>
      <c r="AD1431" s="48"/>
      <c r="AE1431" s="48"/>
      <c r="AF1431" s="48"/>
      <c r="AG1431" s="48"/>
      <c r="AH1431" s="48"/>
      <c r="AI1431" s="14"/>
      <c r="AJ1431" s="14"/>
      <c r="AK1431" s="14"/>
      <c r="AL1431" s="14"/>
      <c r="AM1431" s="14"/>
      <c r="AN1431" s="14"/>
      <c r="AO1431" s="14"/>
      <c r="AP1431" s="14"/>
      <c r="AQ1431" s="14"/>
      <c r="AR1431" s="14"/>
      <c r="AS1431" s="14"/>
      <c r="AT1431" s="14"/>
      <c r="AU1431" s="14"/>
      <c r="AV1431" s="14"/>
      <c r="AW1431" s="14"/>
      <c r="AX1431" s="14"/>
      <c r="AY1431" s="14"/>
      <c r="AZ1431" s="14"/>
      <c r="BA1431" s="14"/>
    </row>
    <row r="1432" ht="14.25" customHeight="1">
      <c r="A1432" s="10"/>
      <c r="B1432" s="12"/>
      <c r="C1432" s="12"/>
      <c r="D1432" s="12"/>
      <c r="E1432" s="44"/>
      <c r="F1432" s="12"/>
      <c r="G1432" s="12"/>
      <c r="H1432" s="45"/>
      <c r="I1432" s="45"/>
      <c r="J1432" s="12"/>
      <c r="K1432" s="12"/>
      <c r="L1432" s="14"/>
      <c r="M1432" s="14"/>
      <c r="N1432" s="14"/>
      <c r="O1432" s="14"/>
      <c r="P1432" s="14"/>
      <c r="Q1432" s="14"/>
      <c r="R1432" s="48"/>
      <c r="S1432" s="48"/>
      <c r="T1432" s="48"/>
      <c r="U1432" s="48"/>
      <c r="V1432" s="48"/>
      <c r="W1432" s="14"/>
      <c r="X1432" s="14"/>
      <c r="Y1432" s="14"/>
      <c r="Z1432" s="14"/>
      <c r="AA1432" s="14"/>
      <c r="AB1432" s="14"/>
      <c r="AC1432" s="14"/>
      <c r="AD1432" s="48"/>
      <c r="AE1432" s="48"/>
      <c r="AF1432" s="48"/>
      <c r="AG1432" s="48"/>
      <c r="AH1432" s="48"/>
      <c r="AI1432" s="14"/>
      <c r="AJ1432" s="14"/>
      <c r="AK1432" s="14"/>
      <c r="AL1432" s="14"/>
      <c r="AM1432" s="14"/>
      <c r="AN1432" s="14"/>
      <c r="AO1432" s="14"/>
      <c r="AP1432" s="14"/>
      <c r="AQ1432" s="14"/>
      <c r="AR1432" s="14"/>
      <c r="AS1432" s="14"/>
      <c r="AT1432" s="14"/>
      <c r="AU1432" s="14"/>
      <c r="AV1432" s="14"/>
      <c r="AW1432" s="14"/>
      <c r="AX1432" s="14"/>
      <c r="AY1432" s="14"/>
      <c r="AZ1432" s="14"/>
      <c r="BA1432" s="14"/>
    </row>
    <row r="1433" ht="14.25" customHeight="1">
      <c r="A1433" s="10"/>
      <c r="B1433" s="12"/>
      <c r="C1433" s="12"/>
      <c r="D1433" s="12"/>
      <c r="E1433" s="44"/>
      <c r="F1433" s="12"/>
      <c r="G1433" s="12"/>
      <c r="H1433" s="45"/>
      <c r="I1433" s="45"/>
      <c r="J1433" s="12"/>
      <c r="K1433" s="12"/>
      <c r="L1433" s="14"/>
      <c r="M1433" s="14"/>
      <c r="N1433" s="14"/>
      <c r="O1433" s="14"/>
      <c r="P1433" s="14"/>
      <c r="Q1433" s="14"/>
      <c r="R1433" s="48"/>
      <c r="S1433" s="48"/>
      <c r="T1433" s="48"/>
      <c r="U1433" s="48"/>
      <c r="V1433" s="48"/>
      <c r="W1433" s="14"/>
      <c r="X1433" s="14"/>
      <c r="Y1433" s="14"/>
      <c r="Z1433" s="14"/>
      <c r="AA1433" s="14"/>
      <c r="AB1433" s="14"/>
      <c r="AC1433" s="14"/>
      <c r="AD1433" s="48"/>
      <c r="AE1433" s="48"/>
      <c r="AF1433" s="48"/>
      <c r="AG1433" s="48"/>
      <c r="AH1433" s="48"/>
      <c r="AI1433" s="14"/>
      <c r="AJ1433" s="14"/>
      <c r="AK1433" s="14"/>
      <c r="AL1433" s="14"/>
      <c r="AM1433" s="14"/>
      <c r="AN1433" s="14"/>
      <c r="AO1433" s="14"/>
      <c r="AP1433" s="14"/>
      <c r="AQ1433" s="14"/>
      <c r="AR1433" s="14"/>
      <c r="AS1433" s="14"/>
      <c r="AT1433" s="14"/>
      <c r="AU1433" s="14"/>
      <c r="AV1433" s="14"/>
      <c r="AW1433" s="14"/>
      <c r="AX1433" s="14"/>
      <c r="AY1433" s="14"/>
      <c r="AZ1433" s="14"/>
      <c r="BA1433" s="14"/>
    </row>
    <row r="1434" ht="14.25" customHeight="1">
      <c r="A1434" s="10"/>
      <c r="B1434" s="12"/>
      <c r="C1434" s="12"/>
      <c r="D1434" s="12"/>
      <c r="E1434" s="44"/>
      <c r="F1434" s="12"/>
      <c r="G1434" s="12"/>
      <c r="H1434" s="45"/>
      <c r="I1434" s="45"/>
      <c r="J1434" s="12"/>
      <c r="K1434" s="12"/>
      <c r="L1434" s="14"/>
      <c r="M1434" s="14"/>
      <c r="N1434" s="14"/>
      <c r="O1434" s="14"/>
      <c r="P1434" s="14"/>
      <c r="Q1434" s="14"/>
      <c r="R1434" s="48"/>
      <c r="S1434" s="48"/>
      <c r="T1434" s="48"/>
      <c r="U1434" s="48"/>
      <c r="V1434" s="48"/>
      <c r="W1434" s="14"/>
      <c r="X1434" s="14"/>
      <c r="Y1434" s="14"/>
      <c r="Z1434" s="14"/>
      <c r="AA1434" s="14"/>
      <c r="AB1434" s="14"/>
      <c r="AC1434" s="14"/>
      <c r="AD1434" s="48"/>
      <c r="AE1434" s="48"/>
      <c r="AF1434" s="48"/>
      <c r="AG1434" s="48"/>
      <c r="AH1434" s="48"/>
      <c r="AI1434" s="14"/>
      <c r="AJ1434" s="14"/>
      <c r="AK1434" s="14"/>
      <c r="AL1434" s="14"/>
      <c r="AM1434" s="14"/>
      <c r="AN1434" s="14"/>
      <c r="AO1434" s="14"/>
      <c r="AP1434" s="14"/>
      <c r="AQ1434" s="14"/>
      <c r="AR1434" s="14"/>
      <c r="AS1434" s="14"/>
      <c r="AT1434" s="14"/>
      <c r="AU1434" s="14"/>
      <c r="AV1434" s="14"/>
      <c r="AW1434" s="14"/>
      <c r="AX1434" s="14"/>
      <c r="AY1434" s="14"/>
      <c r="AZ1434" s="14"/>
      <c r="BA1434" s="14"/>
    </row>
    <row r="1435" ht="14.25" customHeight="1">
      <c r="A1435" s="10"/>
      <c r="B1435" s="12"/>
      <c r="C1435" s="12"/>
      <c r="D1435" s="12"/>
      <c r="E1435" s="44"/>
      <c r="F1435" s="12"/>
      <c r="G1435" s="12"/>
      <c r="H1435" s="45"/>
      <c r="I1435" s="45"/>
      <c r="J1435" s="12"/>
      <c r="K1435" s="12"/>
      <c r="L1435" s="14"/>
      <c r="M1435" s="14"/>
      <c r="N1435" s="14"/>
      <c r="O1435" s="14"/>
      <c r="P1435" s="14"/>
      <c r="Q1435" s="14"/>
      <c r="R1435" s="48"/>
      <c r="S1435" s="48"/>
      <c r="T1435" s="48"/>
      <c r="U1435" s="48"/>
      <c r="V1435" s="48"/>
      <c r="W1435" s="14"/>
      <c r="X1435" s="14"/>
      <c r="Y1435" s="14"/>
      <c r="Z1435" s="14"/>
      <c r="AA1435" s="14"/>
      <c r="AB1435" s="14"/>
      <c r="AC1435" s="14"/>
      <c r="AD1435" s="48"/>
      <c r="AE1435" s="48"/>
      <c r="AF1435" s="48"/>
      <c r="AG1435" s="48"/>
      <c r="AH1435" s="48"/>
      <c r="AI1435" s="14"/>
      <c r="AJ1435" s="14"/>
      <c r="AK1435" s="14"/>
      <c r="AL1435" s="14"/>
      <c r="AM1435" s="14"/>
      <c r="AN1435" s="14"/>
      <c r="AO1435" s="14"/>
      <c r="AP1435" s="14"/>
      <c r="AQ1435" s="14"/>
      <c r="AR1435" s="14"/>
      <c r="AS1435" s="14"/>
      <c r="AT1435" s="14"/>
      <c r="AU1435" s="14"/>
      <c r="AV1435" s="14"/>
      <c r="AW1435" s="14"/>
      <c r="AX1435" s="14"/>
      <c r="AY1435" s="14"/>
      <c r="AZ1435" s="14"/>
      <c r="BA1435" s="14"/>
    </row>
    <row r="1436" ht="14.25" customHeight="1">
      <c r="A1436" s="10"/>
      <c r="B1436" s="12"/>
      <c r="C1436" s="12"/>
      <c r="D1436" s="12"/>
      <c r="E1436" s="44"/>
      <c r="F1436" s="12"/>
      <c r="G1436" s="12"/>
      <c r="H1436" s="45"/>
      <c r="I1436" s="45"/>
      <c r="J1436" s="12"/>
      <c r="K1436" s="12"/>
      <c r="L1436" s="14"/>
      <c r="M1436" s="14"/>
      <c r="N1436" s="14"/>
      <c r="O1436" s="14"/>
      <c r="P1436" s="14"/>
      <c r="Q1436" s="14"/>
      <c r="R1436" s="48"/>
      <c r="S1436" s="48"/>
      <c r="T1436" s="48"/>
      <c r="U1436" s="48"/>
      <c r="V1436" s="48"/>
      <c r="W1436" s="14"/>
      <c r="X1436" s="14"/>
      <c r="Y1436" s="14"/>
      <c r="Z1436" s="14"/>
      <c r="AA1436" s="14"/>
      <c r="AB1436" s="14"/>
      <c r="AC1436" s="14"/>
      <c r="AD1436" s="48"/>
      <c r="AE1436" s="48"/>
      <c r="AF1436" s="48"/>
      <c r="AG1436" s="48"/>
      <c r="AH1436" s="48"/>
      <c r="AI1436" s="14"/>
      <c r="AJ1436" s="14"/>
      <c r="AK1436" s="14"/>
      <c r="AL1436" s="14"/>
      <c r="AM1436" s="14"/>
      <c r="AN1436" s="14"/>
      <c r="AO1436" s="14"/>
      <c r="AP1436" s="14"/>
      <c r="AQ1436" s="14"/>
      <c r="AR1436" s="14"/>
      <c r="AS1436" s="14"/>
      <c r="AT1436" s="14"/>
      <c r="AU1436" s="14"/>
      <c r="AV1436" s="14"/>
      <c r="AW1436" s="14"/>
      <c r="AX1436" s="14"/>
      <c r="AY1436" s="14"/>
      <c r="AZ1436" s="14"/>
      <c r="BA1436" s="14"/>
    </row>
    <row r="1437" ht="14.25" customHeight="1">
      <c r="A1437" s="10"/>
      <c r="B1437" s="12"/>
      <c r="C1437" s="12"/>
      <c r="D1437" s="12"/>
      <c r="E1437" s="44"/>
      <c r="F1437" s="12"/>
      <c r="G1437" s="12"/>
      <c r="H1437" s="45"/>
      <c r="I1437" s="45"/>
      <c r="J1437" s="12"/>
      <c r="K1437" s="12"/>
      <c r="L1437" s="14"/>
      <c r="M1437" s="14"/>
      <c r="N1437" s="14"/>
      <c r="O1437" s="14"/>
      <c r="P1437" s="14"/>
      <c r="Q1437" s="14"/>
      <c r="R1437" s="48"/>
      <c r="S1437" s="48"/>
      <c r="T1437" s="48"/>
      <c r="U1437" s="48"/>
      <c r="V1437" s="48"/>
      <c r="W1437" s="14"/>
      <c r="X1437" s="14"/>
      <c r="Y1437" s="14"/>
      <c r="Z1437" s="14"/>
      <c r="AA1437" s="14"/>
      <c r="AB1437" s="14"/>
      <c r="AC1437" s="14"/>
      <c r="AD1437" s="48"/>
      <c r="AE1437" s="48"/>
      <c r="AF1437" s="48"/>
      <c r="AG1437" s="48"/>
      <c r="AH1437" s="48"/>
      <c r="AI1437" s="14"/>
      <c r="AJ1437" s="14"/>
      <c r="AK1437" s="14"/>
      <c r="AL1437" s="14"/>
      <c r="AM1437" s="14"/>
      <c r="AN1437" s="14"/>
      <c r="AO1437" s="14"/>
      <c r="AP1437" s="14"/>
      <c r="AQ1437" s="14"/>
      <c r="AR1437" s="14"/>
      <c r="AS1437" s="14"/>
      <c r="AT1437" s="14"/>
      <c r="AU1437" s="14"/>
      <c r="AV1437" s="14"/>
      <c r="AW1437" s="14"/>
      <c r="AX1437" s="14"/>
      <c r="AY1437" s="14"/>
      <c r="AZ1437" s="14"/>
      <c r="BA1437" s="14"/>
    </row>
    <row r="1438" ht="14.25" customHeight="1">
      <c r="A1438" s="10"/>
      <c r="B1438" s="12"/>
      <c r="C1438" s="12"/>
      <c r="D1438" s="12"/>
      <c r="E1438" s="44"/>
      <c r="F1438" s="12"/>
      <c r="G1438" s="12"/>
      <c r="H1438" s="45"/>
      <c r="I1438" s="45"/>
      <c r="J1438" s="12"/>
      <c r="K1438" s="12"/>
      <c r="L1438" s="14"/>
      <c r="M1438" s="14"/>
      <c r="N1438" s="14"/>
      <c r="O1438" s="14"/>
      <c r="P1438" s="14"/>
      <c r="Q1438" s="14"/>
      <c r="R1438" s="48"/>
      <c r="S1438" s="48"/>
      <c r="T1438" s="48"/>
      <c r="U1438" s="48"/>
      <c r="V1438" s="48"/>
      <c r="W1438" s="14"/>
      <c r="X1438" s="14"/>
      <c r="Y1438" s="14"/>
      <c r="Z1438" s="14"/>
      <c r="AA1438" s="14"/>
      <c r="AB1438" s="14"/>
      <c r="AC1438" s="14"/>
      <c r="AD1438" s="48"/>
      <c r="AE1438" s="48"/>
      <c r="AF1438" s="48"/>
      <c r="AG1438" s="48"/>
      <c r="AH1438" s="48"/>
      <c r="AI1438" s="14"/>
      <c r="AJ1438" s="14"/>
      <c r="AK1438" s="14"/>
      <c r="AL1438" s="14"/>
      <c r="AM1438" s="14"/>
      <c r="AN1438" s="14"/>
      <c r="AO1438" s="14"/>
      <c r="AP1438" s="14"/>
      <c r="AQ1438" s="14"/>
      <c r="AR1438" s="14"/>
      <c r="AS1438" s="14"/>
      <c r="AT1438" s="14"/>
      <c r="AU1438" s="14"/>
      <c r="AV1438" s="14"/>
      <c r="AW1438" s="14"/>
      <c r="AX1438" s="14"/>
      <c r="AY1438" s="14"/>
      <c r="AZ1438" s="14"/>
      <c r="BA1438" s="14"/>
    </row>
    <row r="1439" ht="14.25" customHeight="1">
      <c r="A1439" s="10"/>
      <c r="B1439" s="12"/>
      <c r="C1439" s="12"/>
      <c r="D1439" s="12"/>
      <c r="E1439" s="44"/>
      <c r="F1439" s="12"/>
      <c r="G1439" s="12"/>
      <c r="H1439" s="45"/>
      <c r="I1439" s="45"/>
      <c r="J1439" s="12"/>
      <c r="K1439" s="12"/>
      <c r="L1439" s="14"/>
      <c r="M1439" s="14"/>
      <c r="N1439" s="14"/>
      <c r="O1439" s="14"/>
      <c r="P1439" s="14"/>
      <c r="Q1439" s="14"/>
      <c r="R1439" s="48"/>
      <c r="S1439" s="48"/>
      <c r="T1439" s="48"/>
      <c r="U1439" s="48"/>
      <c r="V1439" s="48"/>
      <c r="W1439" s="14"/>
      <c r="X1439" s="14"/>
      <c r="Y1439" s="14"/>
      <c r="Z1439" s="14"/>
      <c r="AA1439" s="14"/>
      <c r="AB1439" s="14"/>
      <c r="AC1439" s="14"/>
      <c r="AD1439" s="48"/>
      <c r="AE1439" s="48"/>
      <c r="AF1439" s="48"/>
      <c r="AG1439" s="48"/>
      <c r="AH1439" s="48"/>
      <c r="AI1439" s="14"/>
      <c r="AJ1439" s="14"/>
      <c r="AK1439" s="14"/>
      <c r="AL1439" s="14"/>
      <c r="AM1439" s="14"/>
      <c r="AN1439" s="14"/>
      <c r="AO1439" s="14"/>
      <c r="AP1439" s="14"/>
      <c r="AQ1439" s="14"/>
      <c r="AR1439" s="14"/>
      <c r="AS1439" s="14"/>
      <c r="AT1439" s="14"/>
      <c r="AU1439" s="14"/>
      <c r="AV1439" s="14"/>
      <c r="AW1439" s="14"/>
      <c r="AX1439" s="14"/>
      <c r="AY1439" s="14"/>
      <c r="AZ1439" s="14"/>
      <c r="BA1439" s="14"/>
    </row>
    <row r="1440" ht="14.25" customHeight="1">
      <c r="A1440" s="10"/>
      <c r="B1440" s="12"/>
      <c r="C1440" s="12"/>
      <c r="D1440" s="12"/>
      <c r="E1440" s="44"/>
      <c r="F1440" s="12"/>
      <c r="G1440" s="12"/>
      <c r="H1440" s="45"/>
      <c r="I1440" s="45"/>
      <c r="J1440" s="12"/>
      <c r="K1440" s="12"/>
      <c r="L1440" s="14"/>
      <c r="M1440" s="14"/>
      <c r="N1440" s="14"/>
      <c r="O1440" s="14"/>
      <c r="P1440" s="14"/>
      <c r="Q1440" s="14"/>
      <c r="R1440" s="48"/>
      <c r="S1440" s="48"/>
      <c r="T1440" s="48"/>
      <c r="U1440" s="48"/>
      <c r="V1440" s="48"/>
      <c r="W1440" s="14"/>
      <c r="X1440" s="14"/>
      <c r="Y1440" s="14"/>
      <c r="Z1440" s="14"/>
      <c r="AA1440" s="14"/>
      <c r="AB1440" s="14"/>
      <c r="AC1440" s="14"/>
      <c r="AD1440" s="48"/>
      <c r="AE1440" s="48"/>
      <c r="AF1440" s="48"/>
      <c r="AG1440" s="48"/>
      <c r="AH1440" s="48"/>
      <c r="AI1440" s="14"/>
      <c r="AJ1440" s="14"/>
      <c r="AK1440" s="14"/>
      <c r="AL1440" s="14"/>
      <c r="AM1440" s="14"/>
      <c r="AN1440" s="14"/>
      <c r="AO1440" s="14"/>
      <c r="AP1440" s="14"/>
      <c r="AQ1440" s="14"/>
      <c r="AR1440" s="14"/>
      <c r="AS1440" s="14"/>
      <c r="AT1440" s="14"/>
      <c r="AU1440" s="14"/>
      <c r="AV1440" s="14"/>
      <c r="AW1440" s="14"/>
      <c r="AX1440" s="14"/>
      <c r="AY1440" s="14"/>
      <c r="AZ1440" s="14"/>
      <c r="BA1440" s="14"/>
    </row>
    <row r="1441" ht="14.25" customHeight="1">
      <c r="A1441" s="10"/>
      <c r="B1441" s="12"/>
      <c r="C1441" s="12"/>
      <c r="D1441" s="12"/>
      <c r="E1441" s="44"/>
      <c r="F1441" s="12"/>
      <c r="G1441" s="12"/>
      <c r="H1441" s="45"/>
      <c r="I1441" s="45"/>
      <c r="J1441" s="12"/>
      <c r="K1441" s="12"/>
      <c r="L1441" s="14"/>
      <c r="M1441" s="14"/>
      <c r="N1441" s="14"/>
      <c r="O1441" s="14"/>
      <c r="P1441" s="14"/>
      <c r="Q1441" s="14"/>
      <c r="R1441" s="48"/>
      <c r="S1441" s="48"/>
      <c r="T1441" s="48"/>
      <c r="U1441" s="48"/>
      <c r="V1441" s="48"/>
      <c r="W1441" s="14"/>
      <c r="X1441" s="14"/>
      <c r="Y1441" s="14"/>
      <c r="Z1441" s="14"/>
      <c r="AA1441" s="14"/>
      <c r="AB1441" s="14"/>
      <c r="AC1441" s="14"/>
      <c r="AD1441" s="48"/>
      <c r="AE1441" s="48"/>
      <c r="AF1441" s="48"/>
      <c r="AG1441" s="48"/>
      <c r="AH1441" s="48"/>
      <c r="AI1441" s="14"/>
      <c r="AJ1441" s="14"/>
      <c r="AK1441" s="14"/>
      <c r="AL1441" s="14"/>
      <c r="AM1441" s="14"/>
      <c r="AN1441" s="14"/>
      <c r="AO1441" s="14"/>
      <c r="AP1441" s="14"/>
      <c r="AQ1441" s="14"/>
      <c r="AR1441" s="14"/>
      <c r="AS1441" s="14"/>
      <c r="AT1441" s="14"/>
      <c r="AU1441" s="14"/>
      <c r="AV1441" s="14"/>
      <c r="AW1441" s="14"/>
      <c r="AX1441" s="14"/>
      <c r="AY1441" s="14"/>
      <c r="AZ1441" s="14"/>
      <c r="BA1441" s="14"/>
    </row>
    <row r="1442" ht="14.25" customHeight="1">
      <c r="A1442" s="10"/>
      <c r="B1442" s="12"/>
      <c r="C1442" s="12"/>
      <c r="D1442" s="12"/>
      <c r="E1442" s="44"/>
      <c r="F1442" s="12"/>
      <c r="G1442" s="12"/>
      <c r="H1442" s="45"/>
      <c r="I1442" s="45"/>
      <c r="J1442" s="12"/>
      <c r="K1442" s="12"/>
      <c r="L1442" s="14"/>
      <c r="M1442" s="14"/>
      <c r="N1442" s="14"/>
      <c r="O1442" s="14"/>
      <c r="P1442" s="14"/>
      <c r="Q1442" s="14"/>
      <c r="R1442" s="48"/>
      <c r="S1442" s="48"/>
      <c r="T1442" s="48"/>
      <c r="U1442" s="48"/>
      <c r="V1442" s="48"/>
      <c r="W1442" s="14"/>
      <c r="X1442" s="14"/>
      <c r="Y1442" s="14"/>
      <c r="Z1442" s="14"/>
      <c r="AA1442" s="14"/>
      <c r="AB1442" s="14"/>
      <c r="AC1442" s="14"/>
      <c r="AD1442" s="48"/>
      <c r="AE1442" s="48"/>
      <c r="AF1442" s="48"/>
      <c r="AG1442" s="48"/>
      <c r="AH1442" s="48"/>
      <c r="AI1442" s="14"/>
      <c r="AJ1442" s="14"/>
      <c r="AK1442" s="14"/>
      <c r="AL1442" s="14"/>
      <c r="AM1442" s="14"/>
      <c r="AN1442" s="14"/>
      <c r="AO1442" s="14"/>
      <c r="AP1442" s="14"/>
      <c r="AQ1442" s="14"/>
      <c r="AR1442" s="14"/>
      <c r="AS1442" s="14"/>
      <c r="AT1442" s="14"/>
      <c r="AU1442" s="14"/>
      <c r="AV1442" s="14"/>
      <c r="AW1442" s="14"/>
      <c r="AX1442" s="14"/>
      <c r="AY1442" s="14"/>
      <c r="AZ1442" s="14"/>
      <c r="BA1442" s="14"/>
    </row>
    <row r="1443" ht="14.25" customHeight="1">
      <c r="A1443" s="10"/>
      <c r="B1443" s="12"/>
      <c r="C1443" s="12"/>
      <c r="D1443" s="12"/>
      <c r="E1443" s="44"/>
      <c r="F1443" s="12"/>
      <c r="G1443" s="12"/>
      <c r="H1443" s="45"/>
      <c r="I1443" s="45"/>
      <c r="J1443" s="12"/>
      <c r="K1443" s="12"/>
      <c r="L1443" s="14"/>
      <c r="M1443" s="14"/>
      <c r="N1443" s="14"/>
      <c r="O1443" s="14"/>
      <c r="P1443" s="14"/>
      <c r="Q1443" s="14"/>
      <c r="R1443" s="48"/>
      <c r="S1443" s="48"/>
      <c r="T1443" s="48"/>
      <c r="U1443" s="48"/>
      <c r="V1443" s="48"/>
      <c r="W1443" s="14"/>
      <c r="X1443" s="14"/>
      <c r="Y1443" s="14"/>
      <c r="Z1443" s="14"/>
      <c r="AA1443" s="14"/>
      <c r="AB1443" s="14"/>
      <c r="AC1443" s="14"/>
      <c r="AD1443" s="48"/>
      <c r="AE1443" s="48"/>
      <c r="AF1443" s="48"/>
      <c r="AG1443" s="48"/>
      <c r="AH1443" s="48"/>
      <c r="AI1443" s="14"/>
      <c r="AJ1443" s="14"/>
      <c r="AK1443" s="14"/>
      <c r="AL1443" s="14"/>
      <c r="AM1443" s="14"/>
      <c r="AN1443" s="14"/>
      <c r="AO1443" s="14"/>
      <c r="AP1443" s="14"/>
      <c r="AQ1443" s="14"/>
      <c r="AR1443" s="14"/>
      <c r="AS1443" s="14"/>
      <c r="AT1443" s="14"/>
      <c r="AU1443" s="14"/>
      <c r="AV1443" s="14"/>
      <c r="AW1443" s="14"/>
      <c r="AX1443" s="14"/>
      <c r="AY1443" s="14"/>
      <c r="AZ1443" s="14"/>
      <c r="BA1443" s="14"/>
    </row>
    <row r="1444" ht="14.25" customHeight="1">
      <c r="A1444" s="10"/>
      <c r="B1444" s="12"/>
      <c r="C1444" s="12"/>
      <c r="D1444" s="12"/>
      <c r="E1444" s="44"/>
      <c r="F1444" s="12"/>
      <c r="G1444" s="12"/>
      <c r="H1444" s="45"/>
      <c r="I1444" s="45"/>
      <c r="J1444" s="12"/>
      <c r="K1444" s="12"/>
      <c r="L1444" s="14"/>
      <c r="M1444" s="14"/>
      <c r="N1444" s="14"/>
      <c r="O1444" s="14"/>
      <c r="P1444" s="14"/>
      <c r="Q1444" s="14"/>
      <c r="R1444" s="48"/>
      <c r="S1444" s="48"/>
      <c r="T1444" s="48"/>
      <c r="U1444" s="48"/>
      <c r="V1444" s="48"/>
      <c r="W1444" s="14"/>
      <c r="X1444" s="14"/>
      <c r="Y1444" s="14"/>
      <c r="Z1444" s="14"/>
      <c r="AA1444" s="14"/>
      <c r="AB1444" s="14"/>
      <c r="AC1444" s="14"/>
      <c r="AD1444" s="48"/>
      <c r="AE1444" s="48"/>
      <c r="AF1444" s="48"/>
      <c r="AG1444" s="48"/>
      <c r="AH1444" s="48"/>
      <c r="AI1444" s="14"/>
      <c r="AJ1444" s="14"/>
      <c r="AK1444" s="14"/>
      <c r="AL1444" s="14"/>
      <c r="AM1444" s="14"/>
      <c r="AN1444" s="14"/>
      <c r="AO1444" s="14"/>
      <c r="AP1444" s="14"/>
      <c r="AQ1444" s="14"/>
      <c r="AR1444" s="14"/>
      <c r="AS1444" s="14"/>
      <c r="AT1444" s="14"/>
      <c r="AU1444" s="14"/>
      <c r="AV1444" s="14"/>
      <c r="AW1444" s="14"/>
      <c r="AX1444" s="14"/>
      <c r="AY1444" s="14"/>
      <c r="AZ1444" s="14"/>
      <c r="BA1444" s="14"/>
    </row>
    <row r="1445" ht="14.25" customHeight="1">
      <c r="A1445" s="10"/>
      <c r="B1445" s="12"/>
      <c r="C1445" s="12"/>
      <c r="D1445" s="12"/>
      <c r="E1445" s="44"/>
      <c r="F1445" s="12"/>
      <c r="G1445" s="12"/>
      <c r="H1445" s="45"/>
      <c r="I1445" s="45"/>
      <c r="J1445" s="12"/>
      <c r="K1445" s="12"/>
      <c r="L1445" s="14"/>
      <c r="M1445" s="14"/>
      <c r="N1445" s="14"/>
      <c r="O1445" s="14"/>
      <c r="P1445" s="14"/>
      <c r="Q1445" s="14"/>
      <c r="R1445" s="48"/>
      <c r="S1445" s="48"/>
      <c r="T1445" s="48"/>
      <c r="U1445" s="48"/>
      <c r="V1445" s="48"/>
      <c r="W1445" s="14"/>
      <c r="X1445" s="14"/>
      <c r="Y1445" s="14"/>
      <c r="Z1445" s="14"/>
      <c r="AA1445" s="14"/>
      <c r="AB1445" s="14"/>
      <c r="AC1445" s="14"/>
      <c r="AD1445" s="48"/>
      <c r="AE1445" s="48"/>
      <c r="AF1445" s="48"/>
      <c r="AG1445" s="48"/>
      <c r="AH1445" s="48"/>
      <c r="AI1445" s="14"/>
      <c r="AJ1445" s="14"/>
      <c r="AK1445" s="14"/>
      <c r="AL1445" s="14"/>
      <c r="AM1445" s="14"/>
      <c r="AN1445" s="14"/>
      <c r="AO1445" s="14"/>
      <c r="AP1445" s="14"/>
      <c r="AQ1445" s="14"/>
      <c r="AR1445" s="14"/>
      <c r="AS1445" s="14"/>
      <c r="AT1445" s="14"/>
      <c r="AU1445" s="14"/>
      <c r="AV1445" s="14"/>
      <c r="AW1445" s="14"/>
      <c r="AX1445" s="14"/>
      <c r="AY1445" s="14"/>
      <c r="AZ1445" s="14"/>
      <c r="BA1445" s="14"/>
    </row>
    <row r="1446" ht="14.25" customHeight="1">
      <c r="A1446" s="10"/>
      <c r="B1446" s="12"/>
      <c r="C1446" s="12"/>
      <c r="D1446" s="12"/>
      <c r="E1446" s="44"/>
      <c r="F1446" s="12"/>
      <c r="G1446" s="12"/>
      <c r="H1446" s="45"/>
      <c r="I1446" s="45"/>
      <c r="J1446" s="12"/>
      <c r="K1446" s="12"/>
      <c r="L1446" s="14"/>
      <c r="M1446" s="14"/>
      <c r="N1446" s="14"/>
      <c r="O1446" s="14"/>
      <c r="P1446" s="14"/>
      <c r="Q1446" s="14"/>
      <c r="R1446" s="48"/>
      <c r="S1446" s="48"/>
      <c r="T1446" s="48"/>
      <c r="U1446" s="48"/>
      <c r="V1446" s="48"/>
      <c r="W1446" s="14"/>
      <c r="X1446" s="14"/>
      <c r="Y1446" s="14"/>
      <c r="Z1446" s="14"/>
      <c r="AA1446" s="14"/>
      <c r="AB1446" s="14"/>
      <c r="AC1446" s="14"/>
      <c r="AD1446" s="48"/>
      <c r="AE1446" s="48"/>
      <c r="AF1446" s="48"/>
      <c r="AG1446" s="48"/>
      <c r="AH1446" s="48"/>
      <c r="AI1446" s="14"/>
      <c r="AJ1446" s="14"/>
      <c r="AK1446" s="14"/>
      <c r="AL1446" s="14"/>
      <c r="AM1446" s="14"/>
      <c r="AN1446" s="14"/>
      <c r="AO1446" s="14"/>
      <c r="AP1446" s="14"/>
      <c r="AQ1446" s="14"/>
      <c r="AR1446" s="14"/>
      <c r="AS1446" s="14"/>
      <c r="AT1446" s="14"/>
      <c r="AU1446" s="14"/>
      <c r="AV1446" s="14"/>
      <c r="AW1446" s="14"/>
      <c r="AX1446" s="14"/>
      <c r="AY1446" s="14"/>
      <c r="AZ1446" s="14"/>
      <c r="BA1446" s="14"/>
    </row>
    <row r="1447" ht="14.25" customHeight="1">
      <c r="A1447" s="10"/>
      <c r="B1447" s="12"/>
      <c r="C1447" s="12"/>
      <c r="D1447" s="12"/>
      <c r="E1447" s="44"/>
      <c r="F1447" s="12"/>
      <c r="G1447" s="12"/>
      <c r="H1447" s="45"/>
      <c r="I1447" s="45"/>
      <c r="J1447" s="12"/>
      <c r="K1447" s="12"/>
      <c r="L1447" s="14"/>
      <c r="M1447" s="14"/>
      <c r="N1447" s="14"/>
      <c r="O1447" s="14"/>
      <c r="P1447" s="14"/>
      <c r="Q1447" s="14"/>
      <c r="R1447" s="48"/>
      <c r="S1447" s="48"/>
      <c r="T1447" s="48"/>
      <c r="U1447" s="48"/>
      <c r="V1447" s="48"/>
      <c r="W1447" s="14"/>
      <c r="X1447" s="14"/>
      <c r="Y1447" s="14"/>
      <c r="Z1447" s="14"/>
      <c r="AA1447" s="14"/>
      <c r="AB1447" s="14"/>
      <c r="AC1447" s="14"/>
      <c r="AD1447" s="48"/>
      <c r="AE1447" s="48"/>
      <c r="AF1447" s="48"/>
      <c r="AG1447" s="48"/>
      <c r="AH1447" s="48"/>
      <c r="AI1447" s="14"/>
      <c r="AJ1447" s="14"/>
      <c r="AK1447" s="14"/>
      <c r="AL1447" s="14"/>
      <c r="AM1447" s="14"/>
      <c r="AN1447" s="14"/>
      <c r="AO1447" s="14"/>
      <c r="AP1447" s="14"/>
      <c r="AQ1447" s="14"/>
      <c r="AR1447" s="14"/>
      <c r="AS1447" s="14"/>
      <c r="AT1447" s="14"/>
      <c r="AU1447" s="14"/>
      <c r="AV1447" s="14"/>
      <c r="AW1447" s="14"/>
      <c r="AX1447" s="14"/>
      <c r="AY1447" s="14"/>
      <c r="AZ1447" s="14"/>
      <c r="BA1447" s="14"/>
    </row>
    <row r="1448" ht="14.25" customHeight="1">
      <c r="A1448" s="10"/>
      <c r="B1448" s="12"/>
      <c r="C1448" s="12"/>
      <c r="D1448" s="12"/>
      <c r="E1448" s="44"/>
      <c r="F1448" s="12"/>
      <c r="G1448" s="12"/>
      <c r="H1448" s="45"/>
      <c r="I1448" s="45"/>
      <c r="J1448" s="12"/>
      <c r="K1448" s="12"/>
      <c r="L1448" s="14"/>
      <c r="M1448" s="14"/>
      <c r="N1448" s="14"/>
      <c r="O1448" s="14"/>
      <c r="P1448" s="14"/>
      <c r="Q1448" s="14"/>
      <c r="R1448" s="48"/>
      <c r="S1448" s="48"/>
      <c r="T1448" s="48"/>
      <c r="U1448" s="48"/>
      <c r="V1448" s="48"/>
      <c r="W1448" s="14"/>
      <c r="X1448" s="14"/>
      <c r="Y1448" s="14"/>
      <c r="Z1448" s="14"/>
      <c r="AA1448" s="14"/>
      <c r="AB1448" s="14"/>
      <c r="AC1448" s="14"/>
      <c r="AD1448" s="48"/>
      <c r="AE1448" s="48"/>
      <c r="AF1448" s="48"/>
      <c r="AG1448" s="48"/>
      <c r="AH1448" s="48"/>
      <c r="AI1448" s="14"/>
      <c r="AJ1448" s="14"/>
      <c r="AK1448" s="14"/>
      <c r="AL1448" s="14"/>
      <c r="AM1448" s="14"/>
      <c r="AN1448" s="14"/>
      <c r="AO1448" s="14"/>
      <c r="AP1448" s="14"/>
      <c r="AQ1448" s="14"/>
      <c r="AR1448" s="14"/>
      <c r="AS1448" s="14"/>
      <c r="AT1448" s="14"/>
      <c r="AU1448" s="14"/>
      <c r="AV1448" s="14"/>
      <c r="AW1448" s="14"/>
      <c r="AX1448" s="14"/>
      <c r="AY1448" s="14"/>
      <c r="AZ1448" s="14"/>
      <c r="BA1448" s="14"/>
    </row>
    <row r="1449" ht="14.25" customHeight="1">
      <c r="A1449" s="10"/>
      <c r="B1449" s="12"/>
      <c r="C1449" s="12"/>
      <c r="D1449" s="12"/>
      <c r="E1449" s="44"/>
      <c r="F1449" s="12"/>
      <c r="G1449" s="12"/>
      <c r="H1449" s="45"/>
      <c r="I1449" s="45"/>
      <c r="J1449" s="12"/>
      <c r="K1449" s="12"/>
      <c r="L1449" s="14"/>
      <c r="M1449" s="14"/>
      <c r="N1449" s="14"/>
      <c r="O1449" s="14"/>
      <c r="P1449" s="14"/>
      <c r="Q1449" s="14"/>
      <c r="R1449" s="48"/>
      <c r="S1449" s="48"/>
      <c r="T1449" s="48"/>
      <c r="U1449" s="48"/>
      <c r="V1449" s="48"/>
      <c r="W1449" s="14"/>
      <c r="X1449" s="14"/>
      <c r="Y1449" s="14"/>
      <c r="Z1449" s="14"/>
      <c r="AA1449" s="14"/>
      <c r="AB1449" s="14"/>
      <c r="AC1449" s="14"/>
      <c r="AD1449" s="48"/>
      <c r="AE1449" s="48"/>
      <c r="AF1449" s="48"/>
      <c r="AG1449" s="48"/>
      <c r="AH1449" s="48"/>
      <c r="AI1449" s="14"/>
      <c r="AJ1449" s="14"/>
      <c r="AK1449" s="14"/>
      <c r="AL1449" s="14"/>
      <c r="AM1449" s="14"/>
      <c r="AN1449" s="14"/>
      <c r="AO1449" s="14"/>
      <c r="AP1449" s="14"/>
      <c r="AQ1449" s="14"/>
      <c r="AR1449" s="14"/>
      <c r="AS1449" s="14"/>
      <c r="AT1449" s="14"/>
      <c r="AU1449" s="14"/>
      <c r="AV1449" s="14"/>
      <c r="AW1449" s="14"/>
      <c r="AX1449" s="14"/>
      <c r="AY1449" s="14"/>
      <c r="AZ1449" s="14"/>
      <c r="BA1449" s="14"/>
    </row>
    <row r="1450" ht="14.25" customHeight="1">
      <c r="A1450" s="10"/>
      <c r="B1450" s="12"/>
      <c r="C1450" s="12"/>
      <c r="D1450" s="12"/>
      <c r="E1450" s="44"/>
      <c r="F1450" s="12"/>
      <c r="G1450" s="12"/>
      <c r="H1450" s="45"/>
      <c r="I1450" s="45"/>
      <c r="J1450" s="12"/>
      <c r="K1450" s="12"/>
      <c r="L1450" s="14"/>
      <c r="M1450" s="14"/>
      <c r="N1450" s="14"/>
      <c r="O1450" s="14"/>
      <c r="P1450" s="14"/>
      <c r="Q1450" s="14"/>
      <c r="R1450" s="48"/>
      <c r="S1450" s="48"/>
      <c r="T1450" s="48"/>
      <c r="U1450" s="48"/>
      <c r="V1450" s="48"/>
      <c r="W1450" s="14"/>
      <c r="X1450" s="14"/>
      <c r="Y1450" s="14"/>
      <c r="Z1450" s="14"/>
      <c r="AA1450" s="14"/>
      <c r="AB1450" s="14"/>
      <c r="AC1450" s="14"/>
      <c r="AD1450" s="48"/>
      <c r="AE1450" s="48"/>
      <c r="AF1450" s="48"/>
      <c r="AG1450" s="48"/>
      <c r="AH1450" s="48"/>
      <c r="AI1450" s="14"/>
      <c r="AJ1450" s="14"/>
      <c r="AK1450" s="14"/>
      <c r="AL1450" s="14"/>
      <c r="AM1450" s="14"/>
      <c r="AN1450" s="14"/>
      <c r="AO1450" s="14"/>
      <c r="AP1450" s="14"/>
      <c r="AQ1450" s="14"/>
      <c r="AR1450" s="14"/>
      <c r="AS1450" s="14"/>
      <c r="AT1450" s="14"/>
      <c r="AU1450" s="14"/>
      <c r="AV1450" s="14"/>
      <c r="AW1450" s="14"/>
      <c r="AX1450" s="14"/>
      <c r="AY1450" s="14"/>
      <c r="AZ1450" s="14"/>
      <c r="BA1450" s="14"/>
    </row>
    <row r="1451" ht="14.25" customHeight="1">
      <c r="A1451" s="10"/>
      <c r="B1451" s="12"/>
      <c r="C1451" s="12"/>
      <c r="D1451" s="12"/>
      <c r="E1451" s="44"/>
      <c r="F1451" s="12"/>
      <c r="G1451" s="12"/>
      <c r="H1451" s="45"/>
      <c r="I1451" s="45"/>
      <c r="J1451" s="12"/>
      <c r="K1451" s="12"/>
      <c r="L1451" s="14"/>
      <c r="M1451" s="14"/>
      <c r="N1451" s="14"/>
      <c r="O1451" s="14"/>
      <c r="P1451" s="14"/>
      <c r="Q1451" s="14"/>
      <c r="R1451" s="48"/>
      <c r="S1451" s="48"/>
      <c r="T1451" s="48"/>
      <c r="U1451" s="48"/>
      <c r="V1451" s="48"/>
      <c r="W1451" s="14"/>
      <c r="X1451" s="14"/>
      <c r="Y1451" s="14"/>
      <c r="Z1451" s="14"/>
      <c r="AA1451" s="14"/>
      <c r="AB1451" s="14"/>
      <c r="AC1451" s="14"/>
      <c r="AD1451" s="48"/>
      <c r="AE1451" s="48"/>
      <c r="AF1451" s="48"/>
      <c r="AG1451" s="48"/>
      <c r="AH1451" s="48"/>
      <c r="AI1451" s="14"/>
      <c r="AJ1451" s="14"/>
      <c r="AK1451" s="14"/>
      <c r="AL1451" s="14"/>
      <c r="AM1451" s="14"/>
      <c r="AN1451" s="14"/>
      <c r="AO1451" s="14"/>
      <c r="AP1451" s="14"/>
      <c r="AQ1451" s="14"/>
      <c r="AR1451" s="14"/>
      <c r="AS1451" s="14"/>
      <c r="AT1451" s="14"/>
      <c r="AU1451" s="14"/>
      <c r="AV1451" s="14"/>
      <c r="AW1451" s="14"/>
      <c r="AX1451" s="14"/>
      <c r="AY1451" s="14"/>
      <c r="AZ1451" s="14"/>
      <c r="BA1451" s="14"/>
    </row>
    <row r="1452" ht="14.25" customHeight="1">
      <c r="A1452" s="10"/>
      <c r="B1452" s="12"/>
      <c r="C1452" s="12"/>
      <c r="D1452" s="12"/>
      <c r="E1452" s="44"/>
      <c r="F1452" s="12"/>
      <c r="G1452" s="12"/>
      <c r="H1452" s="45"/>
      <c r="I1452" s="45"/>
      <c r="J1452" s="12"/>
      <c r="K1452" s="12"/>
      <c r="L1452" s="14"/>
      <c r="M1452" s="14"/>
      <c r="N1452" s="14"/>
      <c r="O1452" s="14"/>
      <c r="P1452" s="14"/>
      <c r="Q1452" s="14"/>
      <c r="R1452" s="48"/>
      <c r="S1452" s="48"/>
      <c r="T1452" s="48"/>
      <c r="U1452" s="48"/>
      <c r="V1452" s="48"/>
      <c r="W1452" s="14"/>
      <c r="X1452" s="14"/>
      <c r="Y1452" s="14"/>
      <c r="Z1452" s="14"/>
      <c r="AA1452" s="14"/>
      <c r="AB1452" s="14"/>
      <c r="AC1452" s="14"/>
      <c r="AD1452" s="48"/>
      <c r="AE1452" s="48"/>
      <c r="AF1452" s="48"/>
      <c r="AG1452" s="48"/>
      <c r="AH1452" s="48"/>
      <c r="AI1452" s="14"/>
      <c r="AJ1452" s="14"/>
      <c r="AK1452" s="14"/>
      <c r="AL1452" s="14"/>
      <c r="AM1452" s="14"/>
      <c r="AN1452" s="14"/>
      <c r="AO1452" s="14"/>
      <c r="AP1452" s="14"/>
      <c r="AQ1452" s="14"/>
      <c r="AR1452" s="14"/>
      <c r="AS1452" s="14"/>
      <c r="AT1452" s="14"/>
      <c r="AU1452" s="14"/>
      <c r="AV1452" s="14"/>
      <c r="AW1452" s="14"/>
      <c r="AX1452" s="14"/>
      <c r="AY1452" s="14"/>
      <c r="AZ1452" s="14"/>
      <c r="BA1452" s="14"/>
    </row>
    <row r="1453" ht="14.25" customHeight="1">
      <c r="A1453" s="10"/>
      <c r="B1453" s="12"/>
      <c r="C1453" s="12"/>
      <c r="D1453" s="12"/>
      <c r="E1453" s="44"/>
      <c r="F1453" s="12"/>
      <c r="G1453" s="12"/>
      <c r="H1453" s="45"/>
      <c r="I1453" s="45"/>
      <c r="J1453" s="12"/>
      <c r="K1453" s="12"/>
      <c r="L1453" s="14"/>
      <c r="M1453" s="14"/>
      <c r="N1453" s="14"/>
      <c r="O1453" s="14"/>
      <c r="P1453" s="14"/>
      <c r="Q1453" s="14"/>
      <c r="R1453" s="48"/>
      <c r="S1453" s="48"/>
      <c r="T1453" s="48"/>
      <c r="U1453" s="48"/>
      <c r="V1453" s="48"/>
      <c r="W1453" s="14"/>
      <c r="X1453" s="14"/>
      <c r="Y1453" s="14"/>
      <c r="Z1453" s="14"/>
      <c r="AA1453" s="14"/>
      <c r="AB1453" s="14"/>
      <c r="AC1453" s="14"/>
      <c r="AD1453" s="48"/>
      <c r="AE1453" s="48"/>
      <c r="AF1453" s="48"/>
      <c r="AG1453" s="48"/>
      <c r="AH1453" s="48"/>
      <c r="AI1453" s="14"/>
      <c r="AJ1453" s="14"/>
      <c r="AK1453" s="14"/>
      <c r="AL1453" s="14"/>
      <c r="AM1453" s="14"/>
      <c r="AN1453" s="14"/>
      <c r="AO1453" s="14"/>
      <c r="AP1453" s="14"/>
      <c r="AQ1453" s="14"/>
      <c r="AR1453" s="14"/>
      <c r="AS1453" s="14"/>
      <c r="AT1453" s="14"/>
      <c r="AU1453" s="14"/>
      <c r="AV1453" s="14"/>
      <c r="AW1453" s="14"/>
      <c r="AX1453" s="14"/>
      <c r="AY1453" s="14"/>
      <c r="AZ1453" s="14"/>
      <c r="BA1453" s="14"/>
    </row>
    <row r="1454" ht="14.25" customHeight="1">
      <c r="A1454" s="10"/>
      <c r="B1454" s="12"/>
      <c r="C1454" s="12"/>
      <c r="D1454" s="12"/>
      <c r="E1454" s="44"/>
      <c r="F1454" s="12"/>
      <c r="G1454" s="12"/>
      <c r="H1454" s="45"/>
      <c r="I1454" s="45"/>
      <c r="J1454" s="12"/>
      <c r="K1454" s="12"/>
      <c r="L1454" s="14"/>
      <c r="M1454" s="14"/>
      <c r="N1454" s="14"/>
      <c r="O1454" s="14"/>
      <c r="P1454" s="14"/>
      <c r="Q1454" s="14"/>
      <c r="R1454" s="48"/>
      <c r="S1454" s="48"/>
      <c r="T1454" s="48"/>
      <c r="U1454" s="48"/>
      <c r="V1454" s="48"/>
      <c r="W1454" s="14"/>
      <c r="X1454" s="14"/>
      <c r="Y1454" s="14"/>
      <c r="Z1454" s="14"/>
      <c r="AA1454" s="14"/>
      <c r="AB1454" s="14"/>
      <c r="AC1454" s="14"/>
      <c r="AD1454" s="48"/>
      <c r="AE1454" s="48"/>
      <c r="AF1454" s="48"/>
      <c r="AG1454" s="48"/>
      <c r="AH1454" s="48"/>
      <c r="AI1454" s="14"/>
      <c r="AJ1454" s="14"/>
      <c r="AK1454" s="14"/>
      <c r="AL1454" s="14"/>
      <c r="AM1454" s="14"/>
      <c r="AN1454" s="14"/>
      <c r="AO1454" s="14"/>
      <c r="AP1454" s="14"/>
      <c r="AQ1454" s="14"/>
      <c r="AR1454" s="14"/>
      <c r="AS1454" s="14"/>
      <c r="AT1454" s="14"/>
      <c r="AU1454" s="14"/>
      <c r="AV1454" s="14"/>
      <c r="AW1454" s="14"/>
      <c r="AX1454" s="14"/>
      <c r="AY1454" s="14"/>
      <c r="AZ1454" s="14"/>
      <c r="BA1454" s="14"/>
    </row>
    <row r="1455" ht="14.25" customHeight="1">
      <c r="A1455" s="10"/>
      <c r="B1455" s="12"/>
      <c r="C1455" s="12"/>
      <c r="D1455" s="12"/>
      <c r="E1455" s="44"/>
      <c r="F1455" s="12"/>
      <c r="G1455" s="12"/>
      <c r="H1455" s="45"/>
      <c r="I1455" s="45"/>
      <c r="J1455" s="12"/>
      <c r="K1455" s="12"/>
      <c r="L1455" s="14"/>
      <c r="M1455" s="14"/>
      <c r="N1455" s="14"/>
      <c r="O1455" s="14"/>
      <c r="P1455" s="14"/>
      <c r="Q1455" s="14"/>
      <c r="R1455" s="48"/>
      <c r="S1455" s="48"/>
      <c r="T1455" s="48"/>
      <c r="U1455" s="48"/>
      <c r="V1455" s="48"/>
      <c r="W1455" s="14"/>
      <c r="X1455" s="14"/>
      <c r="Y1455" s="14"/>
      <c r="Z1455" s="14"/>
      <c r="AA1455" s="14"/>
      <c r="AB1455" s="14"/>
      <c r="AC1455" s="14"/>
      <c r="AD1455" s="48"/>
      <c r="AE1455" s="48"/>
      <c r="AF1455" s="48"/>
      <c r="AG1455" s="48"/>
      <c r="AH1455" s="48"/>
      <c r="AI1455" s="14"/>
      <c r="AJ1455" s="14"/>
      <c r="AK1455" s="14"/>
      <c r="AL1455" s="14"/>
      <c r="AM1455" s="14"/>
      <c r="AN1455" s="14"/>
      <c r="AO1455" s="14"/>
      <c r="AP1455" s="14"/>
      <c r="AQ1455" s="14"/>
      <c r="AR1455" s="14"/>
      <c r="AS1455" s="14"/>
      <c r="AT1455" s="14"/>
      <c r="AU1455" s="14"/>
      <c r="AV1455" s="14"/>
      <c r="AW1455" s="14"/>
      <c r="AX1455" s="14"/>
      <c r="AY1455" s="14"/>
      <c r="AZ1455" s="14"/>
      <c r="BA1455" s="14"/>
    </row>
    <row r="1456" ht="14.25" customHeight="1">
      <c r="A1456" s="10"/>
      <c r="B1456" s="12"/>
      <c r="C1456" s="12"/>
      <c r="D1456" s="12"/>
      <c r="E1456" s="44"/>
      <c r="F1456" s="12"/>
      <c r="G1456" s="12"/>
      <c r="H1456" s="45"/>
      <c r="I1456" s="45"/>
      <c r="J1456" s="12"/>
      <c r="K1456" s="12"/>
      <c r="L1456" s="14"/>
      <c r="M1456" s="14"/>
      <c r="N1456" s="14"/>
      <c r="O1456" s="14"/>
      <c r="P1456" s="14"/>
      <c r="Q1456" s="14"/>
      <c r="R1456" s="48"/>
      <c r="S1456" s="48"/>
      <c r="T1456" s="48"/>
      <c r="U1456" s="48"/>
      <c r="V1456" s="48"/>
      <c r="W1456" s="14"/>
      <c r="X1456" s="14"/>
      <c r="Y1456" s="14"/>
      <c r="Z1456" s="14"/>
      <c r="AA1456" s="14"/>
      <c r="AB1456" s="14"/>
      <c r="AC1456" s="14"/>
      <c r="AD1456" s="48"/>
      <c r="AE1456" s="48"/>
      <c r="AF1456" s="48"/>
      <c r="AG1456" s="48"/>
      <c r="AH1456" s="48"/>
      <c r="AI1456" s="14"/>
      <c r="AJ1456" s="14"/>
      <c r="AK1456" s="14"/>
      <c r="AL1456" s="14"/>
      <c r="AM1456" s="14"/>
      <c r="AN1456" s="14"/>
      <c r="AO1456" s="14"/>
      <c r="AP1456" s="14"/>
      <c r="AQ1456" s="14"/>
      <c r="AR1456" s="14"/>
      <c r="AS1456" s="14"/>
      <c r="AT1456" s="14"/>
      <c r="AU1456" s="14"/>
      <c r="AV1456" s="14"/>
      <c r="AW1456" s="14"/>
      <c r="AX1456" s="14"/>
      <c r="AY1456" s="14"/>
      <c r="AZ1456" s="14"/>
      <c r="BA1456" s="14"/>
    </row>
    <row r="1457" ht="14.25" customHeight="1">
      <c r="A1457" s="10"/>
      <c r="B1457" s="12"/>
      <c r="C1457" s="12"/>
      <c r="D1457" s="12"/>
      <c r="E1457" s="44"/>
      <c r="F1457" s="12"/>
      <c r="G1457" s="12"/>
      <c r="H1457" s="45"/>
      <c r="I1457" s="45"/>
      <c r="J1457" s="12"/>
      <c r="K1457" s="12"/>
      <c r="L1457" s="14"/>
      <c r="M1457" s="14"/>
      <c r="N1457" s="14"/>
      <c r="O1457" s="14"/>
      <c r="P1457" s="14"/>
      <c r="Q1457" s="14"/>
      <c r="R1457" s="48"/>
      <c r="S1457" s="48"/>
      <c r="T1457" s="48"/>
      <c r="U1457" s="48"/>
      <c r="V1457" s="48"/>
      <c r="W1457" s="14"/>
      <c r="X1457" s="14"/>
      <c r="Y1457" s="14"/>
      <c r="Z1457" s="14"/>
      <c r="AA1457" s="14"/>
      <c r="AB1457" s="14"/>
      <c r="AC1457" s="14"/>
      <c r="AD1457" s="48"/>
      <c r="AE1457" s="48"/>
      <c r="AF1457" s="48"/>
      <c r="AG1457" s="48"/>
      <c r="AH1457" s="48"/>
      <c r="AI1457" s="14"/>
      <c r="AJ1457" s="14"/>
      <c r="AK1457" s="14"/>
      <c r="AL1457" s="14"/>
      <c r="AM1457" s="14"/>
      <c r="AN1457" s="14"/>
      <c r="AO1457" s="14"/>
      <c r="AP1457" s="14"/>
      <c r="AQ1457" s="14"/>
      <c r="AR1457" s="14"/>
      <c r="AS1457" s="14"/>
      <c r="AT1457" s="14"/>
      <c r="AU1457" s="14"/>
      <c r="AV1457" s="14"/>
      <c r="AW1457" s="14"/>
      <c r="AX1457" s="14"/>
      <c r="AY1457" s="14"/>
      <c r="AZ1457" s="14"/>
      <c r="BA1457" s="14"/>
    </row>
    <row r="1458" ht="14.25" customHeight="1">
      <c r="A1458" s="10"/>
      <c r="B1458" s="12"/>
      <c r="C1458" s="12"/>
      <c r="D1458" s="12"/>
      <c r="E1458" s="44"/>
      <c r="F1458" s="12"/>
      <c r="G1458" s="12"/>
      <c r="H1458" s="45"/>
      <c r="I1458" s="45"/>
      <c r="J1458" s="12"/>
      <c r="K1458" s="12"/>
      <c r="L1458" s="14"/>
      <c r="M1458" s="14"/>
      <c r="N1458" s="14"/>
      <c r="O1458" s="14"/>
      <c r="P1458" s="14"/>
      <c r="Q1458" s="14"/>
      <c r="R1458" s="48"/>
      <c r="S1458" s="48"/>
      <c r="T1458" s="48"/>
      <c r="U1458" s="48"/>
      <c r="V1458" s="48"/>
      <c r="W1458" s="14"/>
      <c r="X1458" s="14"/>
      <c r="Y1458" s="14"/>
      <c r="Z1458" s="14"/>
      <c r="AA1458" s="14"/>
      <c r="AB1458" s="14"/>
      <c r="AC1458" s="14"/>
      <c r="AD1458" s="48"/>
      <c r="AE1458" s="48"/>
      <c r="AF1458" s="48"/>
      <c r="AG1458" s="48"/>
      <c r="AH1458" s="48"/>
      <c r="AI1458" s="14"/>
      <c r="AJ1458" s="14"/>
      <c r="AK1458" s="14"/>
      <c r="AL1458" s="14"/>
      <c r="AM1458" s="14"/>
      <c r="AN1458" s="14"/>
      <c r="AO1458" s="14"/>
      <c r="AP1458" s="14"/>
      <c r="AQ1458" s="14"/>
      <c r="AR1458" s="14"/>
      <c r="AS1458" s="14"/>
      <c r="AT1458" s="14"/>
      <c r="AU1458" s="14"/>
      <c r="AV1458" s="14"/>
      <c r="AW1458" s="14"/>
      <c r="AX1458" s="14"/>
      <c r="AY1458" s="14"/>
      <c r="AZ1458" s="14"/>
      <c r="BA1458" s="14"/>
    </row>
    <row r="1459" ht="14.25" customHeight="1">
      <c r="A1459" s="10"/>
      <c r="B1459" s="12"/>
      <c r="C1459" s="12"/>
      <c r="D1459" s="12"/>
      <c r="E1459" s="44"/>
      <c r="F1459" s="12"/>
      <c r="G1459" s="12"/>
      <c r="H1459" s="45"/>
      <c r="I1459" s="45"/>
      <c r="J1459" s="12"/>
      <c r="K1459" s="12"/>
      <c r="L1459" s="14"/>
      <c r="M1459" s="14"/>
      <c r="N1459" s="14"/>
      <c r="O1459" s="14"/>
      <c r="P1459" s="14"/>
      <c r="Q1459" s="14"/>
      <c r="R1459" s="48"/>
      <c r="S1459" s="48"/>
      <c r="T1459" s="48"/>
      <c r="U1459" s="48"/>
      <c r="V1459" s="48"/>
      <c r="W1459" s="14"/>
      <c r="X1459" s="14"/>
      <c r="Y1459" s="14"/>
      <c r="Z1459" s="14"/>
      <c r="AA1459" s="14"/>
      <c r="AB1459" s="14"/>
      <c r="AC1459" s="14"/>
      <c r="AD1459" s="48"/>
      <c r="AE1459" s="48"/>
      <c r="AF1459" s="48"/>
      <c r="AG1459" s="48"/>
      <c r="AH1459" s="48"/>
      <c r="AI1459" s="14"/>
      <c r="AJ1459" s="14"/>
      <c r="AK1459" s="14"/>
      <c r="AL1459" s="14"/>
      <c r="AM1459" s="14"/>
      <c r="AN1459" s="14"/>
      <c r="AO1459" s="14"/>
      <c r="AP1459" s="14"/>
      <c r="AQ1459" s="14"/>
      <c r="AR1459" s="14"/>
      <c r="AS1459" s="14"/>
      <c r="AT1459" s="14"/>
      <c r="AU1459" s="14"/>
      <c r="AV1459" s="14"/>
      <c r="AW1459" s="14"/>
      <c r="AX1459" s="14"/>
      <c r="AY1459" s="14"/>
      <c r="AZ1459" s="14"/>
      <c r="BA1459" s="14"/>
    </row>
    <row r="1460" ht="14.25" customHeight="1">
      <c r="A1460" s="10"/>
      <c r="B1460" s="12"/>
      <c r="C1460" s="12"/>
      <c r="D1460" s="12"/>
      <c r="E1460" s="44"/>
      <c r="F1460" s="12"/>
      <c r="G1460" s="12"/>
      <c r="H1460" s="45"/>
      <c r="I1460" s="45"/>
      <c r="J1460" s="12"/>
      <c r="K1460" s="12"/>
      <c r="L1460" s="14"/>
      <c r="M1460" s="14"/>
      <c r="N1460" s="14"/>
      <c r="O1460" s="14"/>
      <c r="P1460" s="14"/>
      <c r="Q1460" s="14"/>
      <c r="R1460" s="48"/>
      <c r="S1460" s="48"/>
      <c r="T1460" s="48"/>
      <c r="U1460" s="48"/>
      <c r="V1460" s="48"/>
      <c r="W1460" s="14"/>
      <c r="X1460" s="14"/>
      <c r="Y1460" s="14"/>
      <c r="Z1460" s="14"/>
      <c r="AA1460" s="14"/>
      <c r="AB1460" s="14"/>
      <c r="AC1460" s="14"/>
      <c r="AD1460" s="48"/>
      <c r="AE1460" s="48"/>
      <c r="AF1460" s="48"/>
      <c r="AG1460" s="48"/>
      <c r="AH1460" s="48"/>
      <c r="AI1460" s="14"/>
      <c r="AJ1460" s="14"/>
      <c r="AK1460" s="14"/>
      <c r="AL1460" s="14"/>
      <c r="AM1460" s="14"/>
      <c r="AN1460" s="14"/>
      <c r="AO1460" s="14"/>
      <c r="AP1460" s="14"/>
      <c r="AQ1460" s="14"/>
      <c r="AR1460" s="14"/>
      <c r="AS1460" s="14"/>
      <c r="AT1460" s="14"/>
      <c r="AU1460" s="14"/>
      <c r="AV1460" s="14"/>
      <c r="AW1460" s="14"/>
      <c r="AX1460" s="14"/>
      <c r="AY1460" s="14"/>
      <c r="AZ1460" s="14"/>
      <c r="BA1460" s="14"/>
    </row>
    <row r="1461" ht="14.25" customHeight="1">
      <c r="A1461" s="10"/>
      <c r="B1461" s="12"/>
      <c r="C1461" s="12"/>
      <c r="D1461" s="12"/>
      <c r="E1461" s="44"/>
      <c r="F1461" s="12"/>
      <c r="G1461" s="12"/>
      <c r="H1461" s="45"/>
      <c r="I1461" s="45"/>
      <c r="J1461" s="12"/>
      <c r="K1461" s="12"/>
      <c r="L1461" s="14"/>
      <c r="M1461" s="14"/>
      <c r="N1461" s="14"/>
      <c r="O1461" s="14"/>
      <c r="P1461" s="14"/>
      <c r="Q1461" s="14"/>
      <c r="R1461" s="48"/>
      <c r="S1461" s="48"/>
      <c r="T1461" s="48"/>
      <c r="U1461" s="48"/>
      <c r="V1461" s="48"/>
      <c r="W1461" s="14"/>
      <c r="X1461" s="14"/>
      <c r="Y1461" s="14"/>
      <c r="Z1461" s="14"/>
      <c r="AA1461" s="14"/>
      <c r="AB1461" s="14"/>
      <c r="AC1461" s="14"/>
      <c r="AD1461" s="48"/>
      <c r="AE1461" s="48"/>
      <c r="AF1461" s="48"/>
      <c r="AG1461" s="48"/>
      <c r="AH1461" s="48"/>
      <c r="AI1461" s="14"/>
      <c r="AJ1461" s="14"/>
      <c r="AK1461" s="14"/>
      <c r="AL1461" s="14"/>
      <c r="AM1461" s="14"/>
      <c r="AN1461" s="14"/>
      <c r="AO1461" s="14"/>
      <c r="AP1461" s="14"/>
      <c r="AQ1461" s="14"/>
      <c r="AR1461" s="14"/>
      <c r="AS1461" s="14"/>
      <c r="AT1461" s="14"/>
      <c r="AU1461" s="14"/>
      <c r="AV1461" s="14"/>
      <c r="AW1461" s="14"/>
      <c r="AX1461" s="14"/>
      <c r="AY1461" s="14"/>
      <c r="AZ1461" s="14"/>
      <c r="BA1461" s="14"/>
    </row>
    <row r="1462" ht="14.25" customHeight="1">
      <c r="A1462" s="10"/>
      <c r="B1462" s="12"/>
      <c r="C1462" s="12"/>
      <c r="D1462" s="12"/>
      <c r="E1462" s="44"/>
      <c r="F1462" s="12"/>
      <c r="G1462" s="12"/>
      <c r="H1462" s="45"/>
      <c r="I1462" s="45"/>
      <c r="J1462" s="12"/>
      <c r="K1462" s="12"/>
      <c r="L1462" s="14"/>
      <c r="M1462" s="14"/>
      <c r="N1462" s="14"/>
      <c r="O1462" s="14"/>
      <c r="P1462" s="14"/>
      <c r="Q1462" s="14"/>
      <c r="R1462" s="48"/>
      <c r="S1462" s="48"/>
      <c r="T1462" s="48"/>
      <c r="U1462" s="48"/>
      <c r="V1462" s="48"/>
      <c r="W1462" s="14"/>
      <c r="X1462" s="14"/>
      <c r="Y1462" s="14"/>
      <c r="Z1462" s="14"/>
      <c r="AA1462" s="14"/>
      <c r="AB1462" s="14"/>
      <c r="AC1462" s="14"/>
      <c r="AD1462" s="48"/>
      <c r="AE1462" s="48"/>
      <c r="AF1462" s="48"/>
      <c r="AG1462" s="48"/>
      <c r="AH1462" s="48"/>
      <c r="AI1462" s="14"/>
      <c r="AJ1462" s="14"/>
      <c r="AK1462" s="14"/>
      <c r="AL1462" s="14"/>
      <c r="AM1462" s="14"/>
      <c r="AN1462" s="14"/>
      <c r="AO1462" s="14"/>
      <c r="AP1462" s="14"/>
      <c r="AQ1462" s="14"/>
      <c r="AR1462" s="14"/>
      <c r="AS1462" s="14"/>
      <c r="AT1462" s="14"/>
      <c r="AU1462" s="14"/>
      <c r="AV1462" s="14"/>
      <c r="AW1462" s="14"/>
      <c r="AX1462" s="14"/>
      <c r="AY1462" s="14"/>
      <c r="AZ1462" s="14"/>
      <c r="BA1462" s="14"/>
    </row>
    <row r="1463" ht="14.25" customHeight="1">
      <c r="A1463" s="10"/>
      <c r="B1463" s="12"/>
      <c r="C1463" s="12"/>
      <c r="D1463" s="12"/>
      <c r="E1463" s="44"/>
      <c r="F1463" s="12"/>
      <c r="G1463" s="12"/>
      <c r="H1463" s="45"/>
      <c r="I1463" s="45"/>
      <c r="J1463" s="12"/>
      <c r="K1463" s="12"/>
      <c r="L1463" s="14"/>
      <c r="M1463" s="14"/>
      <c r="N1463" s="14"/>
      <c r="O1463" s="14"/>
      <c r="P1463" s="14"/>
      <c r="Q1463" s="14"/>
      <c r="R1463" s="48"/>
      <c r="S1463" s="48"/>
      <c r="T1463" s="48"/>
      <c r="U1463" s="48"/>
      <c r="V1463" s="48"/>
      <c r="W1463" s="14"/>
      <c r="X1463" s="14"/>
      <c r="Y1463" s="14"/>
      <c r="Z1463" s="14"/>
      <c r="AA1463" s="14"/>
      <c r="AB1463" s="14"/>
      <c r="AC1463" s="14"/>
      <c r="AD1463" s="48"/>
      <c r="AE1463" s="48"/>
      <c r="AF1463" s="48"/>
      <c r="AG1463" s="48"/>
      <c r="AH1463" s="48"/>
      <c r="AI1463" s="14"/>
      <c r="AJ1463" s="14"/>
      <c r="AK1463" s="14"/>
      <c r="AL1463" s="14"/>
      <c r="AM1463" s="14"/>
      <c r="AN1463" s="14"/>
      <c r="AO1463" s="14"/>
      <c r="AP1463" s="14"/>
      <c r="AQ1463" s="14"/>
      <c r="AR1463" s="14"/>
      <c r="AS1463" s="14"/>
      <c r="AT1463" s="14"/>
      <c r="AU1463" s="14"/>
      <c r="AV1463" s="14"/>
      <c r="AW1463" s="14"/>
      <c r="AX1463" s="14"/>
      <c r="AY1463" s="14"/>
      <c r="AZ1463" s="14"/>
      <c r="BA1463" s="14"/>
    </row>
    <row r="1464" ht="14.25" customHeight="1">
      <c r="A1464" s="10"/>
      <c r="B1464" s="12"/>
      <c r="C1464" s="12"/>
      <c r="D1464" s="12"/>
      <c r="E1464" s="44"/>
      <c r="F1464" s="12"/>
      <c r="G1464" s="12"/>
      <c r="H1464" s="45"/>
      <c r="I1464" s="45"/>
      <c r="J1464" s="12"/>
      <c r="K1464" s="12"/>
      <c r="L1464" s="14"/>
      <c r="M1464" s="14"/>
      <c r="N1464" s="14"/>
      <c r="O1464" s="14"/>
      <c r="P1464" s="14"/>
      <c r="Q1464" s="14"/>
      <c r="R1464" s="48"/>
      <c r="S1464" s="48"/>
      <c r="T1464" s="48"/>
      <c r="U1464" s="48"/>
      <c r="V1464" s="48"/>
      <c r="W1464" s="14"/>
      <c r="X1464" s="14"/>
      <c r="Y1464" s="14"/>
      <c r="Z1464" s="14"/>
      <c r="AA1464" s="14"/>
      <c r="AB1464" s="14"/>
      <c r="AC1464" s="14"/>
      <c r="AD1464" s="48"/>
      <c r="AE1464" s="48"/>
      <c r="AF1464" s="48"/>
      <c r="AG1464" s="48"/>
      <c r="AH1464" s="48"/>
      <c r="AI1464" s="14"/>
      <c r="AJ1464" s="14"/>
      <c r="AK1464" s="14"/>
      <c r="AL1464" s="14"/>
      <c r="AM1464" s="14"/>
      <c r="AN1464" s="14"/>
      <c r="AO1464" s="14"/>
      <c r="AP1464" s="14"/>
      <c r="AQ1464" s="14"/>
      <c r="AR1464" s="14"/>
      <c r="AS1464" s="14"/>
      <c r="AT1464" s="14"/>
      <c r="AU1464" s="14"/>
      <c r="AV1464" s="14"/>
      <c r="AW1464" s="14"/>
      <c r="AX1464" s="14"/>
      <c r="AY1464" s="14"/>
      <c r="AZ1464" s="14"/>
      <c r="BA1464" s="14"/>
    </row>
    <row r="1465" ht="14.25" customHeight="1">
      <c r="A1465" s="10"/>
      <c r="B1465" s="12"/>
      <c r="C1465" s="12"/>
      <c r="D1465" s="12"/>
      <c r="E1465" s="44"/>
      <c r="F1465" s="12"/>
      <c r="G1465" s="12"/>
      <c r="H1465" s="45"/>
      <c r="I1465" s="45"/>
      <c r="J1465" s="12"/>
      <c r="K1465" s="12"/>
      <c r="L1465" s="14"/>
      <c r="M1465" s="14"/>
      <c r="N1465" s="14"/>
      <c r="O1465" s="14"/>
      <c r="P1465" s="14"/>
      <c r="Q1465" s="14"/>
      <c r="R1465" s="48"/>
      <c r="S1465" s="48"/>
      <c r="T1465" s="48"/>
      <c r="U1465" s="48"/>
      <c r="V1465" s="48"/>
      <c r="W1465" s="14"/>
      <c r="X1465" s="14"/>
      <c r="Y1465" s="14"/>
      <c r="Z1465" s="14"/>
      <c r="AA1465" s="14"/>
      <c r="AB1465" s="14"/>
      <c r="AC1465" s="14"/>
      <c r="AD1465" s="48"/>
      <c r="AE1465" s="48"/>
      <c r="AF1465" s="48"/>
      <c r="AG1465" s="48"/>
      <c r="AH1465" s="48"/>
      <c r="AI1465" s="14"/>
      <c r="AJ1465" s="14"/>
      <c r="AK1465" s="14"/>
      <c r="AL1465" s="14"/>
      <c r="AM1465" s="14"/>
      <c r="AN1465" s="14"/>
      <c r="AO1465" s="14"/>
      <c r="AP1465" s="14"/>
      <c r="AQ1465" s="14"/>
      <c r="AR1465" s="14"/>
      <c r="AS1465" s="14"/>
      <c r="AT1465" s="14"/>
      <c r="AU1465" s="14"/>
      <c r="AV1465" s="14"/>
      <c r="AW1465" s="14"/>
      <c r="AX1465" s="14"/>
      <c r="AY1465" s="14"/>
      <c r="AZ1465" s="14"/>
      <c r="BA1465" s="14"/>
    </row>
    <row r="1466" ht="14.25" customHeight="1">
      <c r="A1466" s="10"/>
      <c r="B1466" s="12"/>
      <c r="C1466" s="12"/>
      <c r="D1466" s="12"/>
      <c r="E1466" s="44"/>
      <c r="F1466" s="12"/>
      <c r="G1466" s="12"/>
      <c r="H1466" s="45"/>
      <c r="I1466" s="45"/>
      <c r="J1466" s="12"/>
      <c r="K1466" s="12"/>
      <c r="L1466" s="14"/>
      <c r="M1466" s="14"/>
      <c r="N1466" s="14"/>
      <c r="O1466" s="14"/>
      <c r="P1466" s="14"/>
      <c r="Q1466" s="14"/>
      <c r="R1466" s="48"/>
      <c r="S1466" s="48"/>
      <c r="T1466" s="48"/>
      <c r="U1466" s="48"/>
      <c r="V1466" s="48"/>
      <c r="W1466" s="14"/>
      <c r="X1466" s="14"/>
      <c r="Y1466" s="14"/>
      <c r="Z1466" s="14"/>
      <c r="AA1466" s="14"/>
      <c r="AB1466" s="14"/>
      <c r="AC1466" s="14"/>
      <c r="AD1466" s="48"/>
      <c r="AE1466" s="48"/>
      <c r="AF1466" s="48"/>
      <c r="AG1466" s="48"/>
      <c r="AH1466" s="48"/>
      <c r="AI1466" s="14"/>
      <c r="AJ1466" s="14"/>
      <c r="AK1466" s="14"/>
      <c r="AL1466" s="14"/>
      <c r="AM1466" s="14"/>
      <c r="AN1466" s="14"/>
      <c r="AO1466" s="14"/>
      <c r="AP1466" s="14"/>
      <c r="AQ1466" s="14"/>
      <c r="AR1466" s="14"/>
      <c r="AS1466" s="14"/>
      <c r="AT1466" s="14"/>
      <c r="AU1466" s="14"/>
      <c r="AV1466" s="14"/>
      <c r="AW1466" s="14"/>
      <c r="AX1466" s="14"/>
      <c r="AY1466" s="14"/>
      <c r="AZ1466" s="14"/>
      <c r="BA1466" s="14"/>
    </row>
    <row r="1467" ht="14.25" customHeight="1">
      <c r="A1467" s="10"/>
      <c r="B1467" s="12"/>
      <c r="C1467" s="12"/>
      <c r="D1467" s="12"/>
      <c r="E1467" s="44"/>
      <c r="F1467" s="12"/>
      <c r="G1467" s="12"/>
      <c r="H1467" s="45"/>
      <c r="I1467" s="45"/>
      <c r="J1467" s="12"/>
      <c r="K1467" s="12"/>
      <c r="L1467" s="14"/>
      <c r="M1467" s="14"/>
      <c r="N1467" s="14"/>
      <c r="O1467" s="14"/>
      <c r="P1467" s="14"/>
      <c r="Q1467" s="14"/>
      <c r="R1467" s="48"/>
      <c r="S1467" s="48"/>
      <c r="T1467" s="48"/>
      <c r="U1467" s="48"/>
      <c r="V1467" s="48"/>
      <c r="W1467" s="14"/>
      <c r="X1467" s="14"/>
      <c r="Y1467" s="14"/>
      <c r="Z1467" s="14"/>
      <c r="AA1467" s="14"/>
      <c r="AB1467" s="14"/>
      <c r="AC1467" s="14"/>
      <c r="AD1467" s="48"/>
      <c r="AE1467" s="48"/>
      <c r="AF1467" s="48"/>
      <c r="AG1467" s="48"/>
      <c r="AH1467" s="48"/>
      <c r="AI1467" s="14"/>
      <c r="AJ1467" s="14"/>
      <c r="AK1467" s="14"/>
      <c r="AL1467" s="14"/>
      <c r="AM1467" s="14"/>
      <c r="AN1467" s="14"/>
      <c r="AO1467" s="14"/>
      <c r="AP1467" s="14"/>
      <c r="AQ1467" s="14"/>
      <c r="AR1467" s="14"/>
      <c r="AS1467" s="14"/>
      <c r="AT1467" s="14"/>
      <c r="AU1467" s="14"/>
      <c r="AV1467" s="14"/>
      <c r="AW1467" s="14"/>
      <c r="AX1467" s="14"/>
      <c r="AY1467" s="14"/>
      <c r="AZ1467" s="14"/>
      <c r="BA1467" s="14"/>
    </row>
    <row r="1468" ht="14.25" customHeight="1">
      <c r="A1468" s="10"/>
      <c r="B1468" s="12"/>
      <c r="C1468" s="12"/>
      <c r="D1468" s="12"/>
      <c r="E1468" s="44"/>
      <c r="F1468" s="12"/>
      <c r="G1468" s="12"/>
      <c r="H1468" s="45"/>
      <c r="I1468" s="45"/>
      <c r="J1468" s="12"/>
      <c r="K1468" s="12"/>
      <c r="L1468" s="14"/>
      <c r="M1468" s="14"/>
      <c r="N1468" s="14"/>
      <c r="O1468" s="14"/>
      <c r="P1468" s="14"/>
      <c r="Q1468" s="14"/>
      <c r="R1468" s="48"/>
      <c r="S1468" s="48"/>
      <c r="T1468" s="48"/>
      <c r="U1468" s="48"/>
      <c r="V1468" s="48"/>
      <c r="W1468" s="14"/>
      <c r="X1468" s="14"/>
      <c r="Y1468" s="14"/>
      <c r="Z1468" s="14"/>
      <c r="AA1468" s="14"/>
      <c r="AB1468" s="14"/>
      <c r="AC1468" s="14"/>
      <c r="AD1468" s="48"/>
      <c r="AE1468" s="48"/>
      <c r="AF1468" s="48"/>
      <c r="AG1468" s="48"/>
      <c r="AH1468" s="48"/>
      <c r="AI1468" s="14"/>
      <c r="AJ1468" s="14"/>
      <c r="AK1468" s="14"/>
      <c r="AL1468" s="14"/>
      <c r="AM1468" s="14"/>
      <c r="AN1468" s="14"/>
      <c r="AO1468" s="14"/>
      <c r="AP1468" s="14"/>
      <c r="AQ1468" s="14"/>
      <c r="AR1468" s="14"/>
      <c r="AS1468" s="14"/>
      <c r="AT1468" s="14"/>
      <c r="AU1468" s="14"/>
      <c r="AV1468" s="14"/>
      <c r="AW1468" s="14"/>
      <c r="AX1468" s="14"/>
      <c r="AY1468" s="14"/>
      <c r="AZ1468" s="14"/>
      <c r="BA1468" s="14"/>
    </row>
    <row r="1469" ht="14.25" customHeight="1">
      <c r="A1469" s="10"/>
      <c r="B1469" s="12"/>
      <c r="C1469" s="12"/>
      <c r="D1469" s="12"/>
      <c r="E1469" s="44"/>
      <c r="F1469" s="12"/>
      <c r="G1469" s="12"/>
      <c r="H1469" s="45"/>
      <c r="I1469" s="45"/>
      <c r="J1469" s="12"/>
      <c r="K1469" s="12"/>
      <c r="L1469" s="14"/>
      <c r="M1469" s="14"/>
      <c r="N1469" s="14"/>
      <c r="O1469" s="14"/>
      <c r="P1469" s="14"/>
      <c r="Q1469" s="14"/>
      <c r="R1469" s="48"/>
      <c r="S1469" s="48"/>
      <c r="T1469" s="48"/>
      <c r="U1469" s="48"/>
      <c r="V1469" s="48"/>
      <c r="W1469" s="14"/>
      <c r="X1469" s="14"/>
      <c r="Y1469" s="14"/>
      <c r="Z1469" s="14"/>
      <c r="AA1469" s="14"/>
      <c r="AB1469" s="14"/>
      <c r="AC1469" s="14"/>
      <c r="AD1469" s="48"/>
      <c r="AE1469" s="48"/>
      <c r="AF1469" s="48"/>
      <c r="AG1469" s="48"/>
      <c r="AH1469" s="48"/>
      <c r="AI1469" s="14"/>
      <c r="AJ1469" s="14"/>
      <c r="AK1469" s="14"/>
      <c r="AL1469" s="14"/>
      <c r="AM1469" s="14"/>
      <c r="AN1469" s="14"/>
      <c r="AO1469" s="14"/>
      <c r="AP1469" s="14"/>
      <c r="AQ1469" s="14"/>
      <c r="AR1469" s="14"/>
      <c r="AS1469" s="14"/>
      <c r="AT1469" s="14"/>
      <c r="AU1469" s="14"/>
      <c r="AV1469" s="14"/>
      <c r="AW1469" s="14"/>
      <c r="AX1469" s="14"/>
      <c r="AY1469" s="14"/>
      <c r="AZ1469" s="14"/>
      <c r="BA1469" s="14"/>
    </row>
    <row r="1470" ht="14.25" customHeight="1">
      <c r="A1470" s="10"/>
      <c r="B1470" s="12"/>
      <c r="C1470" s="12"/>
      <c r="D1470" s="12"/>
      <c r="E1470" s="44"/>
      <c r="F1470" s="12"/>
      <c r="G1470" s="12"/>
      <c r="H1470" s="45"/>
      <c r="I1470" s="45"/>
      <c r="J1470" s="12"/>
      <c r="K1470" s="12"/>
      <c r="L1470" s="14"/>
      <c r="M1470" s="14"/>
      <c r="N1470" s="14"/>
      <c r="O1470" s="14"/>
      <c r="P1470" s="14"/>
      <c r="Q1470" s="14"/>
      <c r="R1470" s="48"/>
      <c r="S1470" s="48"/>
      <c r="T1470" s="48"/>
      <c r="U1470" s="48"/>
      <c r="V1470" s="48"/>
      <c r="W1470" s="14"/>
      <c r="X1470" s="14"/>
      <c r="Y1470" s="14"/>
      <c r="Z1470" s="14"/>
      <c r="AA1470" s="14"/>
      <c r="AB1470" s="14"/>
      <c r="AC1470" s="14"/>
      <c r="AD1470" s="48"/>
      <c r="AE1470" s="48"/>
      <c r="AF1470" s="48"/>
      <c r="AG1470" s="48"/>
      <c r="AH1470" s="48"/>
      <c r="AI1470" s="14"/>
      <c r="AJ1470" s="14"/>
      <c r="AK1470" s="14"/>
      <c r="AL1470" s="14"/>
      <c r="AM1470" s="14"/>
      <c r="AN1470" s="14"/>
      <c r="AO1470" s="14"/>
      <c r="AP1470" s="14"/>
      <c r="AQ1470" s="14"/>
      <c r="AR1470" s="14"/>
      <c r="AS1470" s="14"/>
      <c r="AT1470" s="14"/>
      <c r="AU1470" s="14"/>
      <c r="AV1470" s="14"/>
      <c r="AW1470" s="14"/>
      <c r="AX1470" s="14"/>
      <c r="AY1470" s="14"/>
      <c r="AZ1470" s="14"/>
      <c r="BA1470" s="14"/>
    </row>
    <row r="1471" ht="14.25" customHeight="1">
      <c r="A1471" s="10"/>
      <c r="B1471" s="12"/>
      <c r="C1471" s="12"/>
      <c r="D1471" s="12"/>
      <c r="E1471" s="44"/>
      <c r="F1471" s="12"/>
      <c r="G1471" s="12"/>
      <c r="H1471" s="45"/>
      <c r="I1471" s="45"/>
      <c r="J1471" s="12"/>
      <c r="K1471" s="12"/>
      <c r="L1471" s="14"/>
      <c r="M1471" s="14"/>
      <c r="N1471" s="14"/>
      <c r="O1471" s="14"/>
      <c r="P1471" s="14"/>
      <c r="Q1471" s="14"/>
      <c r="R1471" s="48"/>
      <c r="S1471" s="48"/>
      <c r="T1471" s="48"/>
      <c r="U1471" s="48"/>
      <c r="V1471" s="48"/>
      <c r="W1471" s="14"/>
      <c r="X1471" s="14"/>
      <c r="Y1471" s="14"/>
      <c r="Z1471" s="14"/>
      <c r="AA1471" s="14"/>
      <c r="AB1471" s="14"/>
      <c r="AC1471" s="14"/>
      <c r="AD1471" s="48"/>
      <c r="AE1471" s="48"/>
      <c r="AF1471" s="48"/>
      <c r="AG1471" s="48"/>
      <c r="AH1471" s="48"/>
      <c r="AI1471" s="14"/>
      <c r="AJ1471" s="14"/>
      <c r="AK1471" s="14"/>
      <c r="AL1471" s="14"/>
      <c r="AM1471" s="14"/>
      <c r="AN1471" s="14"/>
      <c r="AO1471" s="14"/>
      <c r="AP1471" s="14"/>
      <c r="AQ1471" s="14"/>
      <c r="AR1471" s="14"/>
      <c r="AS1471" s="14"/>
      <c r="AT1471" s="14"/>
      <c r="AU1471" s="14"/>
      <c r="AV1471" s="14"/>
      <c r="AW1471" s="14"/>
      <c r="AX1471" s="14"/>
      <c r="AY1471" s="14"/>
      <c r="AZ1471" s="14"/>
      <c r="BA1471" s="14"/>
    </row>
    <row r="1472" ht="14.25" customHeight="1">
      <c r="A1472" s="10"/>
      <c r="B1472" s="12"/>
      <c r="C1472" s="12"/>
      <c r="D1472" s="12"/>
      <c r="E1472" s="44"/>
      <c r="F1472" s="12"/>
      <c r="G1472" s="12"/>
      <c r="H1472" s="45"/>
      <c r="I1472" s="45"/>
      <c r="J1472" s="12"/>
      <c r="K1472" s="12"/>
      <c r="L1472" s="14"/>
      <c r="M1472" s="14"/>
      <c r="N1472" s="14"/>
      <c r="O1472" s="14"/>
      <c r="P1472" s="14"/>
      <c r="Q1472" s="14"/>
      <c r="R1472" s="48"/>
      <c r="S1472" s="48"/>
      <c r="T1472" s="48"/>
      <c r="U1472" s="48"/>
      <c r="V1472" s="48"/>
      <c r="W1472" s="14"/>
      <c r="X1472" s="14"/>
      <c r="Y1472" s="14"/>
      <c r="Z1472" s="14"/>
      <c r="AA1472" s="14"/>
      <c r="AB1472" s="14"/>
      <c r="AC1472" s="14"/>
      <c r="AD1472" s="48"/>
      <c r="AE1472" s="48"/>
      <c r="AF1472" s="48"/>
      <c r="AG1472" s="48"/>
      <c r="AH1472" s="48"/>
      <c r="AI1472" s="14"/>
      <c r="AJ1472" s="14"/>
      <c r="AK1472" s="14"/>
      <c r="AL1472" s="14"/>
      <c r="AM1472" s="14"/>
      <c r="AN1472" s="14"/>
      <c r="AO1472" s="14"/>
      <c r="AP1472" s="14"/>
      <c r="AQ1472" s="14"/>
      <c r="AR1472" s="14"/>
      <c r="AS1472" s="14"/>
      <c r="AT1472" s="14"/>
      <c r="AU1472" s="14"/>
      <c r="AV1472" s="14"/>
      <c r="AW1472" s="14"/>
      <c r="AX1472" s="14"/>
      <c r="AY1472" s="14"/>
      <c r="AZ1472" s="14"/>
      <c r="BA1472" s="14"/>
    </row>
    <row r="1473" ht="14.25" customHeight="1">
      <c r="A1473" s="10"/>
      <c r="B1473" s="12"/>
      <c r="C1473" s="12"/>
      <c r="D1473" s="12"/>
      <c r="E1473" s="44"/>
      <c r="F1473" s="12"/>
      <c r="G1473" s="12"/>
      <c r="H1473" s="45"/>
      <c r="I1473" s="45"/>
      <c r="J1473" s="12"/>
      <c r="K1473" s="12"/>
      <c r="L1473" s="14"/>
      <c r="M1473" s="14"/>
      <c r="N1473" s="14"/>
      <c r="O1473" s="14"/>
      <c r="P1473" s="14"/>
      <c r="Q1473" s="14"/>
      <c r="R1473" s="48"/>
      <c r="S1473" s="48"/>
      <c r="T1473" s="48"/>
      <c r="U1473" s="48"/>
      <c r="V1473" s="48"/>
      <c r="W1473" s="14"/>
      <c r="X1473" s="14"/>
      <c r="Y1473" s="14"/>
      <c r="Z1473" s="14"/>
      <c r="AA1473" s="14"/>
      <c r="AB1473" s="14"/>
      <c r="AC1473" s="14"/>
      <c r="AD1473" s="48"/>
      <c r="AE1473" s="48"/>
      <c r="AF1473" s="48"/>
      <c r="AG1473" s="48"/>
      <c r="AH1473" s="48"/>
      <c r="AI1473" s="14"/>
      <c r="AJ1473" s="14"/>
      <c r="AK1473" s="14"/>
      <c r="AL1473" s="14"/>
      <c r="AM1473" s="14"/>
      <c r="AN1473" s="14"/>
      <c r="AO1473" s="14"/>
      <c r="AP1473" s="14"/>
      <c r="AQ1473" s="14"/>
      <c r="AR1473" s="14"/>
      <c r="AS1473" s="14"/>
      <c r="AT1473" s="14"/>
      <c r="AU1473" s="14"/>
      <c r="AV1473" s="14"/>
      <c r="AW1473" s="14"/>
      <c r="AX1473" s="14"/>
      <c r="AY1473" s="14"/>
      <c r="AZ1473" s="14"/>
      <c r="BA1473" s="14"/>
    </row>
    <row r="1474" ht="14.25" customHeight="1">
      <c r="A1474" s="10"/>
      <c r="B1474" s="12"/>
      <c r="C1474" s="12"/>
      <c r="D1474" s="12"/>
      <c r="E1474" s="44"/>
      <c r="F1474" s="12"/>
      <c r="G1474" s="12"/>
      <c r="H1474" s="45"/>
      <c r="I1474" s="45"/>
      <c r="J1474" s="12"/>
      <c r="K1474" s="12"/>
      <c r="L1474" s="14"/>
      <c r="M1474" s="14"/>
      <c r="N1474" s="14"/>
      <c r="O1474" s="14"/>
      <c r="P1474" s="14"/>
      <c r="Q1474" s="14"/>
      <c r="R1474" s="48"/>
      <c r="S1474" s="48"/>
      <c r="T1474" s="48"/>
      <c r="U1474" s="48"/>
      <c r="V1474" s="48"/>
      <c r="W1474" s="14"/>
      <c r="X1474" s="14"/>
      <c r="Y1474" s="14"/>
      <c r="Z1474" s="14"/>
      <c r="AA1474" s="14"/>
      <c r="AB1474" s="14"/>
      <c r="AC1474" s="14"/>
      <c r="AD1474" s="48"/>
      <c r="AE1474" s="48"/>
      <c r="AF1474" s="48"/>
      <c r="AG1474" s="48"/>
      <c r="AH1474" s="48"/>
      <c r="AI1474" s="14"/>
      <c r="AJ1474" s="14"/>
      <c r="AK1474" s="14"/>
      <c r="AL1474" s="14"/>
      <c r="AM1474" s="14"/>
      <c r="AN1474" s="14"/>
      <c r="AO1474" s="14"/>
      <c r="AP1474" s="14"/>
      <c r="AQ1474" s="14"/>
      <c r="AR1474" s="14"/>
      <c r="AS1474" s="14"/>
      <c r="AT1474" s="14"/>
      <c r="AU1474" s="14"/>
      <c r="AV1474" s="14"/>
      <c r="AW1474" s="14"/>
      <c r="AX1474" s="14"/>
      <c r="AY1474" s="14"/>
      <c r="AZ1474" s="14"/>
      <c r="BA1474" s="14"/>
    </row>
    <row r="1475" ht="14.25" customHeight="1">
      <c r="A1475" s="10"/>
      <c r="B1475" s="12"/>
      <c r="C1475" s="12"/>
      <c r="D1475" s="12"/>
      <c r="E1475" s="44"/>
      <c r="F1475" s="12"/>
      <c r="G1475" s="12"/>
      <c r="H1475" s="45"/>
      <c r="I1475" s="45"/>
      <c r="J1475" s="12"/>
      <c r="K1475" s="12"/>
      <c r="L1475" s="14"/>
      <c r="M1475" s="14"/>
      <c r="N1475" s="14"/>
      <c r="O1475" s="14"/>
      <c r="P1475" s="14"/>
      <c r="Q1475" s="14"/>
      <c r="R1475" s="48"/>
      <c r="S1475" s="48"/>
      <c r="T1475" s="48"/>
      <c r="U1475" s="48"/>
      <c r="V1475" s="48"/>
      <c r="W1475" s="14"/>
      <c r="X1475" s="14"/>
      <c r="Y1475" s="14"/>
      <c r="Z1475" s="14"/>
      <c r="AA1475" s="14"/>
      <c r="AB1475" s="14"/>
      <c r="AC1475" s="14"/>
      <c r="AD1475" s="48"/>
      <c r="AE1475" s="48"/>
      <c r="AF1475" s="48"/>
      <c r="AG1475" s="48"/>
      <c r="AH1475" s="48"/>
      <c r="AI1475" s="14"/>
      <c r="AJ1475" s="14"/>
      <c r="AK1475" s="14"/>
      <c r="AL1475" s="14"/>
      <c r="AM1475" s="14"/>
      <c r="AN1475" s="14"/>
      <c r="AO1475" s="14"/>
      <c r="AP1475" s="14"/>
      <c r="AQ1475" s="14"/>
      <c r="AR1475" s="14"/>
      <c r="AS1475" s="14"/>
      <c r="AT1475" s="14"/>
      <c r="AU1475" s="14"/>
      <c r="AV1475" s="14"/>
      <c r="AW1475" s="14"/>
      <c r="AX1475" s="14"/>
      <c r="AY1475" s="14"/>
      <c r="AZ1475" s="14"/>
      <c r="BA1475" s="14"/>
    </row>
    <row r="1476" ht="14.25" customHeight="1">
      <c r="A1476" s="10"/>
      <c r="B1476" s="12"/>
      <c r="C1476" s="12"/>
      <c r="D1476" s="12"/>
      <c r="E1476" s="44"/>
      <c r="F1476" s="12"/>
      <c r="G1476" s="12"/>
      <c r="H1476" s="45"/>
      <c r="I1476" s="45"/>
      <c r="J1476" s="12"/>
      <c r="K1476" s="12"/>
      <c r="L1476" s="14"/>
      <c r="M1476" s="14"/>
      <c r="N1476" s="14"/>
      <c r="O1476" s="14"/>
      <c r="P1476" s="14"/>
      <c r="Q1476" s="14"/>
      <c r="R1476" s="48"/>
      <c r="S1476" s="48"/>
      <c r="T1476" s="48"/>
      <c r="U1476" s="48"/>
      <c r="V1476" s="48"/>
      <c r="W1476" s="14"/>
      <c r="X1476" s="14"/>
      <c r="Y1476" s="14"/>
      <c r="Z1476" s="14"/>
      <c r="AA1476" s="14"/>
      <c r="AB1476" s="14"/>
      <c r="AC1476" s="14"/>
      <c r="AD1476" s="48"/>
      <c r="AE1476" s="48"/>
      <c r="AF1476" s="48"/>
      <c r="AG1476" s="48"/>
      <c r="AH1476" s="48"/>
      <c r="AI1476" s="14"/>
      <c r="AJ1476" s="14"/>
      <c r="AK1476" s="14"/>
      <c r="AL1476" s="14"/>
      <c r="AM1476" s="14"/>
      <c r="AN1476" s="14"/>
      <c r="AO1476" s="14"/>
      <c r="AP1476" s="14"/>
      <c r="AQ1476" s="14"/>
      <c r="AR1476" s="14"/>
      <c r="AS1476" s="14"/>
      <c r="AT1476" s="14"/>
      <c r="AU1476" s="14"/>
      <c r="AV1476" s="14"/>
      <c r="AW1476" s="14"/>
      <c r="AX1476" s="14"/>
      <c r="AY1476" s="14"/>
      <c r="AZ1476" s="14"/>
      <c r="BA1476" s="14"/>
    </row>
    <row r="1477" ht="14.25" customHeight="1">
      <c r="A1477" s="10"/>
      <c r="B1477" s="12"/>
      <c r="C1477" s="12"/>
      <c r="D1477" s="12"/>
      <c r="E1477" s="44"/>
      <c r="F1477" s="12"/>
      <c r="G1477" s="12"/>
      <c r="H1477" s="45"/>
      <c r="I1477" s="45"/>
      <c r="J1477" s="12"/>
      <c r="K1477" s="12"/>
      <c r="L1477" s="14"/>
      <c r="M1477" s="14"/>
      <c r="N1477" s="14"/>
      <c r="O1477" s="14"/>
      <c r="P1477" s="14"/>
      <c r="Q1477" s="14"/>
      <c r="R1477" s="48"/>
      <c r="S1477" s="48"/>
      <c r="T1477" s="48"/>
      <c r="U1477" s="48"/>
      <c r="V1477" s="48"/>
      <c r="W1477" s="14"/>
      <c r="X1477" s="14"/>
      <c r="Y1477" s="14"/>
      <c r="Z1477" s="14"/>
      <c r="AA1477" s="14"/>
      <c r="AB1477" s="14"/>
      <c r="AC1477" s="14"/>
      <c r="AD1477" s="48"/>
      <c r="AE1477" s="48"/>
      <c r="AF1477" s="48"/>
      <c r="AG1477" s="48"/>
      <c r="AH1477" s="48"/>
      <c r="AI1477" s="14"/>
      <c r="AJ1477" s="14"/>
      <c r="AK1477" s="14"/>
      <c r="AL1477" s="14"/>
      <c r="AM1477" s="14"/>
      <c r="AN1477" s="14"/>
      <c r="AO1477" s="14"/>
      <c r="AP1477" s="14"/>
      <c r="AQ1477" s="14"/>
      <c r="AR1477" s="14"/>
      <c r="AS1477" s="14"/>
      <c r="AT1477" s="14"/>
      <c r="AU1477" s="14"/>
      <c r="AV1477" s="14"/>
      <c r="AW1477" s="14"/>
      <c r="AX1477" s="14"/>
      <c r="AY1477" s="14"/>
      <c r="AZ1477" s="14"/>
      <c r="BA1477" s="14"/>
    </row>
    <row r="1478" ht="14.25" customHeight="1">
      <c r="A1478" s="10"/>
      <c r="B1478" s="12"/>
      <c r="C1478" s="12"/>
      <c r="D1478" s="12"/>
      <c r="E1478" s="44"/>
      <c r="F1478" s="12"/>
      <c r="G1478" s="12"/>
      <c r="H1478" s="45"/>
      <c r="I1478" s="45"/>
      <c r="J1478" s="12"/>
      <c r="K1478" s="12"/>
      <c r="L1478" s="14"/>
      <c r="M1478" s="14"/>
      <c r="N1478" s="14"/>
      <c r="O1478" s="14"/>
      <c r="P1478" s="14"/>
      <c r="Q1478" s="14"/>
      <c r="R1478" s="48"/>
      <c r="S1478" s="48"/>
      <c r="T1478" s="48"/>
      <c r="U1478" s="48"/>
      <c r="V1478" s="48"/>
      <c r="W1478" s="14"/>
      <c r="X1478" s="14"/>
      <c r="Y1478" s="14"/>
      <c r="Z1478" s="14"/>
      <c r="AA1478" s="14"/>
      <c r="AB1478" s="14"/>
      <c r="AC1478" s="14"/>
      <c r="AD1478" s="48"/>
      <c r="AE1478" s="48"/>
      <c r="AF1478" s="48"/>
      <c r="AG1478" s="48"/>
      <c r="AH1478" s="48"/>
      <c r="AI1478" s="14"/>
      <c r="AJ1478" s="14"/>
      <c r="AK1478" s="14"/>
      <c r="AL1478" s="14"/>
      <c r="AM1478" s="14"/>
      <c r="AN1478" s="14"/>
      <c r="AO1478" s="14"/>
      <c r="AP1478" s="14"/>
      <c r="AQ1478" s="14"/>
      <c r="AR1478" s="14"/>
      <c r="AS1478" s="14"/>
      <c r="AT1478" s="14"/>
      <c r="AU1478" s="14"/>
      <c r="AV1478" s="14"/>
      <c r="AW1478" s="14"/>
      <c r="AX1478" s="14"/>
      <c r="AY1478" s="14"/>
      <c r="AZ1478" s="14"/>
      <c r="BA1478" s="14"/>
    </row>
    <row r="1479" ht="14.25" customHeight="1">
      <c r="A1479" s="10"/>
      <c r="B1479" s="12"/>
      <c r="C1479" s="12"/>
      <c r="D1479" s="12"/>
      <c r="E1479" s="44"/>
      <c r="F1479" s="12"/>
      <c r="G1479" s="12"/>
      <c r="H1479" s="45"/>
      <c r="I1479" s="45"/>
      <c r="J1479" s="12"/>
      <c r="K1479" s="12"/>
      <c r="L1479" s="14"/>
      <c r="M1479" s="14"/>
      <c r="N1479" s="14"/>
      <c r="O1479" s="14"/>
      <c r="P1479" s="14"/>
      <c r="Q1479" s="14"/>
      <c r="R1479" s="48"/>
      <c r="S1479" s="48"/>
      <c r="T1479" s="48"/>
      <c r="U1479" s="48"/>
      <c r="V1479" s="48"/>
      <c r="W1479" s="14"/>
      <c r="X1479" s="14"/>
      <c r="Y1479" s="14"/>
      <c r="Z1479" s="14"/>
      <c r="AA1479" s="14"/>
      <c r="AB1479" s="14"/>
      <c r="AC1479" s="14"/>
      <c r="AD1479" s="48"/>
      <c r="AE1479" s="48"/>
      <c r="AF1479" s="48"/>
      <c r="AG1479" s="48"/>
      <c r="AH1479" s="48"/>
      <c r="AI1479" s="14"/>
      <c r="AJ1479" s="14"/>
      <c r="AK1479" s="14"/>
      <c r="AL1479" s="14"/>
      <c r="AM1479" s="14"/>
      <c r="AN1479" s="14"/>
      <c r="AO1479" s="14"/>
      <c r="AP1479" s="14"/>
      <c r="AQ1479" s="14"/>
      <c r="AR1479" s="14"/>
      <c r="AS1479" s="14"/>
      <c r="AT1479" s="14"/>
      <c r="AU1479" s="14"/>
      <c r="AV1479" s="14"/>
      <c r="AW1479" s="14"/>
      <c r="AX1479" s="14"/>
      <c r="AY1479" s="14"/>
      <c r="AZ1479" s="14"/>
      <c r="BA1479" s="14"/>
    </row>
    <row r="1480" ht="14.25" customHeight="1">
      <c r="A1480" s="10"/>
      <c r="B1480" s="12"/>
      <c r="C1480" s="12"/>
      <c r="D1480" s="12"/>
      <c r="E1480" s="44"/>
      <c r="F1480" s="12"/>
      <c r="G1480" s="12"/>
      <c r="H1480" s="45"/>
      <c r="I1480" s="45"/>
      <c r="J1480" s="12"/>
      <c r="K1480" s="12"/>
      <c r="L1480" s="14"/>
      <c r="M1480" s="14"/>
      <c r="N1480" s="14"/>
      <c r="O1480" s="14"/>
      <c r="P1480" s="14"/>
      <c r="Q1480" s="14"/>
      <c r="R1480" s="48"/>
      <c r="S1480" s="48"/>
      <c r="T1480" s="48"/>
      <c r="U1480" s="48"/>
      <c r="V1480" s="48"/>
      <c r="W1480" s="14"/>
      <c r="X1480" s="14"/>
      <c r="Y1480" s="14"/>
      <c r="Z1480" s="14"/>
      <c r="AA1480" s="14"/>
      <c r="AB1480" s="14"/>
      <c r="AC1480" s="14"/>
      <c r="AD1480" s="48"/>
      <c r="AE1480" s="48"/>
      <c r="AF1480" s="48"/>
      <c r="AG1480" s="48"/>
      <c r="AH1480" s="48"/>
      <c r="AI1480" s="14"/>
      <c r="AJ1480" s="14"/>
      <c r="AK1480" s="14"/>
      <c r="AL1480" s="14"/>
      <c r="AM1480" s="14"/>
      <c r="AN1480" s="14"/>
      <c r="AO1480" s="14"/>
      <c r="AP1480" s="14"/>
      <c r="AQ1480" s="14"/>
      <c r="AR1480" s="14"/>
      <c r="AS1480" s="14"/>
      <c r="AT1480" s="14"/>
      <c r="AU1480" s="14"/>
      <c r="AV1480" s="14"/>
      <c r="AW1480" s="14"/>
      <c r="AX1480" s="14"/>
      <c r="AY1480" s="14"/>
      <c r="AZ1480" s="14"/>
      <c r="BA1480" s="14"/>
    </row>
    <row r="1481" ht="14.25" customHeight="1">
      <c r="A1481" s="10"/>
      <c r="B1481" s="12"/>
      <c r="C1481" s="12"/>
      <c r="D1481" s="12"/>
      <c r="E1481" s="44"/>
      <c r="F1481" s="12"/>
      <c r="G1481" s="12"/>
      <c r="H1481" s="45"/>
      <c r="I1481" s="45"/>
      <c r="J1481" s="12"/>
      <c r="K1481" s="12"/>
      <c r="L1481" s="14"/>
      <c r="M1481" s="14"/>
      <c r="N1481" s="14"/>
      <c r="O1481" s="14"/>
      <c r="P1481" s="14"/>
      <c r="Q1481" s="14"/>
      <c r="R1481" s="48"/>
      <c r="S1481" s="48"/>
      <c r="T1481" s="48"/>
      <c r="U1481" s="48"/>
      <c r="V1481" s="48"/>
      <c r="W1481" s="14"/>
      <c r="X1481" s="14"/>
      <c r="Y1481" s="14"/>
      <c r="Z1481" s="14"/>
      <c r="AA1481" s="14"/>
      <c r="AB1481" s="14"/>
      <c r="AC1481" s="14"/>
      <c r="AD1481" s="48"/>
      <c r="AE1481" s="48"/>
      <c r="AF1481" s="48"/>
      <c r="AG1481" s="48"/>
      <c r="AH1481" s="48"/>
      <c r="AI1481" s="14"/>
      <c r="AJ1481" s="14"/>
      <c r="AK1481" s="14"/>
      <c r="AL1481" s="14"/>
      <c r="AM1481" s="14"/>
      <c r="AN1481" s="14"/>
      <c r="AO1481" s="14"/>
      <c r="AP1481" s="14"/>
      <c r="AQ1481" s="14"/>
      <c r="AR1481" s="14"/>
      <c r="AS1481" s="14"/>
      <c r="AT1481" s="14"/>
      <c r="AU1481" s="14"/>
      <c r="AV1481" s="14"/>
      <c r="AW1481" s="14"/>
      <c r="AX1481" s="14"/>
      <c r="AY1481" s="14"/>
      <c r="AZ1481" s="14"/>
      <c r="BA1481" s="14"/>
    </row>
    <row r="1482" ht="14.25" customHeight="1">
      <c r="A1482" s="10"/>
      <c r="B1482" s="12"/>
      <c r="C1482" s="12"/>
      <c r="D1482" s="12"/>
      <c r="E1482" s="44"/>
      <c r="F1482" s="12"/>
      <c r="G1482" s="12"/>
      <c r="H1482" s="45"/>
      <c r="I1482" s="45"/>
      <c r="J1482" s="12"/>
      <c r="K1482" s="12"/>
      <c r="L1482" s="14"/>
      <c r="M1482" s="14"/>
      <c r="N1482" s="14"/>
      <c r="O1482" s="14"/>
      <c r="P1482" s="14"/>
      <c r="Q1482" s="14"/>
      <c r="R1482" s="48"/>
      <c r="S1482" s="48"/>
      <c r="T1482" s="48"/>
      <c r="U1482" s="48"/>
      <c r="V1482" s="48"/>
      <c r="W1482" s="14"/>
      <c r="X1482" s="14"/>
      <c r="Y1482" s="14"/>
      <c r="Z1482" s="14"/>
      <c r="AA1482" s="14"/>
      <c r="AB1482" s="14"/>
      <c r="AC1482" s="14"/>
      <c r="AD1482" s="48"/>
      <c r="AE1482" s="48"/>
      <c r="AF1482" s="48"/>
      <c r="AG1482" s="48"/>
      <c r="AH1482" s="48"/>
      <c r="AI1482" s="14"/>
      <c r="AJ1482" s="14"/>
      <c r="AK1482" s="14"/>
      <c r="AL1482" s="14"/>
      <c r="AM1482" s="14"/>
      <c r="AN1482" s="14"/>
      <c r="AO1482" s="14"/>
      <c r="AP1482" s="14"/>
      <c r="AQ1482" s="14"/>
      <c r="AR1482" s="14"/>
      <c r="AS1482" s="14"/>
      <c r="AT1482" s="14"/>
      <c r="AU1482" s="14"/>
      <c r="AV1482" s="14"/>
      <c r="AW1482" s="14"/>
      <c r="AX1482" s="14"/>
      <c r="AY1482" s="14"/>
      <c r="AZ1482" s="14"/>
      <c r="BA1482" s="14"/>
    </row>
    <row r="1483" ht="14.25" customHeight="1">
      <c r="A1483" s="10"/>
      <c r="B1483" s="12"/>
      <c r="C1483" s="12"/>
      <c r="D1483" s="12"/>
      <c r="E1483" s="44"/>
      <c r="F1483" s="12"/>
      <c r="G1483" s="12"/>
      <c r="H1483" s="45"/>
      <c r="I1483" s="45"/>
      <c r="J1483" s="12"/>
      <c r="K1483" s="12"/>
      <c r="L1483" s="14"/>
      <c r="M1483" s="14"/>
      <c r="N1483" s="14"/>
      <c r="O1483" s="14"/>
      <c r="P1483" s="14"/>
      <c r="Q1483" s="14"/>
      <c r="R1483" s="48"/>
      <c r="S1483" s="48"/>
      <c r="T1483" s="48"/>
      <c r="U1483" s="48"/>
      <c r="V1483" s="48"/>
      <c r="W1483" s="14"/>
      <c r="X1483" s="14"/>
      <c r="Y1483" s="14"/>
      <c r="Z1483" s="14"/>
      <c r="AA1483" s="14"/>
      <c r="AB1483" s="14"/>
      <c r="AC1483" s="14"/>
      <c r="AD1483" s="48"/>
      <c r="AE1483" s="48"/>
      <c r="AF1483" s="48"/>
      <c r="AG1483" s="48"/>
      <c r="AH1483" s="48"/>
      <c r="AI1483" s="14"/>
      <c r="AJ1483" s="14"/>
      <c r="AK1483" s="14"/>
      <c r="AL1483" s="14"/>
      <c r="AM1483" s="14"/>
      <c r="AN1483" s="14"/>
      <c r="AO1483" s="14"/>
      <c r="AP1483" s="14"/>
      <c r="AQ1483" s="14"/>
      <c r="AR1483" s="14"/>
      <c r="AS1483" s="14"/>
      <c r="AT1483" s="14"/>
      <c r="AU1483" s="14"/>
      <c r="AV1483" s="14"/>
      <c r="AW1483" s="14"/>
      <c r="AX1483" s="14"/>
      <c r="AY1483" s="14"/>
      <c r="AZ1483" s="14"/>
      <c r="BA1483" s="14"/>
    </row>
    <row r="1484" ht="14.25" customHeight="1">
      <c r="A1484" s="10"/>
      <c r="B1484" s="12"/>
      <c r="C1484" s="12"/>
      <c r="D1484" s="12"/>
      <c r="E1484" s="44"/>
      <c r="F1484" s="12"/>
      <c r="G1484" s="12"/>
      <c r="H1484" s="45"/>
      <c r="I1484" s="45"/>
      <c r="J1484" s="12"/>
      <c r="K1484" s="12"/>
      <c r="L1484" s="14"/>
      <c r="M1484" s="14"/>
      <c r="N1484" s="14"/>
      <c r="O1484" s="14"/>
      <c r="P1484" s="14"/>
      <c r="Q1484" s="14"/>
      <c r="R1484" s="48"/>
      <c r="S1484" s="48"/>
      <c r="T1484" s="48"/>
      <c r="U1484" s="48"/>
      <c r="V1484" s="48"/>
      <c r="W1484" s="14"/>
      <c r="X1484" s="14"/>
      <c r="Y1484" s="14"/>
      <c r="Z1484" s="14"/>
      <c r="AA1484" s="14"/>
      <c r="AB1484" s="14"/>
      <c r="AC1484" s="14"/>
      <c r="AD1484" s="48"/>
      <c r="AE1484" s="48"/>
      <c r="AF1484" s="48"/>
      <c r="AG1484" s="48"/>
      <c r="AH1484" s="48"/>
      <c r="AI1484" s="14"/>
      <c r="AJ1484" s="14"/>
      <c r="AK1484" s="14"/>
      <c r="AL1484" s="14"/>
      <c r="AM1484" s="14"/>
      <c r="AN1484" s="14"/>
      <c r="AO1484" s="14"/>
      <c r="AP1484" s="14"/>
      <c r="AQ1484" s="14"/>
      <c r="AR1484" s="14"/>
      <c r="AS1484" s="14"/>
      <c r="AT1484" s="14"/>
      <c r="AU1484" s="14"/>
      <c r="AV1484" s="14"/>
      <c r="AW1484" s="14"/>
      <c r="AX1484" s="14"/>
      <c r="AY1484" s="14"/>
      <c r="AZ1484" s="14"/>
      <c r="BA1484" s="14"/>
    </row>
    <row r="1485" ht="14.25" customHeight="1">
      <c r="A1485" s="10"/>
      <c r="B1485" s="12"/>
      <c r="C1485" s="12"/>
      <c r="D1485" s="12"/>
      <c r="E1485" s="44"/>
      <c r="F1485" s="12"/>
      <c r="G1485" s="12"/>
      <c r="H1485" s="45"/>
      <c r="I1485" s="45"/>
      <c r="J1485" s="12"/>
      <c r="K1485" s="12"/>
      <c r="L1485" s="14"/>
      <c r="M1485" s="14"/>
      <c r="N1485" s="14"/>
      <c r="O1485" s="14"/>
      <c r="P1485" s="14"/>
      <c r="Q1485" s="14"/>
      <c r="R1485" s="48"/>
      <c r="S1485" s="48"/>
      <c r="T1485" s="48"/>
      <c r="U1485" s="48"/>
      <c r="V1485" s="48"/>
      <c r="W1485" s="14"/>
      <c r="X1485" s="14"/>
      <c r="Y1485" s="14"/>
      <c r="Z1485" s="14"/>
      <c r="AA1485" s="14"/>
      <c r="AB1485" s="14"/>
      <c r="AC1485" s="14"/>
      <c r="AD1485" s="48"/>
      <c r="AE1485" s="48"/>
      <c r="AF1485" s="48"/>
      <c r="AG1485" s="48"/>
      <c r="AH1485" s="48"/>
      <c r="AI1485" s="14"/>
      <c r="AJ1485" s="14"/>
      <c r="AK1485" s="14"/>
      <c r="AL1485" s="14"/>
      <c r="AM1485" s="14"/>
      <c r="AN1485" s="14"/>
      <c r="AO1485" s="14"/>
      <c r="AP1485" s="14"/>
      <c r="AQ1485" s="14"/>
      <c r="AR1485" s="14"/>
      <c r="AS1485" s="14"/>
      <c r="AT1485" s="14"/>
      <c r="AU1485" s="14"/>
      <c r="AV1485" s="14"/>
      <c r="AW1485" s="14"/>
      <c r="AX1485" s="14"/>
      <c r="AY1485" s="14"/>
      <c r="AZ1485" s="14"/>
      <c r="BA1485" s="14"/>
    </row>
    <row r="1486" ht="14.25" customHeight="1">
      <c r="A1486" s="10"/>
      <c r="B1486" s="12"/>
      <c r="C1486" s="12"/>
      <c r="D1486" s="12"/>
      <c r="E1486" s="44"/>
      <c r="F1486" s="12"/>
      <c r="G1486" s="12"/>
      <c r="H1486" s="45"/>
      <c r="I1486" s="45"/>
      <c r="J1486" s="12"/>
      <c r="K1486" s="12"/>
      <c r="L1486" s="14"/>
      <c r="M1486" s="14"/>
      <c r="N1486" s="14"/>
      <c r="O1486" s="14"/>
      <c r="P1486" s="14"/>
      <c r="Q1486" s="14"/>
      <c r="R1486" s="48"/>
      <c r="S1486" s="48"/>
      <c r="T1486" s="48"/>
      <c r="U1486" s="48"/>
      <c r="V1486" s="48"/>
      <c r="W1486" s="14"/>
      <c r="X1486" s="14"/>
      <c r="Y1486" s="14"/>
      <c r="Z1486" s="14"/>
      <c r="AA1486" s="14"/>
      <c r="AB1486" s="14"/>
      <c r="AC1486" s="14"/>
      <c r="AD1486" s="48"/>
      <c r="AE1486" s="48"/>
      <c r="AF1486" s="48"/>
      <c r="AG1486" s="48"/>
      <c r="AH1486" s="48"/>
      <c r="AI1486" s="14"/>
      <c r="AJ1486" s="14"/>
      <c r="AK1486" s="14"/>
      <c r="AL1486" s="14"/>
      <c r="AM1486" s="14"/>
      <c r="AN1486" s="14"/>
      <c r="AO1486" s="14"/>
      <c r="AP1486" s="14"/>
      <c r="AQ1486" s="14"/>
      <c r="AR1486" s="14"/>
      <c r="AS1486" s="14"/>
      <c r="AT1486" s="14"/>
      <c r="AU1486" s="14"/>
      <c r="AV1486" s="14"/>
      <c r="AW1486" s="14"/>
      <c r="AX1486" s="14"/>
      <c r="AY1486" s="14"/>
      <c r="AZ1486" s="14"/>
      <c r="BA1486" s="14"/>
    </row>
    <row r="1487" ht="14.25" customHeight="1">
      <c r="A1487" s="10"/>
      <c r="B1487" s="12"/>
      <c r="C1487" s="12"/>
      <c r="D1487" s="12"/>
      <c r="E1487" s="44"/>
      <c r="F1487" s="12"/>
      <c r="G1487" s="12"/>
      <c r="H1487" s="45"/>
      <c r="I1487" s="45"/>
      <c r="J1487" s="12"/>
      <c r="K1487" s="12"/>
      <c r="L1487" s="14"/>
      <c r="M1487" s="14"/>
      <c r="N1487" s="14"/>
      <c r="O1487" s="14"/>
      <c r="P1487" s="14"/>
      <c r="Q1487" s="14"/>
      <c r="R1487" s="48"/>
      <c r="S1487" s="48"/>
      <c r="T1487" s="48"/>
      <c r="U1487" s="48"/>
      <c r="V1487" s="48"/>
      <c r="W1487" s="14"/>
      <c r="X1487" s="14"/>
      <c r="Y1487" s="14"/>
      <c r="Z1487" s="14"/>
      <c r="AA1487" s="14"/>
      <c r="AB1487" s="14"/>
      <c r="AC1487" s="14"/>
      <c r="AD1487" s="48"/>
      <c r="AE1487" s="48"/>
      <c r="AF1487" s="48"/>
      <c r="AG1487" s="48"/>
      <c r="AH1487" s="48"/>
      <c r="AI1487" s="14"/>
      <c r="AJ1487" s="14"/>
      <c r="AK1487" s="14"/>
      <c r="AL1487" s="14"/>
      <c r="AM1487" s="14"/>
      <c r="AN1487" s="14"/>
      <c r="AO1487" s="14"/>
      <c r="AP1487" s="14"/>
      <c r="AQ1487" s="14"/>
      <c r="AR1487" s="14"/>
      <c r="AS1487" s="14"/>
      <c r="AT1487" s="14"/>
      <c r="AU1487" s="14"/>
      <c r="AV1487" s="14"/>
      <c r="AW1487" s="14"/>
      <c r="AX1487" s="14"/>
      <c r="AY1487" s="14"/>
      <c r="AZ1487" s="14"/>
      <c r="BA1487" s="14"/>
    </row>
    <row r="1488" ht="14.25" customHeight="1">
      <c r="A1488" s="10"/>
      <c r="B1488" s="12"/>
      <c r="C1488" s="12"/>
      <c r="D1488" s="12"/>
      <c r="E1488" s="44"/>
      <c r="F1488" s="12"/>
      <c r="G1488" s="12"/>
      <c r="H1488" s="45"/>
      <c r="I1488" s="45"/>
      <c r="J1488" s="12"/>
      <c r="K1488" s="12"/>
      <c r="L1488" s="14"/>
      <c r="M1488" s="14"/>
      <c r="N1488" s="14"/>
      <c r="O1488" s="14"/>
      <c r="P1488" s="14"/>
      <c r="Q1488" s="14"/>
      <c r="R1488" s="48"/>
      <c r="S1488" s="48"/>
      <c r="T1488" s="48"/>
      <c r="U1488" s="48"/>
      <c r="V1488" s="48"/>
      <c r="W1488" s="14"/>
      <c r="X1488" s="14"/>
      <c r="Y1488" s="14"/>
      <c r="Z1488" s="14"/>
      <c r="AA1488" s="14"/>
      <c r="AB1488" s="14"/>
      <c r="AC1488" s="14"/>
      <c r="AD1488" s="48"/>
      <c r="AE1488" s="48"/>
      <c r="AF1488" s="48"/>
      <c r="AG1488" s="48"/>
      <c r="AH1488" s="48"/>
      <c r="AI1488" s="14"/>
      <c r="AJ1488" s="14"/>
      <c r="AK1488" s="14"/>
      <c r="AL1488" s="14"/>
      <c r="AM1488" s="14"/>
      <c r="AN1488" s="14"/>
      <c r="AO1488" s="14"/>
      <c r="AP1488" s="14"/>
      <c r="AQ1488" s="14"/>
      <c r="AR1488" s="14"/>
      <c r="AS1488" s="14"/>
      <c r="AT1488" s="14"/>
      <c r="AU1488" s="14"/>
      <c r="AV1488" s="14"/>
      <c r="AW1488" s="14"/>
      <c r="AX1488" s="14"/>
      <c r="AY1488" s="14"/>
      <c r="AZ1488" s="14"/>
      <c r="BA1488" s="14"/>
    </row>
    <row r="1489" ht="14.25" customHeight="1">
      <c r="A1489" s="10"/>
      <c r="B1489" s="12"/>
      <c r="C1489" s="12"/>
      <c r="D1489" s="12"/>
      <c r="E1489" s="44"/>
      <c r="F1489" s="12"/>
      <c r="G1489" s="12"/>
      <c r="H1489" s="45"/>
      <c r="I1489" s="45"/>
      <c r="J1489" s="12"/>
      <c r="K1489" s="12"/>
      <c r="L1489" s="14"/>
      <c r="M1489" s="14"/>
      <c r="N1489" s="14"/>
      <c r="O1489" s="14"/>
      <c r="P1489" s="14"/>
      <c r="Q1489" s="14"/>
      <c r="R1489" s="48"/>
      <c r="S1489" s="48"/>
      <c r="T1489" s="48"/>
      <c r="U1489" s="48"/>
      <c r="V1489" s="48"/>
      <c r="W1489" s="14"/>
      <c r="X1489" s="14"/>
      <c r="Y1489" s="14"/>
      <c r="Z1489" s="14"/>
      <c r="AA1489" s="14"/>
      <c r="AB1489" s="14"/>
      <c r="AC1489" s="14"/>
      <c r="AD1489" s="48"/>
      <c r="AE1489" s="48"/>
      <c r="AF1489" s="48"/>
      <c r="AG1489" s="48"/>
      <c r="AH1489" s="48"/>
      <c r="AI1489" s="14"/>
      <c r="AJ1489" s="14"/>
      <c r="AK1489" s="14"/>
      <c r="AL1489" s="14"/>
      <c r="AM1489" s="14"/>
      <c r="AN1489" s="14"/>
      <c r="AO1489" s="14"/>
      <c r="AP1489" s="14"/>
      <c r="AQ1489" s="14"/>
      <c r="AR1489" s="14"/>
      <c r="AS1489" s="14"/>
      <c r="AT1489" s="14"/>
      <c r="AU1489" s="14"/>
      <c r="AV1489" s="14"/>
      <c r="AW1489" s="14"/>
      <c r="AX1489" s="14"/>
      <c r="AY1489" s="14"/>
      <c r="AZ1489" s="14"/>
      <c r="BA1489" s="14"/>
    </row>
    <row r="1490" ht="14.25" customHeight="1">
      <c r="A1490" s="10"/>
      <c r="B1490" s="12"/>
      <c r="C1490" s="12"/>
      <c r="D1490" s="12"/>
      <c r="E1490" s="44"/>
      <c r="F1490" s="12"/>
      <c r="G1490" s="12"/>
      <c r="H1490" s="45"/>
      <c r="I1490" s="45"/>
      <c r="J1490" s="12"/>
      <c r="K1490" s="12"/>
      <c r="L1490" s="14"/>
      <c r="M1490" s="14"/>
      <c r="N1490" s="14"/>
      <c r="O1490" s="14"/>
      <c r="P1490" s="14"/>
      <c r="Q1490" s="14"/>
      <c r="R1490" s="48"/>
      <c r="S1490" s="48"/>
      <c r="T1490" s="48"/>
      <c r="U1490" s="48"/>
      <c r="V1490" s="48"/>
      <c r="W1490" s="14"/>
      <c r="X1490" s="14"/>
      <c r="Y1490" s="14"/>
      <c r="Z1490" s="14"/>
      <c r="AA1490" s="14"/>
      <c r="AB1490" s="14"/>
      <c r="AC1490" s="14"/>
      <c r="AD1490" s="48"/>
      <c r="AE1490" s="48"/>
      <c r="AF1490" s="48"/>
      <c r="AG1490" s="48"/>
      <c r="AH1490" s="48"/>
      <c r="AI1490" s="14"/>
      <c r="AJ1490" s="14"/>
      <c r="AK1490" s="14"/>
      <c r="AL1490" s="14"/>
      <c r="AM1490" s="14"/>
      <c r="AN1490" s="14"/>
      <c r="AO1490" s="14"/>
      <c r="AP1490" s="14"/>
      <c r="AQ1490" s="14"/>
      <c r="AR1490" s="14"/>
      <c r="AS1490" s="14"/>
      <c r="AT1490" s="14"/>
      <c r="AU1490" s="14"/>
      <c r="AV1490" s="14"/>
      <c r="AW1490" s="14"/>
      <c r="AX1490" s="14"/>
      <c r="AY1490" s="14"/>
      <c r="AZ1490" s="14"/>
      <c r="BA1490" s="14"/>
    </row>
    <row r="1491" ht="14.25" customHeight="1">
      <c r="A1491" s="10"/>
      <c r="B1491" s="12"/>
      <c r="C1491" s="12"/>
      <c r="D1491" s="12"/>
      <c r="E1491" s="44"/>
      <c r="F1491" s="12"/>
      <c r="G1491" s="12"/>
      <c r="H1491" s="45"/>
      <c r="I1491" s="45"/>
      <c r="J1491" s="12"/>
      <c r="K1491" s="12"/>
      <c r="L1491" s="14"/>
      <c r="M1491" s="14"/>
      <c r="N1491" s="14"/>
      <c r="O1491" s="14"/>
      <c r="P1491" s="14"/>
      <c r="Q1491" s="14"/>
      <c r="R1491" s="48"/>
      <c r="S1491" s="48"/>
      <c r="T1491" s="48"/>
      <c r="U1491" s="48"/>
      <c r="V1491" s="48"/>
      <c r="W1491" s="14"/>
      <c r="X1491" s="14"/>
      <c r="Y1491" s="14"/>
      <c r="Z1491" s="14"/>
      <c r="AA1491" s="14"/>
      <c r="AB1491" s="14"/>
      <c r="AC1491" s="14"/>
      <c r="AD1491" s="48"/>
      <c r="AE1491" s="48"/>
      <c r="AF1491" s="48"/>
      <c r="AG1491" s="48"/>
      <c r="AH1491" s="48"/>
      <c r="AI1491" s="14"/>
      <c r="AJ1491" s="14"/>
      <c r="AK1491" s="14"/>
      <c r="AL1491" s="14"/>
      <c r="AM1491" s="14"/>
      <c r="AN1491" s="14"/>
      <c r="AO1491" s="14"/>
      <c r="AP1491" s="14"/>
      <c r="AQ1491" s="14"/>
      <c r="AR1491" s="14"/>
      <c r="AS1491" s="14"/>
      <c r="AT1491" s="14"/>
      <c r="AU1491" s="14"/>
      <c r="AV1491" s="14"/>
      <c r="AW1491" s="14"/>
      <c r="AX1491" s="14"/>
      <c r="AY1491" s="14"/>
      <c r="AZ1491" s="14"/>
      <c r="BA1491" s="14"/>
    </row>
    <row r="1492" ht="14.25" customHeight="1">
      <c r="A1492" s="10"/>
      <c r="B1492" s="12"/>
      <c r="C1492" s="12"/>
      <c r="D1492" s="12"/>
      <c r="E1492" s="44"/>
      <c r="F1492" s="12"/>
      <c r="G1492" s="12"/>
      <c r="H1492" s="45"/>
      <c r="I1492" s="45"/>
      <c r="J1492" s="12"/>
      <c r="K1492" s="12"/>
      <c r="L1492" s="14"/>
      <c r="M1492" s="14"/>
      <c r="N1492" s="14"/>
      <c r="O1492" s="14"/>
      <c r="P1492" s="14"/>
      <c r="Q1492" s="14"/>
      <c r="R1492" s="48"/>
      <c r="S1492" s="48"/>
      <c r="T1492" s="48"/>
      <c r="U1492" s="48"/>
      <c r="V1492" s="48"/>
      <c r="W1492" s="14"/>
      <c r="X1492" s="14"/>
      <c r="Y1492" s="14"/>
      <c r="Z1492" s="14"/>
      <c r="AA1492" s="14"/>
      <c r="AB1492" s="14"/>
      <c r="AC1492" s="14"/>
      <c r="AD1492" s="48"/>
      <c r="AE1492" s="48"/>
      <c r="AF1492" s="48"/>
      <c r="AG1492" s="48"/>
      <c r="AH1492" s="48"/>
      <c r="AI1492" s="14"/>
      <c r="AJ1492" s="14"/>
      <c r="AK1492" s="14"/>
      <c r="AL1492" s="14"/>
      <c r="AM1492" s="14"/>
      <c r="AN1492" s="14"/>
      <c r="AO1492" s="14"/>
      <c r="AP1492" s="14"/>
      <c r="AQ1492" s="14"/>
      <c r="AR1492" s="14"/>
      <c r="AS1492" s="14"/>
      <c r="AT1492" s="14"/>
      <c r="AU1492" s="14"/>
      <c r="AV1492" s="14"/>
      <c r="AW1492" s="14"/>
      <c r="AX1492" s="14"/>
      <c r="AY1492" s="14"/>
      <c r="AZ1492" s="14"/>
      <c r="BA1492" s="14"/>
    </row>
    <row r="1493" ht="14.25" customHeight="1">
      <c r="A1493" s="10"/>
      <c r="B1493" s="12"/>
      <c r="C1493" s="12"/>
      <c r="D1493" s="12"/>
      <c r="E1493" s="44"/>
      <c r="F1493" s="12"/>
      <c r="G1493" s="12"/>
      <c r="H1493" s="45"/>
      <c r="I1493" s="45"/>
      <c r="J1493" s="12"/>
      <c r="K1493" s="12"/>
      <c r="L1493" s="14"/>
      <c r="M1493" s="14"/>
      <c r="N1493" s="14"/>
      <c r="O1493" s="14"/>
      <c r="P1493" s="14"/>
      <c r="Q1493" s="14"/>
      <c r="R1493" s="48"/>
      <c r="S1493" s="48"/>
      <c r="T1493" s="48"/>
      <c r="U1493" s="48"/>
      <c r="V1493" s="48"/>
      <c r="W1493" s="14"/>
      <c r="X1493" s="14"/>
      <c r="Y1493" s="14"/>
      <c r="Z1493" s="14"/>
      <c r="AA1493" s="14"/>
      <c r="AB1493" s="14"/>
      <c r="AC1493" s="14"/>
      <c r="AD1493" s="48"/>
      <c r="AE1493" s="48"/>
      <c r="AF1493" s="48"/>
      <c r="AG1493" s="48"/>
      <c r="AH1493" s="48"/>
      <c r="AI1493" s="14"/>
      <c r="AJ1493" s="14"/>
      <c r="AK1493" s="14"/>
      <c r="AL1493" s="14"/>
      <c r="AM1493" s="14"/>
      <c r="AN1493" s="14"/>
      <c r="AO1493" s="14"/>
      <c r="AP1493" s="14"/>
      <c r="AQ1493" s="14"/>
      <c r="AR1493" s="14"/>
      <c r="AS1493" s="14"/>
      <c r="AT1493" s="14"/>
      <c r="AU1493" s="14"/>
      <c r="AV1493" s="14"/>
      <c r="AW1493" s="14"/>
      <c r="AX1493" s="14"/>
      <c r="AY1493" s="14"/>
      <c r="AZ1493" s="14"/>
      <c r="BA1493" s="14"/>
    </row>
    <row r="1494" ht="14.25" customHeight="1">
      <c r="A1494" s="10"/>
      <c r="B1494" s="12"/>
      <c r="C1494" s="12"/>
      <c r="D1494" s="12"/>
      <c r="E1494" s="44"/>
      <c r="F1494" s="12"/>
      <c r="G1494" s="12"/>
      <c r="H1494" s="45"/>
      <c r="I1494" s="45"/>
      <c r="J1494" s="12"/>
      <c r="K1494" s="12"/>
      <c r="L1494" s="14"/>
      <c r="M1494" s="14"/>
      <c r="N1494" s="14"/>
      <c r="O1494" s="14"/>
      <c r="P1494" s="14"/>
      <c r="Q1494" s="14"/>
      <c r="R1494" s="48"/>
      <c r="S1494" s="48"/>
      <c r="T1494" s="48"/>
      <c r="U1494" s="48"/>
      <c r="V1494" s="48"/>
      <c r="W1494" s="14"/>
      <c r="X1494" s="14"/>
      <c r="Y1494" s="14"/>
      <c r="Z1494" s="14"/>
      <c r="AA1494" s="14"/>
      <c r="AB1494" s="14"/>
      <c r="AC1494" s="14"/>
      <c r="AD1494" s="48"/>
      <c r="AE1494" s="48"/>
      <c r="AF1494" s="48"/>
      <c r="AG1494" s="48"/>
      <c r="AH1494" s="48"/>
      <c r="AI1494" s="14"/>
      <c r="AJ1494" s="14"/>
      <c r="AK1494" s="14"/>
      <c r="AL1494" s="14"/>
      <c r="AM1494" s="14"/>
      <c r="AN1494" s="14"/>
      <c r="AO1494" s="14"/>
      <c r="AP1494" s="14"/>
      <c r="AQ1494" s="14"/>
      <c r="AR1494" s="14"/>
      <c r="AS1494" s="14"/>
      <c r="AT1494" s="14"/>
      <c r="AU1494" s="14"/>
      <c r="AV1494" s="14"/>
      <c r="AW1494" s="14"/>
      <c r="AX1494" s="14"/>
      <c r="AY1494" s="14"/>
      <c r="AZ1494" s="14"/>
      <c r="BA1494" s="14"/>
    </row>
    <row r="1495" ht="14.25" customHeight="1">
      <c r="A1495" s="10"/>
      <c r="B1495" s="12"/>
      <c r="C1495" s="12"/>
      <c r="D1495" s="12"/>
      <c r="E1495" s="44"/>
      <c r="F1495" s="12"/>
      <c r="G1495" s="12"/>
      <c r="H1495" s="45"/>
      <c r="I1495" s="45"/>
      <c r="J1495" s="12"/>
      <c r="K1495" s="12"/>
      <c r="L1495" s="14"/>
      <c r="M1495" s="14"/>
      <c r="N1495" s="14"/>
      <c r="O1495" s="14"/>
      <c r="P1495" s="14"/>
      <c r="Q1495" s="14"/>
      <c r="R1495" s="48"/>
      <c r="S1495" s="48"/>
      <c r="T1495" s="48"/>
      <c r="U1495" s="48"/>
      <c r="V1495" s="48"/>
      <c r="W1495" s="14"/>
      <c r="X1495" s="14"/>
      <c r="Y1495" s="14"/>
      <c r="Z1495" s="14"/>
      <c r="AA1495" s="14"/>
      <c r="AB1495" s="14"/>
      <c r="AC1495" s="14"/>
      <c r="AD1495" s="48"/>
      <c r="AE1495" s="48"/>
      <c r="AF1495" s="48"/>
      <c r="AG1495" s="48"/>
      <c r="AH1495" s="48"/>
      <c r="AI1495" s="14"/>
      <c r="AJ1495" s="14"/>
      <c r="AK1495" s="14"/>
      <c r="AL1495" s="14"/>
      <c r="AM1495" s="14"/>
      <c r="AN1495" s="14"/>
      <c r="AO1495" s="14"/>
      <c r="AP1495" s="14"/>
      <c r="AQ1495" s="14"/>
      <c r="AR1495" s="14"/>
      <c r="AS1495" s="14"/>
      <c r="AT1495" s="14"/>
      <c r="AU1495" s="14"/>
      <c r="AV1495" s="14"/>
      <c r="AW1495" s="14"/>
      <c r="AX1495" s="14"/>
      <c r="AY1495" s="14"/>
      <c r="AZ1495" s="14"/>
      <c r="BA1495" s="14"/>
    </row>
    <row r="1496" ht="14.25" customHeight="1">
      <c r="A1496" s="10"/>
      <c r="B1496" s="12"/>
      <c r="C1496" s="12"/>
      <c r="D1496" s="12"/>
      <c r="E1496" s="44"/>
      <c r="F1496" s="12"/>
      <c r="G1496" s="12"/>
      <c r="H1496" s="45"/>
      <c r="I1496" s="45"/>
      <c r="J1496" s="12"/>
      <c r="K1496" s="12"/>
      <c r="L1496" s="14"/>
      <c r="M1496" s="14"/>
      <c r="N1496" s="14"/>
      <c r="O1496" s="14"/>
      <c r="P1496" s="14"/>
      <c r="Q1496" s="14"/>
      <c r="R1496" s="48"/>
      <c r="S1496" s="48"/>
      <c r="T1496" s="48"/>
      <c r="U1496" s="48"/>
      <c r="V1496" s="48"/>
      <c r="W1496" s="14"/>
      <c r="X1496" s="14"/>
      <c r="Y1496" s="14"/>
      <c r="Z1496" s="14"/>
      <c r="AA1496" s="14"/>
      <c r="AB1496" s="14"/>
      <c r="AC1496" s="14"/>
      <c r="AD1496" s="48"/>
      <c r="AE1496" s="48"/>
      <c r="AF1496" s="48"/>
      <c r="AG1496" s="48"/>
      <c r="AH1496" s="48"/>
      <c r="AI1496" s="14"/>
      <c r="AJ1496" s="14"/>
      <c r="AK1496" s="14"/>
      <c r="AL1496" s="14"/>
      <c r="AM1496" s="14"/>
      <c r="AN1496" s="14"/>
      <c r="AO1496" s="14"/>
      <c r="AP1496" s="14"/>
      <c r="AQ1496" s="14"/>
      <c r="AR1496" s="14"/>
      <c r="AS1496" s="14"/>
      <c r="AT1496" s="14"/>
      <c r="AU1496" s="14"/>
      <c r="AV1496" s="14"/>
      <c r="AW1496" s="14"/>
      <c r="AX1496" s="14"/>
      <c r="AY1496" s="14"/>
      <c r="AZ1496" s="14"/>
      <c r="BA1496" s="14"/>
    </row>
    <row r="1497" ht="14.25" customHeight="1">
      <c r="A1497" s="10"/>
      <c r="B1497" s="12"/>
      <c r="C1497" s="12"/>
      <c r="D1497" s="12"/>
      <c r="E1497" s="44"/>
      <c r="F1497" s="12"/>
      <c r="G1497" s="12"/>
      <c r="H1497" s="45"/>
      <c r="I1497" s="45"/>
      <c r="J1497" s="12"/>
      <c r="K1497" s="12"/>
      <c r="L1497" s="14"/>
      <c r="M1497" s="14"/>
      <c r="N1497" s="14"/>
      <c r="O1497" s="14"/>
      <c r="P1497" s="14"/>
      <c r="Q1497" s="14"/>
      <c r="R1497" s="48"/>
      <c r="S1497" s="48"/>
      <c r="T1497" s="48"/>
      <c r="U1497" s="48"/>
      <c r="V1497" s="48"/>
      <c r="W1497" s="14"/>
      <c r="X1497" s="14"/>
      <c r="Y1497" s="14"/>
      <c r="Z1497" s="14"/>
      <c r="AA1497" s="14"/>
      <c r="AB1497" s="14"/>
      <c r="AC1497" s="14"/>
      <c r="AD1497" s="48"/>
      <c r="AE1497" s="48"/>
      <c r="AF1497" s="48"/>
      <c r="AG1497" s="48"/>
      <c r="AH1497" s="48"/>
      <c r="AI1497" s="14"/>
      <c r="AJ1497" s="14"/>
      <c r="AK1497" s="14"/>
      <c r="AL1497" s="14"/>
      <c r="AM1497" s="14"/>
      <c r="AN1497" s="14"/>
      <c r="AO1497" s="14"/>
      <c r="AP1497" s="14"/>
      <c r="AQ1497" s="14"/>
      <c r="AR1497" s="14"/>
      <c r="AS1497" s="14"/>
      <c r="AT1497" s="14"/>
      <c r="AU1497" s="14"/>
      <c r="AV1497" s="14"/>
      <c r="AW1497" s="14"/>
      <c r="AX1497" s="14"/>
      <c r="AY1497" s="14"/>
      <c r="AZ1497" s="14"/>
      <c r="BA1497" s="14"/>
    </row>
    <row r="1498" ht="14.25" customHeight="1">
      <c r="A1498" s="10"/>
      <c r="B1498" s="12"/>
      <c r="C1498" s="12"/>
      <c r="D1498" s="12"/>
      <c r="E1498" s="44"/>
      <c r="F1498" s="12"/>
      <c r="G1498" s="12"/>
      <c r="H1498" s="45"/>
      <c r="I1498" s="45"/>
      <c r="J1498" s="12"/>
      <c r="K1498" s="12"/>
      <c r="L1498" s="14"/>
      <c r="M1498" s="14"/>
      <c r="N1498" s="14"/>
      <c r="O1498" s="14"/>
      <c r="P1498" s="14"/>
      <c r="Q1498" s="14"/>
      <c r="R1498" s="48"/>
      <c r="S1498" s="48"/>
      <c r="T1498" s="48"/>
      <c r="U1498" s="48"/>
      <c r="V1498" s="48"/>
      <c r="W1498" s="14"/>
      <c r="X1498" s="14"/>
      <c r="Y1498" s="14"/>
      <c r="Z1498" s="14"/>
      <c r="AA1498" s="14"/>
      <c r="AB1498" s="14"/>
      <c r="AC1498" s="14"/>
      <c r="AD1498" s="48"/>
      <c r="AE1498" s="48"/>
      <c r="AF1498" s="48"/>
      <c r="AG1498" s="48"/>
      <c r="AH1498" s="48"/>
      <c r="AI1498" s="14"/>
      <c r="AJ1498" s="14"/>
      <c r="AK1498" s="14"/>
      <c r="AL1498" s="14"/>
      <c r="AM1498" s="14"/>
      <c r="AN1498" s="14"/>
      <c r="AO1498" s="14"/>
      <c r="AP1498" s="14"/>
      <c r="AQ1498" s="14"/>
      <c r="AR1498" s="14"/>
      <c r="AS1498" s="14"/>
      <c r="AT1498" s="14"/>
      <c r="AU1498" s="14"/>
      <c r="AV1498" s="14"/>
      <c r="AW1498" s="14"/>
      <c r="AX1498" s="14"/>
      <c r="AY1498" s="14"/>
      <c r="AZ1498" s="14"/>
      <c r="BA1498" s="14"/>
    </row>
    <row r="1499" ht="14.25" customHeight="1">
      <c r="A1499" s="10"/>
      <c r="B1499" s="12"/>
      <c r="C1499" s="12"/>
      <c r="D1499" s="12"/>
      <c r="E1499" s="44"/>
      <c r="F1499" s="12"/>
      <c r="G1499" s="12"/>
      <c r="H1499" s="45"/>
      <c r="I1499" s="45"/>
      <c r="J1499" s="12"/>
      <c r="K1499" s="12"/>
      <c r="L1499" s="14"/>
      <c r="M1499" s="14"/>
      <c r="N1499" s="14"/>
      <c r="O1499" s="14"/>
      <c r="P1499" s="14"/>
      <c r="Q1499" s="14"/>
      <c r="R1499" s="48"/>
      <c r="S1499" s="48"/>
      <c r="T1499" s="48"/>
      <c r="U1499" s="48"/>
      <c r="V1499" s="48"/>
      <c r="W1499" s="14"/>
      <c r="X1499" s="14"/>
      <c r="Y1499" s="14"/>
      <c r="Z1499" s="14"/>
      <c r="AA1499" s="14"/>
      <c r="AB1499" s="14"/>
      <c r="AC1499" s="14"/>
      <c r="AD1499" s="48"/>
      <c r="AE1499" s="48"/>
      <c r="AF1499" s="48"/>
      <c r="AG1499" s="48"/>
      <c r="AH1499" s="48"/>
      <c r="AI1499" s="14"/>
      <c r="AJ1499" s="14"/>
      <c r="AK1499" s="14"/>
      <c r="AL1499" s="14"/>
      <c r="AM1499" s="14"/>
      <c r="AN1499" s="14"/>
      <c r="AO1499" s="14"/>
      <c r="AP1499" s="14"/>
      <c r="AQ1499" s="14"/>
      <c r="AR1499" s="14"/>
      <c r="AS1499" s="14"/>
      <c r="AT1499" s="14"/>
      <c r="AU1499" s="14"/>
      <c r="AV1499" s="14"/>
      <c r="AW1499" s="14"/>
      <c r="AX1499" s="14"/>
      <c r="AY1499" s="14"/>
      <c r="AZ1499" s="14"/>
      <c r="BA1499" s="14"/>
    </row>
    <row r="1500" ht="14.25" customHeight="1">
      <c r="A1500" s="10"/>
      <c r="B1500" s="12"/>
      <c r="C1500" s="12"/>
      <c r="D1500" s="12"/>
      <c r="E1500" s="44"/>
      <c r="F1500" s="12"/>
      <c r="G1500" s="12"/>
      <c r="H1500" s="45"/>
      <c r="I1500" s="45"/>
      <c r="J1500" s="12"/>
      <c r="K1500" s="12"/>
      <c r="L1500" s="14"/>
      <c r="M1500" s="14"/>
      <c r="N1500" s="14"/>
      <c r="O1500" s="14"/>
      <c r="P1500" s="14"/>
      <c r="Q1500" s="14"/>
      <c r="R1500" s="48"/>
      <c r="S1500" s="48"/>
      <c r="T1500" s="48"/>
      <c r="U1500" s="48"/>
      <c r="V1500" s="48"/>
      <c r="W1500" s="14"/>
      <c r="X1500" s="14"/>
      <c r="Y1500" s="14"/>
      <c r="Z1500" s="14"/>
      <c r="AA1500" s="14"/>
      <c r="AB1500" s="14"/>
      <c r="AC1500" s="14"/>
      <c r="AD1500" s="48"/>
      <c r="AE1500" s="48"/>
      <c r="AF1500" s="48"/>
      <c r="AG1500" s="48"/>
      <c r="AH1500" s="48"/>
      <c r="AI1500" s="14"/>
      <c r="AJ1500" s="14"/>
      <c r="AK1500" s="14"/>
      <c r="AL1500" s="14"/>
      <c r="AM1500" s="14"/>
      <c r="AN1500" s="14"/>
      <c r="AO1500" s="14"/>
      <c r="AP1500" s="14"/>
      <c r="AQ1500" s="14"/>
      <c r="AR1500" s="14"/>
      <c r="AS1500" s="14"/>
      <c r="AT1500" s="14"/>
      <c r="AU1500" s="14"/>
      <c r="AV1500" s="14"/>
      <c r="AW1500" s="14"/>
      <c r="AX1500" s="14"/>
      <c r="AY1500" s="14"/>
      <c r="AZ1500" s="14"/>
      <c r="BA1500" s="14"/>
    </row>
    <row r="1501" ht="14.25" customHeight="1">
      <c r="A1501" s="10"/>
      <c r="B1501" s="12"/>
      <c r="C1501" s="12"/>
      <c r="D1501" s="12"/>
      <c r="E1501" s="44"/>
      <c r="F1501" s="12"/>
      <c r="G1501" s="12"/>
      <c r="H1501" s="45"/>
      <c r="I1501" s="45"/>
      <c r="J1501" s="12"/>
      <c r="K1501" s="12"/>
      <c r="L1501" s="14"/>
      <c r="M1501" s="14"/>
      <c r="N1501" s="14"/>
      <c r="O1501" s="14"/>
      <c r="P1501" s="14"/>
      <c r="Q1501" s="14"/>
      <c r="R1501" s="48"/>
      <c r="S1501" s="48"/>
      <c r="T1501" s="48"/>
      <c r="U1501" s="48"/>
      <c r="V1501" s="48"/>
      <c r="W1501" s="14"/>
      <c r="X1501" s="14"/>
      <c r="Y1501" s="14"/>
      <c r="Z1501" s="14"/>
      <c r="AA1501" s="14"/>
      <c r="AB1501" s="14"/>
      <c r="AC1501" s="14"/>
      <c r="AD1501" s="48"/>
      <c r="AE1501" s="48"/>
      <c r="AF1501" s="48"/>
      <c r="AG1501" s="48"/>
      <c r="AH1501" s="48"/>
      <c r="AI1501" s="14"/>
      <c r="AJ1501" s="14"/>
      <c r="AK1501" s="14"/>
      <c r="AL1501" s="14"/>
      <c r="AM1501" s="14"/>
      <c r="AN1501" s="14"/>
      <c r="AO1501" s="14"/>
      <c r="AP1501" s="14"/>
      <c r="AQ1501" s="14"/>
      <c r="AR1501" s="14"/>
      <c r="AS1501" s="14"/>
      <c r="AT1501" s="14"/>
      <c r="AU1501" s="14"/>
      <c r="AV1501" s="14"/>
      <c r="AW1501" s="14"/>
      <c r="AX1501" s="14"/>
      <c r="AY1501" s="14"/>
      <c r="AZ1501" s="14"/>
      <c r="BA1501" s="14"/>
    </row>
    <row r="1502" ht="14.25" customHeight="1">
      <c r="A1502" s="10"/>
      <c r="B1502" s="12"/>
      <c r="C1502" s="12"/>
      <c r="D1502" s="12"/>
      <c r="E1502" s="44"/>
      <c r="F1502" s="12"/>
      <c r="G1502" s="12"/>
      <c r="H1502" s="45"/>
      <c r="I1502" s="45"/>
      <c r="J1502" s="12"/>
      <c r="K1502" s="12"/>
      <c r="L1502" s="14"/>
      <c r="M1502" s="14"/>
      <c r="N1502" s="14"/>
      <c r="O1502" s="14"/>
      <c r="P1502" s="14"/>
      <c r="Q1502" s="14"/>
      <c r="R1502" s="48"/>
      <c r="S1502" s="48"/>
      <c r="T1502" s="48"/>
      <c r="U1502" s="48"/>
      <c r="V1502" s="48"/>
      <c r="W1502" s="14"/>
      <c r="X1502" s="14"/>
      <c r="Y1502" s="14"/>
      <c r="Z1502" s="14"/>
      <c r="AA1502" s="14"/>
      <c r="AB1502" s="14"/>
      <c r="AC1502" s="14"/>
      <c r="AD1502" s="48"/>
      <c r="AE1502" s="48"/>
      <c r="AF1502" s="48"/>
      <c r="AG1502" s="48"/>
      <c r="AH1502" s="48"/>
      <c r="AI1502" s="14"/>
      <c r="AJ1502" s="14"/>
      <c r="AK1502" s="14"/>
      <c r="AL1502" s="14"/>
      <c r="AM1502" s="14"/>
      <c r="AN1502" s="14"/>
      <c r="AO1502" s="14"/>
      <c r="AP1502" s="14"/>
      <c r="AQ1502" s="14"/>
      <c r="AR1502" s="14"/>
      <c r="AS1502" s="14"/>
      <c r="AT1502" s="14"/>
      <c r="AU1502" s="14"/>
      <c r="AV1502" s="14"/>
      <c r="AW1502" s="14"/>
      <c r="AX1502" s="14"/>
      <c r="AY1502" s="14"/>
      <c r="AZ1502" s="14"/>
      <c r="BA1502" s="14"/>
    </row>
    <row r="1503" ht="14.25" customHeight="1">
      <c r="A1503" s="10"/>
      <c r="B1503" s="12"/>
      <c r="C1503" s="12"/>
      <c r="D1503" s="12"/>
      <c r="E1503" s="44"/>
      <c r="F1503" s="12"/>
      <c r="G1503" s="12"/>
      <c r="H1503" s="45"/>
      <c r="I1503" s="45"/>
      <c r="J1503" s="12"/>
      <c r="K1503" s="12"/>
      <c r="L1503" s="14"/>
      <c r="M1503" s="14"/>
      <c r="N1503" s="14"/>
      <c r="O1503" s="14"/>
      <c r="P1503" s="14"/>
      <c r="Q1503" s="14"/>
      <c r="R1503" s="48"/>
      <c r="S1503" s="48"/>
      <c r="T1503" s="48"/>
      <c r="U1503" s="48"/>
      <c r="V1503" s="48"/>
      <c r="W1503" s="14"/>
      <c r="X1503" s="14"/>
      <c r="Y1503" s="14"/>
      <c r="Z1503" s="14"/>
      <c r="AA1503" s="14"/>
      <c r="AB1503" s="14"/>
      <c r="AC1503" s="14"/>
      <c r="AD1503" s="48"/>
      <c r="AE1503" s="48"/>
      <c r="AF1503" s="48"/>
      <c r="AG1503" s="48"/>
      <c r="AH1503" s="48"/>
      <c r="AI1503" s="14"/>
      <c r="AJ1503" s="14"/>
      <c r="AK1503" s="14"/>
      <c r="AL1503" s="14"/>
      <c r="AM1503" s="14"/>
      <c r="AN1503" s="14"/>
      <c r="AO1503" s="14"/>
      <c r="AP1503" s="14"/>
      <c r="AQ1503" s="14"/>
      <c r="AR1503" s="14"/>
      <c r="AS1503" s="14"/>
      <c r="AT1503" s="14"/>
      <c r="AU1503" s="14"/>
      <c r="AV1503" s="14"/>
      <c r="AW1503" s="14"/>
      <c r="AX1503" s="14"/>
      <c r="AY1503" s="14"/>
      <c r="AZ1503" s="14"/>
      <c r="BA1503" s="14"/>
    </row>
    <row r="1504" ht="14.25" customHeight="1">
      <c r="A1504" s="10"/>
      <c r="B1504" s="12"/>
      <c r="C1504" s="12"/>
      <c r="D1504" s="12"/>
      <c r="E1504" s="44"/>
      <c r="F1504" s="12"/>
      <c r="G1504" s="12"/>
      <c r="H1504" s="45"/>
      <c r="I1504" s="45"/>
      <c r="J1504" s="12"/>
      <c r="K1504" s="12"/>
      <c r="L1504" s="14"/>
      <c r="M1504" s="14"/>
      <c r="N1504" s="14"/>
      <c r="O1504" s="14"/>
      <c r="P1504" s="14"/>
      <c r="Q1504" s="14"/>
      <c r="R1504" s="48"/>
      <c r="S1504" s="48"/>
      <c r="T1504" s="48"/>
      <c r="U1504" s="48"/>
      <c r="V1504" s="48"/>
      <c r="W1504" s="14"/>
      <c r="X1504" s="14"/>
      <c r="Y1504" s="14"/>
      <c r="Z1504" s="14"/>
      <c r="AA1504" s="14"/>
      <c r="AB1504" s="14"/>
      <c r="AC1504" s="14"/>
      <c r="AD1504" s="48"/>
      <c r="AE1504" s="48"/>
      <c r="AF1504" s="48"/>
      <c r="AG1504" s="48"/>
      <c r="AH1504" s="48"/>
      <c r="AI1504" s="14"/>
      <c r="AJ1504" s="14"/>
      <c r="AK1504" s="14"/>
      <c r="AL1504" s="14"/>
      <c r="AM1504" s="14"/>
      <c r="AN1504" s="14"/>
      <c r="AO1504" s="14"/>
      <c r="AP1504" s="14"/>
      <c r="AQ1504" s="14"/>
      <c r="AR1504" s="14"/>
      <c r="AS1504" s="14"/>
      <c r="AT1504" s="14"/>
      <c r="AU1504" s="14"/>
      <c r="AV1504" s="14"/>
      <c r="AW1504" s="14"/>
      <c r="AX1504" s="14"/>
      <c r="AY1504" s="14"/>
      <c r="AZ1504" s="14"/>
      <c r="BA1504" s="14"/>
    </row>
    <row r="1505" ht="14.25" customHeight="1">
      <c r="A1505" s="10"/>
      <c r="B1505" s="12"/>
      <c r="C1505" s="12"/>
      <c r="D1505" s="12"/>
      <c r="E1505" s="44"/>
      <c r="F1505" s="12"/>
      <c r="G1505" s="12"/>
      <c r="H1505" s="45"/>
      <c r="I1505" s="45"/>
      <c r="J1505" s="12"/>
      <c r="K1505" s="12"/>
      <c r="L1505" s="14"/>
      <c r="M1505" s="14"/>
      <c r="N1505" s="14"/>
      <c r="O1505" s="14"/>
      <c r="P1505" s="14"/>
      <c r="Q1505" s="14"/>
      <c r="R1505" s="48"/>
      <c r="S1505" s="48"/>
      <c r="T1505" s="48"/>
      <c r="U1505" s="48"/>
      <c r="V1505" s="48"/>
      <c r="W1505" s="14"/>
      <c r="X1505" s="14"/>
      <c r="Y1505" s="14"/>
      <c r="Z1505" s="14"/>
      <c r="AA1505" s="14"/>
      <c r="AB1505" s="14"/>
      <c r="AC1505" s="14"/>
      <c r="AD1505" s="48"/>
      <c r="AE1505" s="48"/>
      <c r="AF1505" s="48"/>
      <c r="AG1505" s="48"/>
      <c r="AH1505" s="48"/>
      <c r="AI1505" s="14"/>
      <c r="AJ1505" s="14"/>
      <c r="AK1505" s="14"/>
      <c r="AL1505" s="14"/>
      <c r="AM1505" s="14"/>
      <c r="AN1505" s="14"/>
      <c r="AO1505" s="14"/>
      <c r="AP1505" s="14"/>
      <c r="AQ1505" s="14"/>
      <c r="AR1505" s="14"/>
      <c r="AS1505" s="14"/>
      <c r="AT1505" s="14"/>
      <c r="AU1505" s="14"/>
      <c r="AV1505" s="14"/>
      <c r="AW1505" s="14"/>
      <c r="AX1505" s="14"/>
      <c r="AY1505" s="14"/>
      <c r="AZ1505" s="14"/>
      <c r="BA1505" s="14"/>
    </row>
    <row r="1506" ht="14.25" customHeight="1">
      <c r="A1506" s="10"/>
      <c r="B1506" s="12"/>
      <c r="C1506" s="12"/>
      <c r="D1506" s="12"/>
      <c r="E1506" s="44"/>
      <c r="F1506" s="12"/>
      <c r="G1506" s="12"/>
      <c r="H1506" s="45"/>
      <c r="I1506" s="45"/>
      <c r="J1506" s="12"/>
      <c r="K1506" s="12"/>
      <c r="L1506" s="14"/>
      <c r="M1506" s="14"/>
      <c r="N1506" s="14"/>
      <c r="O1506" s="14"/>
      <c r="P1506" s="14"/>
      <c r="Q1506" s="14"/>
      <c r="R1506" s="48"/>
      <c r="S1506" s="48"/>
      <c r="T1506" s="48"/>
      <c r="U1506" s="48"/>
      <c r="V1506" s="48"/>
      <c r="W1506" s="14"/>
      <c r="X1506" s="14"/>
      <c r="Y1506" s="14"/>
      <c r="Z1506" s="14"/>
      <c r="AA1506" s="14"/>
      <c r="AB1506" s="14"/>
      <c r="AC1506" s="14"/>
      <c r="AD1506" s="48"/>
      <c r="AE1506" s="48"/>
      <c r="AF1506" s="48"/>
      <c r="AG1506" s="48"/>
      <c r="AH1506" s="48"/>
      <c r="AI1506" s="14"/>
      <c r="AJ1506" s="14"/>
      <c r="AK1506" s="14"/>
      <c r="AL1506" s="14"/>
      <c r="AM1506" s="14"/>
      <c r="AN1506" s="14"/>
      <c r="AO1506" s="14"/>
      <c r="AP1506" s="14"/>
      <c r="AQ1506" s="14"/>
      <c r="AR1506" s="14"/>
      <c r="AS1506" s="14"/>
      <c r="AT1506" s="14"/>
      <c r="AU1506" s="14"/>
      <c r="AV1506" s="14"/>
      <c r="AW1506" s="14"/>
      <c r="AX1506" s="14"/>
      <c r="AY1506" s="14"/>
      <c r="AZ1506" s="14"/>
      <c r="BA1506" s="14"/>
    </row>
    <row r="1507" ht="14.25" customHeight="1">
      <c r="A1507" s="10"/>
      <c r="B1507" s="12"/>
      <c r="C1507" s="12"/>
      <c r="D1507" s="12"/>
      <c r="E1507" s="44"/>
      <c r="F1507" s="12"/>
      <c r="G1507" s="12"/>
      <c r="H1507" s="45"/>
      <c r="I1507" s="45"/>
      <c r="J1507" s="12"/>
      <c r="K1507" s="12"/>
      <c r="L1507" s="14"/>
      <c r="M1507" s="14"/>
      <c r="N1507" s="14"/>
      <c r="O1507" s="14"/>
      <c r="P1507" s="14"/>
      <c r="Q1507" s="14"/>
      <c r="R1507" s="48"/>
      <c r="S1507" s="48"/>
      <c r="T1507" s="48"/>
      <c r="U1507" s="48"/>
      <c r="V1507" s="48"/>
      <c r="W1507" s="14"/>
      <c r="X1507" s="14"/>
      <c r="Y1507" s="14"/>
      <c r="Z1507" s="14"/>
      <c r="AA1507" s="14"/>
      <c r="AB1507" s="14"/>
      <c r="AC1507" s="14"/>
      <c r="AD1507" s="48"/>
      <c r="AE1507" s="48"/>
      <c r="AF1507" s="48"/>
      <c r="AG1507" s="48"/>
      <c r="AH1507" s="48"/>
      <c r="AI1507" s="14"/>
      <c r="AJ1507" s="14"/>
      <c r="AK1507" s="14"/>
      <c r="AL1507" s="14"/>
      <c r="AM1507" s="14"/>
      <c r="AN1507" s="14"/>
      <c r="AO1507" s="14"/>
      <c r="AP1507" s="14"/>
      <c r="AQ1507" s="14"/>
      <c r="AR1507" s="14"/>
      <c r="AS1507" s="14"/>
      <c r="AT1507" s="14"/>
      <c r="AU1507" s="14"/>
      <c r="AV1507" s="14"/>
      <c r="AW1507" s="14"/>
      <c r="AX1507" s="14"/>
      <c r="AY1507" s="14"/>
      <c r="AZ1507" s="14"/>
      <c r="BA1507" s="14"/>
    </row>
    <row r="1508" ht="14.25" customHeight="1">
      <c r="A1508" s="10"/>
      <c r="B1508" s="12"/>
      <c r="C1508" s="12"/>
      <c r="D1508" s="12"/>
      <c r="E1508" s="44"/>
      <c r="F1508" s="12"/>
      <c r="G1508" s="12"/>
      <c r="H1508" s="45"/>
      <c r="I1508" s="45"/>
      <c r="J1508" s="12"/>
      <c r="K1508" s="12"/>
      <c r="L1508" s="14"/>
      <c r="M1508" s="14"/>
      <c r="N1508" s="14"/>
      <c r="O1508" s="14"/>
      <c r="P1508" s="14"/>
      <c r="Q1508" s="14"/>
      <c r="R1508" s="48"/>
      <c r="S1508" s="48"/>
      <c r="T1508" s="48"/>
      <c r="U1508" s="48"/>
      <c r="V1508" s="48"/>
      <c r="W1508" s="14"/>
      <c r="X1508" s="14"/>
      <c r="Y1508" s="14"/>
      <c r="Z1508" s="14"/>
      <c r="AA1508" s="14"/>
      <c r="AB1508" s="14"/>
      <c r="AC1508" s="14"/>
      <c r="AD1508" s="48"/>
      <c r="AE1508" s="48"/>
      <c r="AF1508" s="48"/>
      <c r="AG1508" s="48"/>
      <c r="AH1508" s="48"/>
      <c r="AI1508" s="14"/>
      <c r="AJ1508" s="14"/>
      <c r="AK1508" s="14"/>
      <c r="AL1508" s="14"/>
      <c r="AM1508" s="14"/>
      <c r="AN1508" s="14"/>
      <c r="AO1508" s="14"/>
      <c r="AP1508" s="14"/>
      <c r="AQ1508" s="14"/>
      <c r="AR1508" s="14"/>
      <c r="AS1508" s="14"/>
      <c r="AT1508" s="14"/>
      <c r="AU1508" s="14"/>
      <c r="AV1508" s="14"/>
      <c r="AW1508" s="14"/>
      <c r="AX1508" s="14"/>
      <c r="AY1508" s="14"/>
      <c r="AZ1508" s="14"/>
      <c r="BA1508" s="14"/>
    </row>
    <row r="1509" ht="14.25" customHeight="1">
      <c r="A1509" s="10"/>
      <c r="B1509" s="12"/>
      <c r="C1509" s="12"/>
      <c r="D1509" s="12"/>
      <c r="E1509" s="44"/>
      <c r="F1509" s="12"/>
      <c r="G1509" s="12"/>
      <c r="H1509" s="45"/>
      <c r="I1509" s="45"/>
      <c r="J1509" s="12"/>
      <c r="K1509" s="12"/>
      <c r="L1509" s="14"/>
      <c r="M1509" s="14"/>
      <c r="N1509" s="14"/>
      <c r="O1509" s="14"/>
      <c r="P1509" s="14"/>
      <c r="Q1509" s="14"/>
      <c r="R1509" s="48"/>
      <c r="S1509" s="48"/>
      <c r="T1509" s="48"/>
      <c r="U1509" s="48"/>
      <c r="V1509" s="48"/>
      <c r="W1509" s="14"/>
      <c r="X1509" s="14"/>
      <c r="Y1509" s="14"/>
      <c r="Z1509" s="14"/>
      <c r="AA1509" s="14"/>
      <c r="AB1509" s="14"/>
      <c r="AC1509" s="14"/>
      <c r="AD1509" s="48"/>
      <c r="AE1509" s="48"/>
      <c r="AF1509" s="48"/>
      <c r="AG1509" s="48"/>
      <c r="AH1509" s="48"/>
      <c r="AI1509" s="14"/>
      <c r="AJ1509" s="14"/>
      <c r="AK1509" s="14"/>
      <c r="AL1509" s="14"/>
      <c r="AM1509" s="14"/>
      <c r="AN1509" s="14"/>
      <c r="AO1509" s="14"/>
      <c r="AP1509" s="14"/>
      <c r="AQ1509" s="14"/>
      <c r="AR1509" s="14"/>
      <c r="AS1509" s="14"/>
      <c r="AT1509" s="14"/>
      <c r="AU1509" s="14"/>
      <c r="AV1509" s="14"/>
      <c r="AW1509" s="14"/>
      <c r="AX1509" s="14"/>
      <c r="AY1509" s="14"/>
      <c r="AZ1509" s="14"/>
      <c r="BA1509" s="14"/>
    </row>
    <row r="1510" ht="14.25" customHeight="1">
      <c r="A1510" s="10"/>
      <c r="B1510" s="12"/>
      <c r="C1510" s="12"/>
      <c r="D1510" s="12"/>
      <c r="E1510" s="44"/>
      <c r="F1510" s="12"/>
      <c r="G1510" s="12"/>
      <c r="H1510" s="45"/>
      <c r="I1510" s="45"/>
      <c r="J1510" s="12"/>
      <c r="K1510" s="12"/>
      <c r="L1510" s="14"/>
      <c r="M1510" s="14"/>
      <c r="N1510" s="14"/>
      <c r="O1510" s="14"/>
      <c r="P1510" s="14"/>
      <c r="Q1510" s="14"/>
      <c r="R1510" s="48"/>
      <c r="S1510" s="48"/>
      <c r="T1510" s="48"/>
      <c r="U1510" s="48"/>
      <c r="V1510" s="48"/>
      <c r="W1510" s="14"/>
      <c r="X1510" s="14"/>
      <c r="Y1510" s="14"/>
      <c r="Z1510" s="14"/>
      <c r="AA1510" s="14"/>
      <c r="AB1510" s="14"/>
      <c r="AC1510" s="14"/>
      <c r="AD1510" s="48"/>
      <c r="AE1510" s="48"/>
      <c r="AF1510" s="48"/>
      <c r="AG1510" s="48"/>
      <c r="AH1510" s="48"/>
      <c r="AI1510" s="14"/>
      <c r="AJ1510" s="14"/>
      <c r="AK1510" s="14"/>
      <c r="AL1510" s="14"/>
      <c r="AM1510" s="14"/>
      <c r="AN1510" s="14"/>
      <c r="AO1510" s="14"/>
      <c r="AP1510" s="14"/>
      <c r="AQ1510" s="14"/>
      <c r="AR1510" s="14"/>
      <c r="AS1510" s="14"/>
      <c r="AT1510" s="14"/>
      <c r="AU1510" s="14"/>
      <c r="AV1510" s="14"/>
      <c r="AW1510" s="14"/>
      <c r="AX1510" s="14"/>
      <c r="AY1510" s="14"/>
      <c r="AZ1510" s="14"/>
      <c r="BA1510" s="14"/>
    </row>
    <row r="1511" ht="14.25" customHeight="1">
      <c r="A1511" s="10"/>
      <c r="B1511" s="12"/>
      <c r="C1511" s="12"/>
      <c r="D1511" s="12"/>
      <c r="E1511" s="44"/>
      <c r="F1511" s="12"/>
      <c r="G1511" s="12"/>
      <c r="H1511" s="45"/>
      <c r="I1511" s="45"/>
      <c r="J1511" s="12"/>
      <c r="K1511" s="12"/>
      <c r="L1511" s="14"/>
      <c r="M1511" s="14"/>
      <c r="N1511" s="14"/>
      <c r="O1511" s="14"/>
      <c r="P1511" s="14"/>
      <c r="Q1511" s="14"/>
      <c r="R1511" s="48"/>
      <c r="S1511" s="48"/>
      <c r="T1511" s="48"/>
      <c r="U1511" s="48"/>
      <c r="V1511" s="48"/>
      <c r="W1511" s="14"/>
      <c r="X1511" s="14"/>
      <c r="Y1511" s="14"/>
      <c r="Z1511" s="14"/>
      <c r="AA1511" s="14"/>
      <c r="AB1511" s="14"/>
      <c r="AC1511" s="14"/>
      <c r="AD1511" s="48"/>
      <c r="AE1511" s="48"/>
      <c r="AF1511" s="48"/>
      <c r="AG1511" s="48"/>
      <c r="AH1511" s="48"/>
      <c r="AI1511" s="14"/>
      <c r="AJ1511" s="14"/>
      <c r="AK1511" s="14"/>
      <c r="AL1511" s="14"/>
      <c r="AM1511" s="14"/>
      <c r="AN1511" s="14"/>
      <c r="AO1511" s="14"/>
      <c r="AP1511" s="14"/>
      <c r="AQ1511" s="14"/>
      <c r="AR1511" s="14"/>
      <c r="AS1511" s="14"/>
      <c r="AT1511" s="14"/>
      <c r="AU1511" s="14"/>
      <c r="AV1511" s="14"/>
      <c r="AW1511" s="14"/>
      <c r="AX1511" s="14"/>
      <c r="AY1511" s="14"/>
      <c r="AZ1511" s="14"/>
      <c r="BA1511" s="14"/>
    </row>
    <row r="1512" ht="14.25" customHeight="1">
      <c r="A1512" s="10"/>
      <c r="B1512" s="12"/>
      <c r="C1512" s="12"/>
      <c r="D1512" s="12"/>
      <c r="E1512" s="44"/>
      <c r="F1512" s="12"/>
      <c r="G1512" s="12"/>
      <c r="H1512" s="45"/>
      <c r="I1512" s="45"/>
      <c r="J1512" s="12"/>
      <c r="K1512" s="12"/>
      <c r="L1512" s="14"/>
      <c r="M1512" s="14"/>
      <c r="N1512" s="14"/>
      <c r="O1512" s="14"/>
      <c r="P1512" s="14"/>
      <c r="Q1512" s="14"/>
      <c r="R1512" s="48"/>
      <c r="S1512" s="48"/>
      <c r="T1512" s="48"/>
      <c r="U1512" s="48"/>
      <c r="V1512" s="48"/>
      <c r="W1512" s="14"/>
      <c r="X1512" s="14"/>
      <c r="Y1512" s="14"/>
      <c r="Z1512" s="14"/>
      <c r="AA1512" s="14"/>
      <c r="AB1512" s="14"/>
      <c r="AC1512" s="14"/>
      <c r="AD1512" s="48"/>
      <c r="AE1512" s="48"/>
      <c r="AF1512" s="48"/>
      <c r="AG1512" s="48"/>
      <c r="AH1512" s="48"/>
      <c r="AI1512" s="14"/>
      <c r="AJ1512" s="14"/>
      <c r="AK1512" s="14"/>
      <c r="AL1512" s="14"/>
      <c r="AM1512" s="14"/>
      <c r="AN1512" s="14"/>
      <c r="AO1512" s="14"/>
      <c r="AP1512" s="14"/>
      <c r="AQ1512" s="14"/>
      <c r="AR1512" s="14"/>
      <c r="AS1512" s="14"/>
      <c r="AT1512" s="14"/>
      <c r="AU1512" s="14"/>
      <c r="AV1512" s="14"/>
      <c r="AW1512" s="14"/>
      <c r="AX1512" s="14"/>
      <c r="AY1512" s="14"/>
      <c r="AZ1512" s="14"/>
      <c r="BA1512" s="14"/>
    </row>
    <row r="1513" ht="14.25" customHeight="1">
      <c r="A1513" s="10"/>
      <c r="B1513" s="12"/>
      <c r="C1513" s="12"/>
      <c r="D1513" s="12"/>
      <c r="E1513" s="44"/>
      <c r="F1513" s="12"/>
      <c r="G1513" s="12"/>
      <c r="H1513" s="45"/>
      <c r="I1513" s="45"/>
      <c r="J1513" s="12"/>
      <c r="K1513" s="12"/>
      <c r="L1513" s="14"/>
      <c r="M1513" s="14"/>
      <c r="N1513" s="14"/>
      <c r="O1513" s="14"/>
      <c r="P1513" s="14"/>
      <c r="Q1513" s="14"/>
      <c r="R1513" s="48"/>
      <c r="S1513" s="48"/>
      <c r="T1513" s="48"/>
      <c r="U1513" s="48"/>
      <c r="V1513" s="48"/>
      <c r="W1513" s="14"/>
      <c r="X1513" s="14"/>
      <c r="Y1513" s="14"/>
      <c r="Z1513" s="14"/>
      <c r="AA1513" s="14"/>
      <c r="AB1513" s="14"/>
      <c r="AC1513" s="14"/>
      <c r="AD1513" s="48"/>
      <c r="AE1513" s="48"/>
      <c r="AF1513" s="48"/>
      <c r="AG1513" s="48"/>
      <c r="AH1513" s="48"/>
      <c r="AI1513" s="14"/>
      <c r="AJ1513" s="14"/>
      <c r="AK1513" s="14"/>
      <c r="AL1513" s="14"/>
      <c r="AM1513" s="14"/>
      <c r="AN1513" s="14"/>
      <c r="AO1513" s="14"/>
      <c r="AP1513" s="14"/>
      <c r="AQ1513" s="14"/>
      <c r="AR1513" s="14"/>
      <c r="AS1513" s="14"/>
      <c r="AT1513" s="14"/>
      <c r="AU1513" s="14"/>
      <c r="AV1513" s="14"/>
      <c r="AW1513" s="14"/>
      <c r="AX1513" s="14"/>
      <c r="AY1513" s="14"/>
      <c r="AZ1513" s="14"/>
      <c r="BA1513" s="14"/>
    </row>
    <row r="1514" ht="14.25" customHeight="1">
      <c r="A1514" s="10"/>
      <c r="B1514" s="12"/>
      <c r="C1514" s="12"/>
      <c r="D1514" s="12"/>
      <c r="E1514" s="44"/>
      <c r="F1514" s="12"/>
      <c r="G1514" s="12"/>
      <c r="H1514" s="45"/>
      <c r="I1514" s="45"/>
      <c r="J1514" s="12"/>
      <c r="K1514" s="12"/>
      <c r="L1514" s="14"/>
      <c r="M1514" s="14"/>
      <c r="N1514" s="14"/>
      <c r="O1514" s="14"/>
      <c r="P1514" s="14"/>
      <c r="Q1514" s="14"/>
      <c r="R1514" s="48"/>
      <c r="S1514" s="48"/>
      <c r="T1514" s="48"/>
      <c r="U1514" s="48"/>
      <c r="V1514" s="48"/>
      <c r="W1514" s="14"/>
      <c r="X1514" s="14"/>
      <c r="Y1514" s="14"/>
      <c r="Z1514" s="14"/>
      <c r="AA1514" s="14"/>
      <c r="AB1514" s="14"/>
      <c r="AC1514" s="14"/>
      <c r="AD1514" s="48"/>
      <c r="AE1514" s="48"/>
      <c r="AF1514" s="48"/>
      <c r="AG1514" s="48"/>
      <c r="AH1514" s="48"/>
      <c r="AI1514" s="14"/>
      <c r="AJ1514" s="14"/>
      <c r="AK1514" s="14"/>
      <c r="AL1514" s="14"/>
      <c r="AM1514" s="14"/>
      <c r="AN1514" s="14"/>
      <c r="AO1514" s="14"/>
      <c r="AP1514" s="14"/>
      <c r="AQ1514" s="14"/>
      <c r="AR1514" s="14"/>
      <c r="AS1514" s="14"/>
      <c r="AT1514" s="14"/>
      <c r="AU1514" s="14"/>
      <c r="AV1514" s="14"/>
      <c r="AW1514" s="14"/>
      <c r="AX1514" s="14"/>
      <c r="AY1514" s="14"/>
      <c r="AZ1514" s="14"/>
      <c r="BA1514" s="14"/>
    </row>
    <row r="1515" ht="14.25" customHeight="1">
      <c r="A1515" s="10"/>
      <c r="B1515" s="12"/>
      <c r="C1515" s="12"/>
      <c r="D1515" s="12"/>
      <c r="E1515" s="44"/>
      <c r="F1515" s="12"/>
      <c r="G1515" s="12"/>
      <c r="H1515" s="45"/>
      <c r="I1515" s="45"/>
      <c r="J1515" s="12"/>
      <c r="K1515" s="12"/>
      <c r="L1515" s="14"/>
      <c r="M1515" s="14"/>
      <c r="N1515" s="14"/>
      <c r="O1515" s="14"/>
      <c r="P1515" s="14"/>
      <c r="Q1515" s="14"/>
      <c r="R1515" s="48"/>
      <c r="S1515" s="48"/>
      <c r="T1515" s="48"/>
      <c r="U1515" s="48"/>
      <c r="V1515" s="48"/>
      <c r="W1515" s="14"/>
      <c r="X1515" s="14"/>
      <c r="Y1515" s="14"/>
      <c r="Z1515" s="14"/>
      <c r="AA1515" s="14"/>
      <c r="AB1515" s="14"/>
      <c r="AC1515" s="14"/>
      <c r="AD1515" s="48"/>
      <c r="AE1515" s="48"/>
      <c r="AF1515" s="48"/>
      <c r="AG1515" s="48"/>
      <c r="AH1515" s="48"/>
      <c r="AI1515" s="14"/>
      <c r="AJ1515" s="14"/>
      <c r="AK1515" s="14"/>
      <c r="AL1515" s="14"/>
      <c r="AM1515" s="14"/>
      <c r="AN1515" s="14"/>
      <c r="AO1515" s="14"/>
      <c r="AP1515" s="14"/>
      <c r="AQ1515" s="14"/>
      <c r="AR1515" s="14"/>
      <c r="AS1515" s="14"/>
      <c r="AT1515" s="14"/>
      <c r="AU1515" s="14"/>
      <c r="AV1515" s="14"/>
      <c r="AW1515" s="14"/>
      <c r="AX1515" s="14"/>
      <c r="AY1515" s="14"/>
      <c r="AZ1515" s="14"/>
      <c r="BA1515" s="14"/>
    </row>
    <row r="1516" ht="14.25" customHeight="1">
      <c r="A1516" s="10"/>
      <c r="B1516" s="12"/>
      <c r="C1516" s="12"/>
      <c r="D1516" s="12"/>
      <c r="E1516" s="44"/>
      <c r="F1516" s="12"/>
      <c r="G1516" s="12"/>
      <c r="H1516" s="45"/>
      <c r="I1516" s="45"/>
      <c r="J1516" s="12"/>
      <c r="K1516" s="12"/>
      <c r="L1516" s="14"/>
      <c r="M1516" s="14"/>
      <c r="N1516" s="14"/>
      <c r="O1516" s="14"/>
      <c r="P1516" s="14"/>
      <c r="Q1516" s="14"/>
      <c r="R1516" s="48"/>
      <c r="S1516" s="48"/>
      <c r="T1516" s="48"/>
      <c r="U1516" s="48"/>
      <c r="V1516" s="48"/>
      <c r="W1516" s="14"/>
      <c r="X1516" s="14"/>
      <c r="Y1516" s="14"/>
      <c r="Z1516" s="14"/>
      <c r="AA1516" s="14"/>
      <c r="AB1516" s="14"/>
      <c r="AC1516" s="14"/>
      <c r="AD1516" s="48"/>
      <c r="AE1516" s="48"/>
      <c r="AF1516" s="48"/>
      <c r="AG1516" s="48"/>
      <c r="AH1516" s="48"/>
      <c r="AI1516" s="14"/>
      <c r="AJ1516" s="14"/>
      <c r="AK1516" s="14"/>
      <c r="AL1516" s="14"/>
      <c r="AM1516" s="14"/>
      <c r="AN1516" s="14"/>
      <c r="AO1516" s="14"/>
      <c r="AP1516" s="14"/>
      <c r="AQ1516" s="14"/>
      <c r="AR1516" s="14"/>
      <c r="AS1516" s="14"/>
      <c r="AT1516" s="14"/>
      <c r="AU1516" s="14"/>
      <c r="AV1516" s="14"/>
      <c r="AW1516" s="14"/>
      <c r="AX1516" s="14"/>
      <c r="AY1516" s="14"/>
      <c r="AZ1516" s="14"/>
      <c r="BA1516" s="14"/>
    </row>
    <row r="1517" ht="14.25" customHeight="1">
      <c r="A1517" s="10"/>
      <c r="B1517" s="12"/>
      <c r="C1517" s="12"/>
      <c r="D1517" s="12"/>
      <c r="E1517" s="44"/>
      <c r="F1517" s="12"/>
      <c r="G1517" s="12"/>
      <c r="H1517" s="45"/>
      <c r="I1517" s="45"/>
      <c r="J1517" s="12"/>
      <c r="K1517" s="12"/>
      <c r="L1517" s="14"/>
      <c r="M1517" s="14"/>
      <c r="N1517" s="14"/>
      <c r="O1517" s="14"/>
      <c r="P1517" s="14"/>
      <c r="Q1517" s="14"/>
      <c r="R1517" s="48"/>
      <c r="S1517" s="48"/>
      <c r="T1517" s="48"/>
      <c r="U1517" s="48"/>
      <c r="V1517" s="48"/>
      <c r="W1517" s="14"/>
      <c r="X1517" s="14"/>
      <c r="Y1517" s="14"/>
      <c r="Z1517" s="14"/>
      <c r="AA1517" s="14"/>
      <c r="AB1517" s="14"/>
      <c r="AC1517" s="14"/>
      <c r="AD1517" s="48"/>
      <c r="AE1517" s="48"/>
      <c r="AF1517" s="48"/>
      <c r="AG1517" s="48"/>
      <c r="AH1517" s="48"/>
      <c r="AI1517" s="14"/>
      <c r="AJ1517" s="14"/>
      <c r="AK1517" s="14"/>
      <c r="AL1517" s="14"/>
      <c r="AM1517" s="14"/>
      <c r="AN1517" s="14"/>
      <c r="AO1517" s="14"/>
      <c r="AP1517" s="14"/>
      <c r="AQ1517" s="14"/>
      <c r="AR1517" s="14"/>
      <c r="AS1517" s="14"/>
      <c r="AT1517" s="14"/>
      <c r="AU1517" s="14"/>
      <c r="AV1517" s="14"/>
      <c r="AW1517" s="14"/>
      <c r="AX1517" s="14"/>
      <c r="AY1517" s="14"/>
      <c r="AZ1517" s="14"/>
      <c r="BA1517" s="14"/>
    </row>
    <row r="1518" ht="14.25" customHeight="1">
      <c r="A1518" s="10"/>
      <c r="B1518" s="12"/>
      <c r="C1518" s="12"/>
      <c r="D1518" s="12"/>
      <c r="E1518" s="44"/>
      <c r="F1518" s="12"/>
      <c r="G1518" s="12"/>
      <c r="H1518" s="45"/>
      <c r="I1518" s="45"/>
      <c r="J1518" s="12"/>
      <c r="K1518" s="12"/>
      <c r="L1518" s="14"/>
      <c r="M1518" s="14"/>
      <c r="N1518" s="14"/>
      <c r="O1518" s="14"/>
      <c r="P1518" s="14"/>
      <c r="Q1518" s="14"/>
      <c r="R1518" s="48"/>
      <c r="S1518" s="48"/>
      <c r="T1518" s="48"/>
      <c r="U1518" s="48"/>
      <c r="V1518" s="48"/>
      <c r="W1518" s="14"/>
      <c r="X1518" s="14"/>
      <c r="Y1518" s="14"/>
      <c r="Z1518" s="14"/>
      <c r="AA1518" s="14"/>
      <c r="AB1518" s="14"/>
      <c r="AC1518" s="14"/>
      <c r="AD1518" s="48"/>
      <c r="AE1518" s="48"/>
      <c r="AF1518" s="48"/>
      <c r="AG1518" s="48"/>
      <c r="AH1518" s="48"/>
      <c r="AI1518" s="14"/>
      <c r="AJ1518" s="14"/>
      <c r="AK1518" s="14"/>
      <c r="AL1518" s="14"/>
      <c r="AM1518" s="14"/>
      <c r="AN1518" s="14"/>
      <c r="AO1518" s="14"/>
      <c r="AP1518" s="14"/>
      <c r="AQ1518" s="14"/>
      <c r="AR1518" s="14"/>
      <c r="AS1518" s="14"/>
      <c r="AT1518" s="14"/>
      <c r="AU1518" s="14"/>
      <c r="AV1518" s="14"/>
      <c r="AW1518" s="14"/>
      <c r="AX1518" s="14"/>
      <c r="AY1518" s="14"/>
      <c r="AZ1518" s="14"/>
      <c r="BA1518" s="14"/>
    </row>
    <row r="1519" ht="14.25" customHeight="1">
      <c r="A1519" s="10"/>
      <c r="B1519" s="12"/>
      <c r="C1519" s="12"/>
      <c r="D1519" s="12"/>
      <c r="E1519" s="44"/>
      <c r="F1519" s="12"/>
      <c r="G1519" s="12"/>
      <c r="H1519" s="45"/>
      <c r="I1519" s="45"/>
      <c r="J1519" s="12"/>
      <c r="K1519" s="12"/>
      <c r="L1519" s="14"/>
      <c r="M1519" s="14"/>
      <c r="N1519" s="14"/>
      <c r="O1519" s="14"/>
      <c r="P1519" s="14"/>
      <c r="Q1519" s="14"/>
      <c r="R1519" s="48"/>
      <c r="S1519" s="48"/>
      <c r="T1519" s="48"/>
      <c r="U1519" s="48"/>
      <c r="V1519" s="48"/>
      <c r="W1519" s="14"/>
      <c r="X1519" s="14"/>
      <c r="Y1519" s="14"/>
      <c r="Z1519" s="14"/>
      <c r="AA1519" s="14"/>
      <c r="AB1519" s="14"/>
      <c r="AC1519" s="14"/>
      <c r="AD1519" s="48"/>
      <c r="AE1519" s="48"/>
      <c r="AF1519" s="48"/>
      <c r="AG1519" s="48"/>
      <c r="AH1519" s="48"/>
      <c r="AI1519" s="14"/>
      <c r="AJ1519" s="14"/>
      <c r="AK1519" s="14"/>
      <c r="AL1519" s="14"/>
      <c r="AM1519" s="14"/>
      <c r="AN1519" s="14"/>
      <c r="AO1519" s="14"/>
      <c r="AP1519" s="14"/>
      <c r="AQ1519" s="14"/>
      <c r="AR1519" s="14"/>
      <c r="AS1519" s="14"/>
      <c r="AT1519" s="14"/>
      <c r="AU1519" s="14"/>
      <c r="AV1519" s="14"/>
      <c r="AW1519" s="14"/>
      <c r="AX1519" s="14"/>
      <c r="AY1519" s="14"/>
      <c r="AZ1519" s="14"/>
      <c r="BA1519" s="14"/>
    </row>
    <row r="1520" ht="14.25" customHeight="1">
      <c r="A1520" s="10"/>
      <c r="B1520" s="12"/>
      <c r="C1520" s="12"/>
      <c r="D1520" s="12"/>
      <c r="E1520" s="44"/>
      <c r="F1520" s="12"/>
      <c r="G1520" s="12"/>
      <c r="H1520" s="45"/>
      <c r="I1520" s="45"/>
      <c r="J1520" s="12"/>
      <c r="K1520" s="12"/>
      <c r="L1520" s="14"/>
      <c r="M1520" s="14"/>
      <c r="N1520" s="14"/>
      <c r="O1520" s="14"/>
      <c r="P1520" s="14"/>
      <c r="Q1520" s="14"/>
      <c r="R1520" s="48"/>
      <c r="S1520" s="48"/>
      <c r="T1520" s="48"/>
      <c r="U1520" s="48"/>
      <c r="V1520" s="48"/>
      <c r="W1520" s="14"/>
      <c r="X1520" s="14"/>
      <c r="Y1520" s="14"/>
      <c r="Z1520" s="14"/>
      <c r="AA1520" s="14"/>
      <c r="AB1520" s="14"/>
      <c r="AC1520" s="14"/>
      <c r="AD1520" s="48"/>
      <c r="AE1520" s="48"/>
      <c r="AF1520" s="48"/>
      <c r="AG1520" s="48"/>
      <c r="AH1520" s="48"/>
      <c r="AI1520" s="14"/>
      <c r="AJ1520" s="14"/>
      <c r="AK1520" s="14"/>
      <c r="AL1520" s="14"/>
      <c r="AM1520" s="14"/>
      <c r="AN1520" s="14"/>
      <c r="AO1520" s="14"/>
      <c r="AP1520" s="14"/>
      <c r="AQ1520" s="14"/>
      <c r="AR1520" s="14"/>
      <c r="AS1520" s="14"/>
      <c r="AT1520" s="14"/>
      <c r="AU1520" s="14"/>
      <c r="AV1520" s="14"/>
      <c r="AW1520" s="14"/>
      <c r="AX1520" s="14"/>
      <c r="AY1520" s="14"/>
      <c r="AZ1520" s="14"/>
      <c r="BA1520" s="14"/>
    </row>
    <row r="1521" ht="14.25" customHeight="1">
      <c r="A1521" s="10"/>
      <c r="B1521" s="12"/>
      <c r="C1521" s="12"/>
      <c r="D1521" s="12"/>
      <c r="E1521" s="44"/>
      <c r="F1521" s="12"/>
      <c r="G1521" s="12"/>
      <c r="H1521" s="45"/>
      <c r="I1521" s="45"/>
      <c r="J1521" s="12"/>
      <c r="K1521" s="12"/>
      <c r="L1521" s="14"/>
      <c r="M1521" s="14"/>
      <c r="N1521" s="14"/>
      <c r="O1521" s="14"/>
      <c r="P1521" s="14"/>
      <c r="Q1521" s="14"/>
      <c r="R1521" s="48"/>
      <c r="S1521" s="48"/>
      <c r="T1521" s="48"/>
      <c r="U1521" s="48"/>
      <c r="V1521" s="48"/>
      <c r="W1521" s="14"/>
      <c r="X1521" s="14"/>
      <c r="Y1521" s="14"/>
      <c r="Z1521" s="14"/>
      <c r="AA1521" s="14"/>
      <c r="AB1521" s="14"/>
      <c r="AC1521" s="14"/>
      <c r="AD1521" s="48"/>
      <c r="AE1521" s="48"/>
      <c r="AF1521" s="48"/>
      <c r="AG1521" s="48"/>
      <c r="AH1521" s="48"/>
      <c r="AI1521" s="14"/>
      <c r="AJ1521" s="14"/>
      <c r="AK1521" s="14"/>
      <c r="AL1521" s="14"/>
      <c r="AM1521" s="14"/>
      <c r="AN1521" s="14"/>
      <c r="AO1521" s="14"/>
      <c r="AP1521" s="14"/>
      <c r="AQ1521" s="14"/>
      <c r="AR1521" s="14"/>
      <c r="AS1521" s="14"/>
      <c r="AT1521" s="14"/>
      <c r="AU1521" s="14"/>
      <c r="AV1521" s="14"/>
      <c r="AW1521" s="14"/>
      <c r="AX1521" s="14"/>
      <c r="AY1521" s="14"/>
      <c r="AZ1521" s="14"/>
      <c r="BA1521" s="14"/>
    </row>
    <row r="1522" ht="14.25" customHeight="1">
      <c r="A1522" s="10"/>
      <c r="B1522" s="12"/>
      <c r="C1522" s="12"/>
      <c r="D1522" s="12"/>
      <c r="E1522" s="44"/>
      <c r="F1522" s="12"/>
      <c r="G1522" s="12"/>
      <c r="H1522" s="45"/>
      <c r="I1522" s="45"/>
      <c r="J1522" s="12"/>
      <c r="K1522" s="12"/>
      <c r="L1522" s="14"/>
      <c r="M1522" s="14"/>
      <c r="N1522" s="14"/>
      <c r="O1522" s="14"/>
      <c r="P1522" s="14"/>
      <c r="Q1522" s="14"/>
      <c r="R1522" s="48"/>
      <c r="S1522" s="48"/>
      <c r="T1522" s="48"/>
      <c r="U1522" s="48"/>
      <c r="V1522" s="48"/>
      <c r="W1522" s="14"/>
      <c r="X1522" s="14"/>
      <c r="Y1522" s="14"/>
      <c r="Z1522" s="14"/>
      <c r="AA1522" s="14"/>
      <c r="AB1522" s="14"/>
      <c r="AC1522" s="14"/>
      <c r="AD1522" s="48"/>
      <c r="AE1522" s="48"/>
      <c r="AF1522" s="48"/>
      <c r="AG1522" s="48"/>
      <c r="AH1522" s="48"/>
      <c r="AI1522" s="14"/>
      <c r="AJ1522" s="14"/>
      <c r="AK1522" s="14"/>
      <c r="AL1522" s="14"/>
      <c r="AM1522" s="14"/>
      <c r="AN1522" s="14"/>
      <c r="AO1522" s="14"/>
      <c r="AP1522" s="14"/>
      <c r="AQ1522" s="14"/>
      <c r="AR1522" s="14"/>
      <c r="AS1522" s="14"/>
      <c r="AT1522" s="14"/>
      <c r="AU1522" s="14"/>
      <c r="AV1522" s="14"/>
      <c r="AW1522" s="14"/>
      <c r="AX1522" s="14"/>
      <c r="AY1522" s="14"/>
      <c r="AZ1522" s="14"/>
      <c r="BA1522" s="14"/>
    </row>
    <row r="1523" ht="14.25" customHeight="1">
      <c r="A1523" s="10"/>
      <c r="B1523" s="12"/>
      <c r="C1523" s="12"/>
      <c r="D1523" s="12"/>
      <c r="E1523" s="44"/>
      <c r="F1523" s="12"/>
      <c r="G1523" s="12"/>
      <c r="H1523" s="45"/>
      <c r="I1523" s="45"/>
      <c r="J1523" s="12"/>
      <c r="K1523" s="12"/>
      <c r="L1523" s="14"/>
      <c r="M1523" s="14"/>
      <c r="N1523" s="14"/>
      <c r="O1523" s="14"/>
      <c r="P1523" s="14"/>
      <c r="Q1523" s="14"/>
      <c r="R1523" s="48"/>
      <c r="S1523" s="48"/>
      <c r="T1523" s="48"/>
      <c r="U1523" s="48"/>
      <c r="V1523" s="48"/>
      <c r="W1523" s="14"/>
      <c r="X1523" s="14"/>
      <c r="Y1523" s="14"/>
      <c r="Z1523" s="14"/>
      <c r="AA1523" s="14"/>
      <c r="AB1523" s="14"/>
      <c r="AC1523" s="14"/>
      <c r="AD1523" s="48"/>
      <c r="AE1523" s="48"/>
      <c r="AF1523" s="48"/>
      <c r="AG1523" s="48"/>
      <c r="AH1523" s="48"/>
      <c r="AI1523" s="14"/>
      <c r="AJ1523" s="14"/>
      <c r="AK1523" s="14"/>
      <c r="AL1523" s="14"/>
      <c r="AM1523" s="14"/>
      <c r="AN1523" s="14"/>
      <c r="AO1523" s="14"/>
      <c r="AP1523" s="14"/>
      <c r="AQ1523" s="14"/>
      <c r="AR1523" s="14"/>
      <c r="AS1523" s="14"/>
      <c r="AT1523" s="14"/>
      <c r="AU1523" s="14"/>
      <c r="AV1523" s="14"/>
      <c r="AW1523" s="14"/>
      <c r="AX1523" s="14"/>
      <c r="AY1523" s="14"/>
      <c r="AZ1523" s="14"/>
      <c r="BA1523" s="14"/>
    </row>
    <row r="1524" ht="14.25" customHeight="1">
      <c r="A1524" s="10"/>
      <c r="B1524" s="12"/>
      <c r="C1524" s="12"/>
      <c r="D1524" s="12"/>
      <c r="E1524" s="44"/>
      <c r="F1524" s="12"/>
      <c r="G1524" s="12"/>
      <c r="H1524" s="45"/>
      <c r="I1524" s="45"/>
      <c r="J1524" s="12"/>
      <c r="K1524" s="12"/>
      <c r="L1524" s="14"/>
      <c r="M1524" s="14"/>
      <c r="N1524" s="14"/>
      <c r="O1524" s="14"/>
      <c r="P1524" s="14"/>
      <c r="Q1524" s="14"/>
      <c r="R1524" s="48"/>
      <c r="S1524" s="48"/>
      <c r="T1524" s="48"/>
      <c r="U1524" s="48"/>
      <c r="V1524" s="48"/>
      <c r="W1524" s="14"/>
      <c r="X1524" s="14"/>
      <c r="Y1524" s="14"/>
      <c r="Z1524" s="14"/>
      <c r="AA1524" s="14"/>
      <c r="AB1524" s="14"/>
      <c r="AC1524" s="14"/>
      <c r="AD1524" s="48"/>
      <c r="AE1524" s="48"/>
      <c r="AF1524" s="48"/>
      <c r="AG1524" s="48"/>
      <c r="AH1524" s="48"/>
      <c r="AI1524" s="14"/>
      <c r="AJ1524" s="14"/>
      <c r="AK1524" s="14"/>
      <c r="AL1524" s="14"/>
      <c r="AM1524" s="14"/>
      <c r="AN1524" s="14"/>
      <c r="AO1524" s="14"/>
      <c r="AP1524" s="14"/>
      <c r="AQ1524" s="14"/>
      <c r="AR1524" s="14"/>
      <c r="AS1524" s="14"/>
      <c r="AT1524" s="14"/>
      <c r="AU1524" s="14"/>
      <c r="AV1524" s="14"/>
      <c r="AW1524" s="14"/>
      <c r="AX1524" s="14"/>
      <c r="AY1524" s="14"/>
      <c r="AZ1524" s="14"/>
      <c r="BA1524" s="14"/>
    </row>
    <row r="1525" ht="14.25" customHeight="1">
      <c r="A1525" s="10"/>
      <c r="B1525" s="12"/>
      <c r="C1525" s="12"/>
      <c r="D1525" s="12"/>
      <c r="E1525" s="44"/>
      <c r="F1525" s="12"/>
      <c r="G1525" s="12"/>
      <c r="H1525" s="45"/>
      <c r="I1525" s="45"/>
      <c r="J1525" s="12"/>
      <c r="K1525" s="12"/>
      <c r="L1525" s="14"/>
      <c r="M1525" s="14"/>
      <c r="N1525" s="14"/>
      <c r="O1525" s="14"/>
      <c r="P1525" s="14"/>
      <c r="Q1525" s="14"/>
      <c r="R1525" s="48"/>
      <c r="S1525" s="48"/>
      <c r="T1525" s="48"/>
      <c r="U1525" s="48"/>
      <c r="V1525" s="48"/>
      <c r="W1525" s="14"/>
      <c r="X1525" s="14"/>
      <c r="Y1525" s="14"/>
      <c r="Z1525" s="14"/>
      <c r="AA1525" s="14"/>
      <c r="AB1525" s="14"/>
      <c r="AC1525" s="14"/>
      <c r="AD1525" s="48"/>
      <c r="AE1525" s="48"/>
      <c r="AF1525" s="48"/>
      <c r="AG1525" s="48"/>
      <c r="AH1525" s="48"/>
      <c r="AI1525" s="14"/>
      <c r="AJ1525" s="14"/>
      <c r="AK1525" s="14"/>
      <c r="AL1525" s="14"/>
      <c r="AM1525" s="14"/>
      <c r="AN1525" s="14"/>
      <c r="AO1525" s="14"/>
      <c r="AP1525" s="14"/>
      <c r="AQ1525" s="14"/>
      <c r="AR1525" s="14"/>
      <c r="AS1525" s="14"/>
      <c r="AT1525" s="14"/>
      <c r="AU1525" s="14"/>
      <c r="AV1525" s="14"/>
      <c r="AW1525" s="14"/>
      <c r="AX1525" s="14"/>
      <c r="AY1525" s="14"/>
      <c r="AZ1525" s="14"/>
      <c r="BA1525" s="14"/>
    </row>
    <row r="1526" ht="14.25" customHeight="1">
      <c r="A1526" s="10"/>
      <c r="B1526" s="12"/>
      <c r="C1526" s="12"/>
      <c r="D1526" s="12"/>
      <c r="E1526" s="44"/>
      <c r="F1526" s="12"/>
      <c r="G1526" s="12"/>
      <c r="H1526" s="45"/>
      <c r="I1526" s="45"/>
      <c r="J1526" s="12"/>
      <c r="K1526" s="12"/>
      <c r="L1526" s="14"/>
      <c r="M1526" s="14"/>
      <c r="N1526" s="14"/>
      <c r="O1526" s="14"/>
      <c r="P1526" s="14"/>
      <c r="Q1526" s="14"/>
      <c r="R1526" s="48"/>
      <c r="S1526" s="48"/>
      <c r="T1526" s="48"/>
      <c r="U1526" s="48"/>
      <c r="V1526" s="48"/>
      <c r="W1526" s="14"/>
      <c r="X1526" s="14"/>
      <c r="Y1526" s="14"/>
      <c r="Z1526" s="14"/>
      <c r="AA1526" s="14"/>
      <c r="AB1526" s="14"/>
      <c r="AC1526" s="14"/>
      <c r="AD1526" s="48"/>
      <c r="AE1526" s="48"/>
      <c r="AF1526" s="48"/>
      <c r="AG1526" s="48"/>
      <c r="AH1526" s="48"/>
      <c r="AI1526" s="14"/>
      <c r="AJ1526" s="14"/>
      <c r="AK1526" s="14"/>
      <c r="AL1526" s="14"/>
      <c r="AM1526" s="14"/>
      <c r="AN1526" s="14"/>
      <c r="AO1526" s="14"/>
      <c r="AP1526" s="14"/>
      <c r="AQ1526" s="14"/>
      <c r="AR1526" s="14"/>
      <c r="AS1526" s="14"/>
      <c r="AT1526" s="14"/>
      <c r="AU1526" s="14"/>
      <c r="AV1526" s="14"/>
      <c r="AW1526" s="14"/>
      <c r="AX1526" s="14"/>
      <c r="AY1526" s="14"/>
      <c r="AZ1526" s="14"/>
      <c r="BA1526" s="14"/>
    </row>
    <row r="1527" ht="14.25" customHeight="1">
      <c r="A1527" s="10"/>
      <c r="B1527" s="12"/>
      <c r="C1527" s="12"/>
      <c r="D1527" s="12"/>
      <c r="E1527" s="44"/>
      <c r="F1527" s="12"/>
      <c r="G1527" s="12"/>
      <c r="H1527" s="45"/>
      <c r="I1527" s="45"/>
      <c r="J1527" s="12"/>
      <c r="K1527" s="12"/>
      <c r="L1527" s="14"/>
      <c r="M1527" s="14"/>
      <c r="N1527" s="14"/>
      <c r="O1527" s="14"/>
      <c r="P1527" s="14"/>
      <c r="Q1527" s="14"/>
      <c r="R1527" s="48"/>
      <c r="S1527" s="48"/>
      <c r="T1527" s="48"/>
      <c r="U1527" s="48"/>
      <c r="V1527" s="48"/>
      <c r="W1527" s="14"/>
      <c r="X1527" s="14"/>
      <c r="Y1527" s="14"/>
      <c r="Z1527" s="14"/>
      <c r="AA1527" s="14"/>
      <c r="AB1527" s="14"/>
      <c r="AC1527" s="14"/>
      <c r="AD1527" s="48"/>
      <c r="AE1527" s="48"/>
      <c r="AF1527" s="48"/>
      <c r="AG1527" s="48"/>
      <c r="AH1527" s="48"/>
      <c r="AI1527" s="14"/>
      <c r="AJ1527" s="14"/>
      <c r="AK1527" s="14"/>
      <c r="AL1527" s="14"/>
      <c r="AM1527" s="14"/>
      <c r="AN1527" s="14"/>
      <c r="AO1527" s="14"/>
      <c r="AP1527" s="14"/>
      <c r="AQ1527" s="14"/>
      <c r="AR1527" s="14"/>
      <c r="AS1527" s="14"/>
      <c r="AT1527" s="14"/>
      <c r="AU1527" s="14"/>
      <c r="AV1527" s="14"/>
      <c r="AW1527" s="14"/>
      <c r="AX1527" s="14"/>
      <c r="AY1527" s="14"/>
      <c r="AZ1527" s="14"/>
      <c r="BA1527" s="14"/>
    </row>
    <row r="1528" ht="14.25" customHeight="1">
      <c r="A1528" s="10"/>
      <c r="B1528" s="12"/>
      <c r="C1528" s="12"/>
      <c r="D1528" s="12"/>
      <c r="E1528" s="44"/>
      <c r="F1528" s="12"/>
      <c r="G1528" s="12"/>
      <c r="H1528" s="45"/>
      <c r="I1528" s="45"/>
      <c r="J1528" s="12"/>
      <c r="K1528" s="12"/>
      <c r="L1528" s="14"/>
      <c r="M1528" s="14"/>
      <c r="N1528" s="14"/>
      <c r="O1528" s="14"/>
      <c r="P1528" s="14"/>
      <c r="Q1528" s="14"/>
      <c r="R1528" s="48"/>
      <c r="S1528" s="48"/>
      <c r="T1528" s="48"/>
      <c r="U1528" s="48"/>
      <c r="V1528" s="48"/>
      <c r="W1528" s="14"/>
      <c r="X1528" s="14"/>
      <c r="Y1528" s="14"/>
      <c r="Z1528" s="14"/>
      <c r="AA1528" s="14"/>
      <c r="AB1528" s="14"/>
      <c r="AC1528" s="14"/>
      <c r="AD1528" s="48"/>
      <c r="AE1528" s="48"/>
      <c r="AF1528" s="48"/>
      <c r="AG1528" s="48"/>
      <c r="AH1528" s="48"/>
      <c r="AI1528" s="14"/>
      <c r="AJ1528" s="14"/>
      <c r="AK1528" s="14"/>
      <c r="AL1528" s="14"/>
      <c r="AM1528" s="14"/>
      <c r="AN1528" s="14"/>
      <c r="AO1528" s="14"/>
      <c r="AP1528" s="14"/>
      <c r="AQ1528" s="14"/>
      <c r="AR1528" s="14"/>
      <c r="AS1528" s="14"/>
      <c r="AT1528" s="14"/>
      <c r="AU1528" s="14"/>
      <c r="AV1528" s="14"/>
      <c r="AW1528" s="14"/>
      <c r="AX1528" s="14"/>
      <c r="AY1528" s="14"/>
      <c r="AZ1528" s="14"/>
      <c r="BA1528" s="14"/>
    </row>
    <row r="1529" ht="14.25" customHeight="1">
      <c r="A1529" s="10"/>
      <c r="B1529" s="12"/>
      <c r="C1529" s="12"/>
      <c r="D1529" s="12"/>
      <c r="E1529" s="44"/>
      <c r="F1529" s="12"/>
      <c r="G1529" s="12"/>
      <c r="H1529" s="45"/>
      <c r="I1529" s="45"/>
      <c r="J1529" s="12"/>
      <c r="K1529" s="12"/>
      <c r="L1529" s="14"/>
      <c r="M1529" s="14"/>
      <c r="N1529" s="14"/>
      <c r="O1529" s="14"/>
      <c r="P1529" s="14"/>
      <c r="Q1529" s="14"/>
      <c r="R1529" s="48"/>
      <c r="S1529" s="48"/>
      <c r="T1529" s="48"/>
      <c r="U1529" s="48"/>
      <c r="V1529" s="48"/>
      <c r="W1529" s="14"/>
      <c r="X1529" s="14"/>
      <c r="Y1529" s="14"/>
      <c r="Z1529" s="14"/>
      <c r="AA1529" s="14"/>
      <c r="AB1529" s="14"/>
      <c r="AC1529" s="14"/>
      <c r="AD1529" s="48"/>
      <c r="AE1529" s="48"/>
      <c r="AF1529" s="48"/>
      <c r="AG1529" s="48"/>
      <c r="AH1529" s="48"/>
      <c r="AI1529" s="14"/>
      <c r="AJ1529" s="14"/>
      <c r="AK1529" s="14"/>
      <c r="AL1529" s="14"/>
      <c r="AM1529" s="14"/>
      <c r="AN1529" s="14"/>
      <c r="AO1529" s="14"/>
      <c r="AP1529" s="14"/>
      <c r="AQ1529" s="14"/>
      <c r="AR1529" s="14"/>
      <c r="AS1529" s="14"/>
      <c r="AT1529" s="14"/>
      <c r="AU1529" s="14"/>
      <c r="AV1529" s="14"/>
      <c r="AW1529" s="14"/>
      <c r="AX1529" s="14"/>
      <c r="AY1529" s="14"/>
      <c r="AZ1529" s="14"/>
      <c r="BA1529" s="14"/>
    </row>
    <row r="1530" ht="14.25" customHeight="1">
      <c r="A1530" s="10"/>
      <c r="B1530" s="12"/>
      <c r="C1530" s="12"/>
      <c r="D1530" s="12"/>
      <c r="E1530" s="44"/>
      <c r="F1530" s="12"/>
      <c r="G1530" s="12"/>
      <c r="H1530" s="45"/>
      <c r="I1530" s="45"/>
      <c r="J1530" s="12"/>
      <c r="K1530" s="12"/>
      <c r="L1530" s="14"/>
      <c r="M1530" s="14"/>
      <c r="N1530" s="14"/>
      <c r="O1530" s="14"/>
      <c r="P1530" s="14"/>
      <c r="Q1530" s="14"/>
      <c r="R1530" s="48"/>
      <c r="S1530" s="48"/>
      <c r="T1530" s="48"/>
      <c r="U1530" s="48"/>
      <c r="V1530" s="48"/>
      <c r="W1530" s="14"/>
      <c r="X1530" s="14"/>
      <c r="Y1530" s="14"/>
      <c r="Z1530" s="14"/>
      <c r="AA1530" s="14"/>
      <c r="AB1530" s="14"/>
      <c r="AC1530" s="14"/>
      <c r="AD1530" s="48"/>
      <c r="AE1530" s="48"/>
      <c r="AF1530" s="48"/>
      <c r="AG1530" s="48"/>
      <c r="AH1530" s="48"/>
      <c r="AI1530" s="14"/>
      <c r="AJ1530" s="14"/>
      <c r="AK1530" s="14"/>
      <c r="AL1530" s="14"/>
      <c r="AM1530" s="14"/>
      <c r="AN1530" s="14"/>
      <c r="AO1530" s="14"/>
      <c r="AP1530" s="14"/>
      <c r="AQ1530" s="14"/>
      <c r="AR1530" s="14"/>
      <c r="AS1530" s="14"/>
      <c r="AT1530" s="14"/>
      <c r="AU1530" s="14"/>
      <c r="AV1530" s="14"/>
      <c r="AW1530" s="14"/>
      <c r="AX1530" s="14"/>
      <c r="AY1530" s="14"/>
      <c r="AZ1530" s="14"/>
      <c r="BA1530" s="14"/>
    </row>
    <row r="1531" ht="14.25" customHeight="1">
      <c r="A1531" s="10"/>
      <c r="B1531" s="12"/>
      <c r="C1531" s="12"/>
      <c r="D1531" s="12"/>
      <c r="E1531" s="44"/>
      <c r="F1531" s="12"/>
      <c r="G1531" s="12"/>
      <c r="H1531" s="45"/>
      <c r="I1531" s="45"/>
      <c r="J1531" s="12"/>
      <c r="K1531" s="12"/>
      <c r="L1531" s="14"/>
      <c r="M1531" s="14"/>
      <c r="N1531" s="14"/>
      <c r="O1531" s="14"/>
      <c r="P1531" s="14"/>
      <c r="Q1531" s="14"/>
      <c r="R1531" s="48"/>
      <c r="S1531" s="48"/>
      <c r="T1531" s="48"/>
      <c r="U1531" s="48"/>
      <c r="V1531" s="48"/>
      <c r="W1531" s="14"/>
      <c r="X1531" s="14"/>
      <c r="Y1531" s="14"/>
      <c r="Z1531" s="14"/>
      <c r="AA1531" s="14"/>
      <c r="AB1531" s="14"/>
      <c r="AC1531" s="14"/>
      <c r="AD1531" s="48"/>
      <c r="AE1531" s="48"/>
      <c r="AF1531" s="48"/>
      <c r="AG1531" s="48"/>
      <c r="AH1531" s="48"/>
      <c r="AI1531" s="14"/>
      <c r="AJ1531" s="14"/>
      <c r="AK1531" s="14"/>
      <c r="AL1531" s="14"/>
      <c r="AM1531" s="14"/>
      <c r="AN1531" s="14"/>
      <c r="AO1531" s="14"/>
      <c r="AP1531" s="14"/>
      <c r="AQ1531" s="14"/>
      <c r="AR1531" s="14"/>
      <c r="AS1531" s="14"/>
      <c r="AT1531" s="14"/>
      <c r="AU1531" s="14"/>
      <c r="AV1531" s="14"/>
      <c r="AW1531" s="14"/>
      <c r="AX1531" s="14"/>
      <c r="AY1531" s="14"/>
      <c r="AZ1531" s="14"/>
      <c r="BA1531" s="14"/>
    </row>
    <row r="1532" ht="14.25" customHeight="1">
      <c r="A1532" s="10"/>
      <c r="B1532" s="12"/>
      <c r="C1532" s="12"/>
      <c r="D1532" s="12"/>
      <c r="E1532" s="44"/>
      <c r="F1532" s="12"/>
      <c r="G1532" s="12"/>
      <c r="H1532" s="45"/>
      <c r="I1532" s="45"/>
      <c r="J1532" s="12"/>
      <c r="K1532" s="12"/>
      <c r="L1532" s="14"/>
      <c r="M1532" s="14"/>
      <c r="N1532" s="14"/>
      <c r="O1532" s="14"/>
      <c r="P1532" s="14"/>
      <c r="Q1532" s="14"/>
      <c r="R1532" s="48"/>
      <c r="S1532" s="48"/>
      <c r="T1532" s="48"/>
      <c r="U1532" s="48"/>
      <c r="V1532" s="48"/>
      <c r="W1532" s="14"/>
      <c r="X1532" s="14"/>
      <c r="Y1532" s="14"/>
      <c r="Z1532" s="14"/>
      <c r="AA1532" s="14"/>
      <c r="AB1532" s="14"/>
      <c r="AC1532" s="14"/>
      <c r="AD1532" s="48"/>
      <c r="AE1532" s="48"/>
      <c r="AF1532" s="48"/>
      <c r="AG1532" s="48"/>
      <c r="AH1532" s="48"/>
      <c r="AI1532" s="14"/>
      <c r="AJ1532" s="14"/>
      <c r="AK1532" s="14"/>
      <c r="AL1532" s="14"/>
      <c r="AM1532" s="14"/>
      <c r="AN1532" s="14"/>
      <c r="AO1532" s="14"/>
      <c r="AP1532" s="14"/>
      <c r="AQ1532" s="14"/>
      <c r="AR1532" s="14"/>
      <c r="AS1532" s="14"/>
      <c r="AT1532" s="14"/>
      <c r="AU1532" s="14"/>
      <c r="AV1532" s="14"/>
      <c r="AW1532" s="14"/>
      <c r="AX1532" s="14"/>
      <c r="AY1532" s="14"/>
      <c r="AZ1532" s="14"/>
      <c r="BA1532" s="14"/>
    </row>
    <row r="1533" ht="14.25" customHeight="1">
      <c r="A1533" s="10"/>
      <c r="B1533" s="12"/>
      <c r="C1533" s="12"/>
      <c r="D1533" s="12"/>
      <c r="E1533" s="44"/>
      <c r="F1533" s="12"/>
      <c r="G1533" s="12"/>
      <c r="H1533" s="45"/>
      <c r="I1533" s="45"/>
      <c r="J1533" s="12"/>
      <c r="K1533" s="12"/>
      <c r="L1533" s="14"/>
      <c r="M1533" s="14"/>
      <c r="N1533" s="14"/>
      <c r="O1533" s="14"/>
      <c r="P1533" s="14"/>
      <c r="Q1533" s="14"/>
      <c r="R1533" s="48"/>
      <c r="S1533" s="48"/>
      <c r="T1533" s="48"/>
      <c r="U1533" s="48"/>
      <c r="V1533" s="48"/>
      <c r="W1533" s="14"/>
      <c r="X1533" s="14"/>
      <c r="Y1533" s="14"/>
      <c r="Z1533" s="14"/>
      <c r="AA1533" s="14"/>
      <c r="AB1533" s="14"/>
      <c r="AC1533" s="14"/>
      <c r="AD1533" s="48"/>
      <c r="AE1533" s="48"/>
      <c r="AF1533" s="48"/>
      <c r="AG1533" s="48"/>
      <c r="AH1533" s="48"/>
      <c r="AI1533" s="14"/>
      <c r="AJ1533" s="14"/>
      <c r="AK1533" s="14"/>
      <c r="AL1533" s="14"/>
      <c r="AM1533" s="14"/>
      <c r="AN1533" s="14"/>
      <c r="AO1533" s="14"/>
      <c r="AP1533" s="14"/>
      <c r="AQ1533" s="14"/>
      <c r="AR1533" s="14"/>
      <c r="AS1533" s="14"/>
      <c r="AT1533" s="14"/>
      <c r="AU1533" s="14"/>
      <c r="AV1533" s="14"/>
      <c r="AW1533" s="14"/>
      <c r="AX1533" s="14"/>
      <c r="AY1533" s="14"/>
      <c r="AZ1533" s="14"/>
      <c r="BA1533" s="14"/>
    </row>
    <row r="1534" ht="14.25" customHeight="1">
      <c r="A1534" s="10"/>
      <c r="B1534" s="12"/>
      <c r="C1534" s="12"/>
      <c r="D1534" s="12"/>
      <c r="E1534" s="44"/>
      <c r="F1534" s="12"/>
      <c r="G1534" s="12"/>
      <c r="H1534" s="45"/>
      <c r="I1534" s="45"/>
      <c r="J1534" s="12"/>
      <c r="K1534" s="12"/>
      <c r="L1534" s="14"/>
      <c r="M1534" s="14"/>
      <c r="N1534" s="14"/>
      <c r="O1534" s="14"/>
      <c r="P1534" s="14"/>
      <c r="Q1534" s="14"/>
      <c r="R1534" s="48"/>
      <c r="S1534" s="48"/>
      <c r="T1534" s="48"/>
      <c r="U1534" s="48"/>
      <c r="V1534" s="48"/>
      <c r="W1534" s="14"/>
      <c r="X1534" s="14"/>
      <c r="Y1534" s="14"/>
      <c r="Z1534" s="14"/>
      <c r="AA1534" s="14"/>
      <c r="AB1534" s="14"/>
      <c r="AC1534" s="14"/>
      <c r="AD1534" s="48"/>
      <c r="AE1534" s="48"/>
      <c r="AF1534" s="48"/>
      <c r="AG1534" s="48"/>
      <c r="AH1534" s="48"/>
      <c r="AI1534" s="14"/>
      <c r="AJ1534" s="14"/>
      <c r="AK1534" s="14"/>
      <c r="AL1534" s="14"/>
      <c r="AM1534" s="14"/>
      <c r="AN1534" s="14"/>
      <c r="AO1534" s="14"/>
      <c r="AP1534" s="14"/>
      <c r="AQ1534" s="14"/>
      <c r="AR1534" s="14"/>
      <c r="AS1534" s="14"/>
      <c r="AT1534" s="14"/>
      <c r="AU1534" s="14"/>
      <c r="AV1534" s="14"/>
      <c r="AW1534" s="14"/>
      <c r="AX1534" s="14"/>
      <c r="AY1534" s="14"/>
      <c r="AZ1534" s="14"/>
      <c r="BA1534" s="14"/>
    </row>
    <row r="1535" ht="14.25" customHeight="1">
      <c r="A1535" s="10"/>
      <c r="B1535" s="12"/>
      <c r="C1535" s="12"/>
      <c r="D1535" s="12"/>
      <c r="E1535" s="44"/>
      <c r="F1535" s="12"/>
      <c r="G1535" s="12"/>
      <c r="H1535" s="45"/>
      <c r="I1535" s="45"/>
      <c r="J1535" s="12"/>
      <c r="K1535" s="12"/>
      <c r="L1535" s="14"/>
      <c r="M1535" s="14"/>
      <c r="N1535" s="14"/>
      <c r="O1535" s="14"/>
      <c r="P1535" s="14"/>
      <c r="Q1535" s="14"/>
      <c r="R1535" s="48"/>
      <c r="S1535" s="48"/>
      <c r="T1535" s="48"/>
      <c r="U1535" s="48"/>
      <c r="V1535" s="48"/>
      <c r="W1535" s="14"/>
      <c r="X1535" s="14"/>
      <c r="Y1535" s="14"/>
      <c r="Z1535" s="14"/>
      <c r="AA1535" s="14"/>
      <c r="AB1535" s="14"/>
      <c r="AC1535" s="14"/>
      <c r="AD1535" s="48"/>
      <c r="AE1535" s="48"/>
      <c r="AF1535" s="48"/>
      <c r="AG1535" s="48"/>
      <c r="AH1535" s="48"/>
      <c r="AI1535" s="14"/>
      <c r="AJ1535" s="14"/>
      <c r="AK1535" s="14"/>
      <c r="AL1535" s="14"/>
      <c r="AM1535" s="14"/>
      <c r="AN1535" s="14"/>
      <c r="AO1535" s="14"/>
      <c r="AP1535" s="14"/>
      <c r="AQ1535" s="14"/>
      <c r="AR1535" s="14"/>
      <c r="AS1535" s="14"/>
      <c r="AT1535" s="14"/>
      <c r="AU1535" s="14"/>
      <c r="AV1535" s="14"/>
      <c r="AW1535" s="14"/>
      <c r="AX1535" s="14"/>
      <c r="AY1535" s="14"/>
      <c r="AZ1535" s="14"/>
      <c r="BA1535" s="14"/>
    </row>
    <row r="1536" ht="14.25" customHeight="1">
      <c r="A1536" s="10"/>
      <c r="B1536" s="12"/>
      <c r="C1536" s="12"/>
      <c r="D1536" s="12"/>
      <c r="E1536" s="44"/>
      <c r="F1536" s="12"/>
      <c r="G1536" s="12"/>
      <c r="H1536" s="45"/>
      <c r="I1536" s="45"/>
      <c r="J1536" s="12"/>
      <c r="K1536" s="12"/>
      <c r="L1536" s="14"/>
      <c r="M1536" s="14"/>
      <c r="N1536" s="14"/>
      <c r="O1536" s="14"/>
      <c r="P1536" s="14"/>
      <c r="Q1536" s="14"/>
      <c r="R1536" s="48"/>
      <c r="S1536" s="48"/>
      <c r="T1536" s="48"/>
      <c r="U1536" s="48"/>
      <c r="V1536" s="48"/>
      <c r="W1536" s="14"/>
      <c r="X1536" s="14"/>
      <c r="Y1536" s="14"/>
      <c r="Z1536" s="14"/>
      <c r="AA1536" s="14"/>
      <c r="AB1536" s="14"/>
      <c r="AC1536" s="14"/>
      <c r="AD1536" s="48"/>
      <c r="AE1536" s="48"/>
      <c r="AF1536" s="48"/>
      <c r="AG1536" s="48"/>
      <c r="AH1536" s="48"/>
      <c r="AI1536" s="14"/>
      <c r="AJ1536" s="14"/>
      <c r="AK1536" s="14"/>
      <c r="AL1536" s="14"/>
      <c r="AM1536" s="14"/>
      <c r="AN1536" s="14"/>
      <c r="AO1536" s="14"/>
      <c r="AP1536" s="14"/>
      <c r="AQ1536" s="14"/>
      <c r="AR1536" s="14"/>
      <c r="AS1536" s="14"/>
      <c r="AT1536" s="14"/>
      <c r="AU1536" s="14"/>
      <c r="AV1536" s="14"/>
      <c r="AW1536" s="14"/>
      <c r="AX1536" s="14"/>
      <c r="AY1536" s="14"/>
      <c r="AZ1536" s="14"/>
      <c r="BA1536" s="14"/>
    </row>
    <row r="1537" ht="14.25" customHeight="1">
      <c r="A1537" s="10"/>
      <c r="B1537" s="12"/>
      <c r="C1537" s="12"/>
      <c r="D1537" s="12"/>
      <c r="E1537" s="44"/>
      <c r="F1537" s="12"/>
      <c r="G1537" s="12"/>
      <c r="H1537" s="45"/>
      <c r="I1537" s="45"/>
      <c r="J1537" s="12"/>
      <c r="K1537" s="12"/>
      <c r="L1537" s="14"/>
      <c r="M1537" s="14"/>
      <c r="N1537" s="14"/>
      <c r="O1537" s="14"/>
      <c r="P1537" s="14"/>
      <c r="Q1537" s="14"/>
      <c r="R1537" s="48"/>
      <c r="S1537" s="48"/>
      <c r="T1537" s="48"/>
      <c r="U1537" s="48"/>
      <c r="V1537" s="48"/>
      <c r="W1537" s="14"/>
      <c r="X1537" s="14"/>
      <c r="Y1537" s="14"/>
      <c r="Z1537" s="14"/>
      <c r="AA1537" s="14"/>
      <c r="AB1537" s="14"/>
      <c r="AC1537" s="14"/>
      <c r="AD1537" s="48"/>
      <c r="AE1537" s="48"/>
      <c r="AF1537" s="48"/>
      <c r="AG1537" s="48"/>
      <c r="AH1537" s="48"/>
      <c r="AI1537" s="14"/>
      <c r="AJ1537" s="14"/>
      <c r="AK1537" s="14"/>
      <c r="AL1537" s="14"/>
      <c r="AM1537" s="14"/>
      <c r="AN1537" s="14"/>
      <c r="AO1537" s="14"/>
      <c r="AP1537" s="14"/>
      <c r="AQ1537" s="14"/>
      <c r="AR1537" s="14"/>
      <c r="AS1537" s="14"/>
      <c r="AT1537" s="14"/>
      <c r="AU1537" s="14"/>
      <c r="AV1537" s="14"/>
      <c r="AW1537" s="14"/>
      <c r="AX1537" s="14"/>
      <c r="AY1537" s="14"/>
      <c r="AZ1537" s="14"/>
      <c r="BA1537" s="14"/>
    </row>
    <row r="1538" ht="14.25" customHeight="1">
      <c r="A1538" s="10"/>
      <c r="B1538" s="12"/>
      <c r="C1538" s="12"/>
      <c r="D1538" s="12"/>
      <c r="E1538" s="44"/>
      <c r="F1538" s="12"/>
      <c r="G1538" s="12"/>
      <c r="H1538" s="45"/>
      <c r="I1538" s="45"/>
      <c r="J1538" s="12"/>
      <c r="K1538" s="12"/>
      <c r="L1538" s="14"/>
      <c r="M1538" s="14"/>
      <c r="N1538" s="14"/>
      <c r="O1538" s="14"/>
      <c r="P1538" s="14"/>
      <c r="Q1538" s="14"/>
      <c r="R1538" s="48"/>
      <c r="S1538" s="48"/>
      <c r="T1538" s="48"/>
      <c r="U1538" s="48"/>
      <c r="V1538" s="48"/>
      <c r="W1538" s="14"/>
      <c r="X1538" s="14"/>
      <c r="Y1538" s="14"/>
      <c r="Z1538" s="14"/>
      <c r="AA1538" s="14"/>
      <c r="AB1538" s="14"/>
      <c r="AC1538" s="14"/>
      <c r="AD1538" s="48"/>
      <c r="AE1538" s="48"/>
      <c r="AF1538" s="48"/>
      <c r="AG1538" s="48"/>
      <c r="AH1538" s="48"/>
      <c r="AI1538" s="14"/>
      <c r="AJ1538" s="14"/>
      <c r="AK1538" s="14"/>
      <c r="AL1538" s="14"/>
      <c r="AM1538" s="14"/>
      <c r="AN1538" s="14"/>
      <c r="AO1538" s="14"/>
      <c r="AP1538" s="14"/>
      <c r="AQ1538" s="14"/>
      <c r="AR1538" s="14"/>
      <c r="AS1538" s="14"/>
      <c r="AT1538" s="14"/>
      <c r="AU1538" s="14"/>
      <c r="AV1538" s="14"/>
      <c r="AW1538" s="14"/>
      <c r="AX1538" s="14"/>
      <c r="AY1538" s="14"/>
      <c r="AZ1538" s="14"/>
      <c r="BA1538" s="14"/>
    </row>
    <row r="1539" ht="14.25" customHeight="1">
      <c r="A1539" s="10"/>
      <c r="B1539" s="12"/>
      <c r="C1539" s="12"/>
      <c r="D1539" s="12"/>
      <c r="E1539" s="44"/>
      <c r="F1539" s="12"/>
      <c r="G1539" s="12"/>
      <c r="H1539" s="45"/>
      <c r="I1539" s="45"/>
      <c r="J1539" s="12"/>
      <c r="K1539" s="12"/>
      <c r="L1539" s="14"/>
      <c r="M1539" s="14"/>
      <c r="N1539" s="14"/>
      <c r="O1539" s="14"/>
      <c r="P1539" s="14"/>
      <c r="Q1539" s="14"/>
      <c r="R1539" s="48"/>
      <c r="S1539" s="48"/>
      <c r="T1539" s="48"/>
      <c r="U1539" s="48"/>
      <c r="V1539" s="48"/>
      <c r="W1539" s="14"/>
      <c r="X1539" s="14"/>
      <c r="Y1539" s="14"/>
      <c r="Z1539" s="14"/>
      <c r="AA1539" s="14"/>
      <c r="AB1539" s="14"/>
      <c r="AC1539" s="14"/>
      <c r="AD1539" s="48"/>
      <c r="AE1539" s="48"/>
      <c r="AF1539" s="48"/>
      <c r="AG1539" s="48"/>
      <c r="AH1539" s="48"/>
      <c r="AI1539" s="14"/>
      <c r="AJ1539" s="14"/>
      <c r="AK1539" s="14"/>
      <c r="AL1539" s="14"/>
      <c r="AM1539" s="14"/>
      <c r="AN1539" s="14"/>
      <c r="AO1539" s="14"/>
      <c r="AP1539" s="14"/>
      <c r="AQ1539" s="14"/>
      <c r="AR1539" s="14"/>
      <c r="AS1539" s="14"/>
      <c r="AT1539" s="14"/>
      <c r="AU1539" s="14"/>
      <c r="AV1539" s="14"/>
      <c r="AW1539" s="14"/>
      <c r="AX1539" s="14"/>
      <c r="AY1539" s="14"/>
      <c r="AZ1539" s="14"/>
      <c r="BA1539" s="14"/>
    </row>
    <row r="1540" ht="14.25" customHeight="1">
      <c r="A1540" s="10"/>
      <c r="B1540" s="12"/>
      <c r="C1540" s="12"/>
      <c r="D1540" s="12"/>
      <c r="E1540" s="44"/>
      <c r="F1540" s="12"/>
      <c r="G1540" s="12"/>
      <c r="H1540" s="45"/>
      <c r="I1540" s="45"/>
      <c r="J1540" s="12"/>
      <c r="K1540" s="12"/>
      <c r="L1540" s="14"/>
      <c r="M1540" s="14"/>
      <c r="N1540" s="14"/>
      <c r="O1540" s="14"/>
      <c r="P1540" s="14"/>
      <c r="Q1540" s="14"/>
      <c r="R1540" s="48"/>
      <c r="S1540" s="48"/>
      <c r="T1540" s="48"/>
      <c r="U1540" s="48"/>
      <c r="V1540" s="48"/>
      <c r="W1540" s="14"/>
      <c r="X1540" s="14"/>
      <c r="Y1540" s="14"/>
      <c r="Z1540" s="14"/>
      <c r="AA1540" s="14"/>
      <c r="AB1540" s="14"/>
      <c r="AC1540" s="14"/>
      <c r="AD1540" s="48"/>
      <c r="AE1540" s="48"/>
      <c r="AF1540" s="48"/>
      <c r="AG1540" s="48"/>
      <c r="AH1540" s="48"/>
      <c r="AI1540" s="14"/>
      <c r="AJ1540" s="14"/>
      <c r="AK1540" s="14"/>
      <c r="AL1540" s="14"/>
      <c r="AM1540" s="14"/>
      <c r="AN1540" s="14"/>
      <c r="AO1540" s="14"/>
      <c r="AP1540" s="14"/>
      <c r="AQ1540" s="14"/>
      <c r="AR1540" s="14"/>
      <c r="AS1540" s="14"/>
      <c r="AT1540" s="14"/>
      <c r="AU1540" s="14"/>
      <c r="AV1540" s="14"/>
      <c r="AW1540" s="14"/>
      <c r="AX1540" s="14"/>
      <c r="AY1540" s="14"/>
      <c r="AZ1540" s="14"/>
      <c r="BA1540" s="14"/>
    </row>
    <row r="1541" ht="14.25" customHeight="1">
      <c r="A1541" s="10"/>
      <c r="B1541" s="12"/>
      <c r="C1541" s="12"/>
      <c r="D1541" s="12"/>
      <c r="E1541" s="44"/>
      <c r="F1541" s="12"/>
      <c r="G1541" s="12"/>
      <c r="H1541" s="45"/>
      <c r="I1541" s="45"/>
      <c r="J1541" s="12"/>
      <c r="K1541" s="12"/>
      <c r="L1541" s="14"/>
      <c r="M1541" s="14"/>
      <c r="N1541" s="14"/>
      <c r="O1541" s="14"/>
      <c r="P1541" s="14"/>
      <c r="Q1541" s="14"/>
      <c r="R1541" s="48"/>
      <c r="S1541" s="48"/>
      <c r="T1541" s="48"/>
      <c r="U1541" s="48"/>
      <c r="V1541" s="48"/>
      <c r="W1541" s="14"/>
      <c r="X1541" s="14"/>
      <c r="Y1541" s="14"/>
      <c r="Z1541" s="14"/>
      <c r="AA1541" s="14"/>
      <c r="AB1541" s="14"/>
      <c r="AC1541" s="14"/>
      <c r="AD1541" s="48"/>
      <c r="AE1541" s="48"/>
      <c r="AF1541" s="48"/>
      <c r="AG1541" s="48"/>
      <c r="AH1541" s="48"/>
      <c r="AI1541" s="14"/>
      <c r="AJ1541" s="14"/>
      <c r="AK1541" s="14"/>
      <c r="AL1541" s="14"/>
      <c r="AM1541" s="14"/>
      <c r="AN1541" s="14"/>
      <c r="AO1541" s="14"/>
      <c r="AP1541" s="14"/>
      <c r="AQ1541" s="14"/>
      <c r="AR1541" s="14"/>
      <c r="AS1541" s="14"/>
      <c r="AT1541" s="14"/>
      <c r="AU1541" s="14"/>
      <c r="AV1541" s="14"/>
      <c r="AW1541" s="14"/>
      <c r="AX1541" s="14"/>
      <c r="AY1541" s="14"/>
      <c r="AZ1541" s="14"/>
      <c r="BA1541" s="14"/>
    </row>
    <row r="1542" ht="14.25" customHeight="1">
      <c r="A1542" s="10"/>
      <c r="B1542" s="12"/>
      <c r="C1542" s="12"/>
      <c r="D1542" s="12"/>
      <c r="E1542" s="44"/>
      <c r="F1542" s="12"/>
      <c r="G1542" s="12"/>
      <c r="H1542" s="45"/>
      <c r="I1542" s="45"/>
      <c r="J1542" s="12"/>
      <c r="K1542" s="12"/>
      <c r="L1542" s="14"/>
      <c r="M1542" s="14"/>
      <c r="N1542" s="14"/>
      <c r="O1542" s="14"/>
      <c r="P1542" s="14"/>
      <c r="Q1542" s="14"/>
      <c r="R1542" s="48"/>
      <c r="S1542" s="48"/>
      <c r="T1542" s="48"/>
      <c r="U1542" s="48"/>
      <c r="V1542" s="48"/>
      <c r="W1542" s="14"/>
      <c r="X1542" s="14"/>
      <c r="Y1542" s="14"/>
      <c r="Z1542" s="14"/>
      <c r="AA1542" s="14"/>
      <c r="AB1542" s="14"/>
      <c r="AC1542" s="14"/>
      <c r="AD1542" s="48"/>
      <c r="AE1542" s="48"/>
      <c r="AF1542" s="48"/>
      <c r="AG1542" s="48"/>
      <c r="AH1542" s="48"/>
      <c r="AI1542" s="14"/>
      <c r="AJ1542" s="14"/>
      <c r="AK1542" s="14"/>
      <c r="AL1542" s="14"/>
      <c r="AM1542" s="14"/>
      <c r="AN1542" s="14"/>
      <c r="AO1542" s="14"/>
      <c r="AP1542" s="14"/>
      <c r="AQ1542" s="14"/>
      <c r="AR1542" s="14"/>
      <c r="AS1542" s="14"/>
      <c r="AT1542" s="14"/>
      <c r="AU1542" s="14"/>
      <c r="AV1542" s="14"/>
      <c r="AW1542" s="14"/>
      <c r="AX1542" s="14"/>
      <c r="AY1542" s="14"/>
      <c r="AZ1542" s="14"/>
      <c r="BA1542" s="14"/>
    </row>
    <row r="1543" ht="14.25" customHeight="1">
      <c r="A1543" s="10"/>
      <c r="B1543" s="12"/>
      <c r="C1543" s="12"/>
      <c r="D1543" s="12"/>
      <c r="E1543" s="44"/>
      <c r="F1543" s="12"/>
      <c r="G1543" s="12"/>
      <c r="H1543" s="45"/>
      <c r="I1543" s="45"/>
      <c r="J1543" s="12"/>
      <c r="K1543" s="12"/>
      <c r="L1543" s="14"/>
      <c r="M1543" s="14"/>
      <c r="N1543" s="14"/>
      <c r="O1543" s="14"/>
      <c r="P1543" s="14"/>
      <c r="Q1543" s="14"/>
      <c r="R1543" s="48"/>
      <c r="S1543" s="48"/>
      <c r="T1543" s="48"/>
      <c r="U1543" s="48"/>
      <c r="V1543" s="48"/>
      <c r="W1543" s="14"/>
      <c r="X1543" s="14"/>
      <c r="Y1543" s="14"/>
      <c r="Z1543" s="14"/>
      <c r="AA1543" s="14"/>
      <c r="AB1543" s="14"/>
      <c r="AC1543" s="14"/>
      <c r="AD1543" s="48"/>
      <c r="AE1543" s="48"/>
      <c r="AF1543" s="48"/>
      <c r="AG1543" s="48"/>
      <c r="AH1543" s="48"/>
      <c r="AI1543" s="14"/>
      <c r="AJ1543" s="14"/>
      <c r="AK1543" s="14"/>
      <c r="AL1543" s="14"/>
      <c r="AM1543" s="14"/>
      <c r="AN1543" s="14"/>
      <c r="AO1543" s="14"/>
      <c r="AP1543" s="14"/>
      <c r="AQ1543" s="14"/>
      <c r="AR1543" s="14"/>
      <c r="AS1543" s="14"/>
      <c r="AT1543" s="14"/>
      <c r="AU1543" s="14"/>
      <c r="AV1543" s="14"/>
      <c r="AW1543" s="14"/>
      <c r="AX1543" s="14"/>
      <c r="AY1543" s="14"/>
      <c r="AZ1543" s="14"/>
      <c r="BA1543" s="14"/>
    </row>
    <row r="1544" ht="14.25" customHeight="1">
      <c r="A1544" s="10"/>
      <c r="B1544" s="12"/>
      <c r="C1544" s="12"/>
      <c r="D1544" s="12"/>
      <c r="E1544" s="44"/>
      <c r="F1544" s="12"/>
      <c r="G1544" s="12"/>
      <c r="H1544" s="45"/>
      <c r="I1544" s="45"/>
      <c r="J1544" s="12"/>
      <c r="K1544" s="12"/>
      <c r="L1544" s="14"/>
      <c r="M1544" s="14"/>
      <c r="N1544" s="14"/>
      <c r="O1544" s="14"/>
      <c r="P1544" s="14"/>
      <c r="Q1544" s="14"/>
      <c r="R1544" s="48"/>
      <c r="S1544" s="48"/>
      <c r="T1544" s="48"/>
      <c r="U1544" s="48"/>
      <c r="V1544" s="48"/>
      <c r="W1544" s="14"/>
      <c r="X1544" s="14"/>
      <c r="Y1544" s="14"/>
      <c r="Z1544" s="14"/>
      <c r="AA1544" s="14"/>
      <c r="AB1544" s="14"/>
      <c r="AC1544" s="14"/>
      <c r="AD1544" s="48"/>
      <c r="AE1544" s="48"/>
      <c r="AF1544" s="48"/>
      <c r="AG1544" s="48"/>
      <c r="AH1544" s="48"/>
      <c r="AI1544" s="14"/>
      <c r="AJ1544" s="14"/>
      <c r="AK1544" s="14"/>
      <c r="AL1544" s="14"/>
      <c r="AM1544" s="14"/>
      <c r="AN1544" s="14"/>
      <c r="AO1544" s="14"/>
      <c r="AP1544" s="14"/>
      <c r="AQ1544" s="14"/>
      <c r="AR1544" s="14"/>
      <c r="AS1544" s="14"/>
      <c r="AT1544" s="14"/>
      <c r="AU1544" s="14"/>
      <c r="AV1544" s="14"/>
      <c r="AW1544" s="14"/>
      <c r="AX1544" s="14"/>
      <c r="AY1544" s="14"/>
      <c r="AZ1544" s="14"/>
      <c r="BA1544" s="14"/>
    </row>
    <row r="1545" ht="14.25" customHeight="1">
      <c r="A1545" s="10"/>
      <c r="B1545" s="12"/>
      <c r="C1545" s="12"/>
      <c r="D1545" s="12"/>
      <c r="E1545" s="44"/>
      <c r="F1545" s="12"/>
      <c r="G1545" s="12"/>
      <c r="H1545" s="45"/>
      <c r="I1545" s="45"/>
      <c r="J1545" s="12"/>
      <c r="K1545" s="12"/>
      <c r="L1545" s="14"/>
      <c r="M1545" s="14"/>
      <c r="N1545" s="14"/>
      <c r="O1545" s="14"/>
      <c r="P1545" s="14"/>
      <c r="Q1545" s="14"/>
      <c r="R1545" s="48"/>
      <c r="S1545" s="48"/>
      <c r="T1545" s="48"/>
      <c r="U1545" s="48"/>
      <c r="V1545" s="48"/>
      <c r="W1545" s="14"/>
      <c r="X1545" s="14"/>
      <c r="Y1545" s="14"/>
      <c r="Z1545" s="14"/>
      <c r="AA1545" s="14"/>
      <c r="AB1545" s="14"/>
      <c r="AC1545" s="14"/>
      <c r="AD1545" s="48"/>
      <c r="AE1545" s="48"/>
      <c r="AF1545" s="48"/>
      <c r="AG1545" s="48"/>
      <c r="AH1545" s="48"/>
      <c r="AI1545" s="14"/>
      <c r="AJ1545" s="14"/>
      <c r="AK1545" s="14"/>
      <c r="AL1545" s="14"/>
      <c r="AM1545" s="14"/>
      <c r="AN1545" s="14"/>
      <c r="AO1545" s="14"/>
      <c r="AP1545" s="14"/>
      <c r="AQ1545" s="14"/>
      <c r="AR1545" s="14"/>
      <c r="AS1545" s="14"/>
      <c r="AT1545" s="14"/>
      <c r="AU1545" s="14"/>
      <c r="AV1545" s="14"/>
      <c r="AW1545" s="14"/>
      <c r="AX1545" s="14"/>
      <c r="AY1545" s="14"/>
      <c r="AZ1545" s="14"/>
      <c r="BA1545" s="14"/>
    </row>
    <row r="1546" ht="14.25" customHeight="1">
      <c r="A1546" s="10"/>
      <c r="B1546" s="12"/>
      <c r="C1546" s="12"/>
      <c r="D1546" s="12"/>
      <c r="E1546" s="44"/>
      <c r="F1546" s="12"/>
      <c r="G1546" s="12"/>
      <c r="H1546" s="45"/>
      <c r="I1546" s="45"/>
      <c r="J1546" s="12"/>
      <c r="K1546" s="12"/>
      <c r="L1546" s="14"/>
      <c r="M1546" s="14"/>
      <c r="N1546" s="14"/>
      <c r="O1546" s="14"/>
      <c r="P1546" s="14"/>
      <c r="Q1546" s="14"/>
      <c r="R1546" s="48"/>
      <c r="S1546" s="48"/>
      <c r="T1546" s="48"/>
      <c r="U1546" s="48"/>
      <c r="V1546" s="48"/>
      <c r="W1546" s="14"/>
      <c r="X1546" s="14"/>
      <c r="Y1546" s="14"/>
      <c r="Z1546" s="14"/>
      <c r="AA1546" s="14"/>
      <c r="AB1546" s="14"/>
      <c r="AC1546" s="14"/>
      <c r="AD1546" s="48"/>
      <c r="AE1546" s="48"/>
      <c r="AF1546" s="48"/>
      <c r="AG1546" s="48"/>
      <c r="AH1546" s="48"/>
      <c r="AI1546" s="14"/>
      <c r="AJ1546" s="14"/>
      <c r="AK1546" s="14"/>
      <c r="AL1546" s="14"/>
      <c r="AM1546" s="14"/>
      <c r="AN1546" s="14"/>
      <c r="AO1546" s="14"/>
      <c r="AP1546" s="14"/>
      <c r="AQ1546" s="14"/>
      <c r="AR1546" s="14"/>
      <c r="AS1546" s="14"/>
      <c r="AT1546" s="14"/>
      <c r="AU1546" s="14"/>
      <c r="AV1546" s="14"/>
      <c r="AW1546" s="14"/>
      <c r="AX1546" s="14"/>
      <c r="AY1546" s="14"/>
      <c r="AZ1546" s="14"/>
      <c r="BA1546" s="14"/>
    </row>
    <row r="1547" ht="14.25" customHeight="1">
      <c r="A1547" s="10"/>
      <c r="B1547" s="12"/>
      <c r="C1547" s="12"/>
      <c r="D1547" s="12"/>
      <c r="E1547" s="44"/>
      <c r="F1547" s="12"/>
      <c r="G1547" s="12"/>
      <c r="H1547" s="45"/>
      <c r="I1547" s="45"/>
      <c r="J1547" s="12"/>
      <c r="K1547" s="12"/>
      <c r="L1547" s="14"/>
      <c r="M1547" s="14"/>
      <c r="N1547" s="14"/>
      <c r="O1547" s="14"/>
      <c r="P1547" s="14"/>
      <c r="Q1547" s="14"/>
      <c r="R1547" s="48"/>
      <c r="S1547" s="48"/>
      <c r="T1547" s="48"/>
      <c r="U1547" s="48"/>
      <c r="V1547" s="48"/>
      <c r="W1547" s="14"/>
      <c r="X1547" s="14"/>
      <c r="Y1547" s="14"/>
      <c r="Z1547" s="14"/>
      <c r="AA1547" s="14"/>
      <c r="AB1547" s="14"/>
      <c r="AC1547" s="14"/>
      <c r="AD1547" s="48"/>
      <c r="AE1547" s="48"/>
      <c r="AF1547" s="48"/>
      <c r="AG1547" s="48"/>
      <c r="AH1547" s="48"/>
      <c r="AI1547" s="14"/>
      <c r="AJ1547" s="14"/>
      <c r="AK1547" s="14"/>
      <c r="AL1547" s="14"/>
      <c r="AM1547" s="14"/>
      <c r="AN1547" s="14"/>
      <c r="AO1547" s="14"/>
      <c r="AP1547" s="14"/>
      <c r="AQ1547" s="14"/>
      <c r="AR1547" s="14"/>
      <c r="AS1547" s="14"/>
      <c r="AT1547" s="14"/>
      <c r="AU1547" s="14"/>
      <c r="AV1547" s="14"/>
      <c r="AW1547" s="14"/>
      <c r="AX1547" s="14"/>
      <c r="AY1547" s="14"/>
      <c r="AZ1547" s="14"/>
      <c r="BA1547" s="14"/>
    </row>
    <row r="1548" ht="14.25" customHeight="1">
      <c r="A1548" s="10"/>
      <c r="B1548" s="12"/>
      <c r="C1548" s="12"/>
      <c r="D1548" s="12"/>
      <c r="E1548" s="44"/>
      <c r="F1548" s="12"/>
      <c r="G1548" s="12"/>
      <c r="H1548" s="45"/>
      <c r="I1548" s="45"/>
      <c r="J1548" s="12"/>
      <c r="K1548" s="12"/>
      <c r="L1548" s="14"/>
      <c r="M1548" s="14"/>
      <c r="N1548" s="14"/>
      <c r="O1548" s="14"/>
      <c r="P1548" s="14"/>
      <c r="Q1548" s="14"/>
      <c r="R1548" s="48"/>
      <c r="S1548" s="48"/>
      <c r="T1548" s="48"/>
      <c r="U1548" s="48"/>
      <c r="V1548" s="48"/>
      <c r="W1548" s="14"/>
      <c r="X1548" s="14"/>
      <c r="Y1548" s="14"/>
      <c r="Z1548" s="14"/>
      <c r="AA1548" s="14"/>
      <c r="AB1548" s="14"/>
      <c r="AC1548" s="14"/>
      <c r="AD1548" s="48"/>
      <c r="AE1548" s="48"/>
      <c r="AF1548" s="48"/>
      <c r="AG1548" s="48"/>
      <c r="AH1548" s="48"/>
      <c r="AI1548" s="14"/>
      <c r="AJ1548" s="14"/>
      <c r="AK1548" s="14"/>
      <c r="AL1548" s="14"/>
      <c r="AM1548" s="14"/>
      <c r="AN1548" s="14"/>
      <c r="AO1548" s="14"/>
      <c r="AP1548" s="14"/>
      <c r="AQ1548" s="14"/>
      <c r="AR1548" s="14"/>
      <c r="AS1548" s="14"/>
      <c r="AT1548" s="14"/>
      <c r="AU1548" s="14"/>
      <c r="AV1548" s="14"/>
      <c r="AW1548" s="14"/>
      <c r="AX1548" s="14"/>
      <c r="AY1548" s="14"/>
      <c r="AZ1548" s="14"/>
      <c r="BA1548" s="14"/>
    </row>
    <row r="1549" ht="14.25" customHeight="1">
      <c r="A1549" s="10"/>
      <c r="B1549" s="12"/>
      <c r="C1549" s="12"/>
      <c r="D1549" s="12"/>
      <c r="E1549" s="44"/>
      <c r="F1549" s="12"/>
      <c r="G1549" s="12"/>
      <c r="H1549" s="45"/>
      <c r="I1549" s="45"/>
      <c r="J1549" s="12"/>
      <c r="K1549" s="12"/>
      <c r="L1549" s="14"/>
      <c r="M1549" s="14"/>
      <c r="N1549" s="14"/>
      <c r="O1549" s="14"/>
      <c r="P1549" s="14"/>
      <c r="Q1549" s="14"/>
      <c r="R1549" s="48"/>
      <c r="S1549" s="48"/>
      <c r="T1549" s="48"/>
      <c r="U1549" s="48"/>
      <c r="V1549" s="48"/>
      <c r="W1549" s="14"/>
      <c r="X1549" s="14"/>
      <c r="Y1549" s="14"/>
      <c r="Z1549" s="14"/>
      <c r="AA1549" s="14"/>
      <c r="AB1549" s="14"/>
      <c r="AC1549" s="14"/>
      <c r="AD1549" s="48"/>
      <c r="AE1549" s="48"/>
      <c r="AF1549" s="48"/>
      <c r="AG1549" s="48"/>
      <c r="AH1549" s="48"/>
      <c r="AI1549" s="14"/>
      <c r="AJ1549" s="14"/>
      <c r="AK1549" s="14"/>
      <c r="AL1549" s="14"/>
      <c r="AM1549" s="14"/>
      <c r="AN1549" s="14"/>
      <c r="AO1549" s="14"/>
      <c r="AP1549" s="14"/>
      <c r="AQ1549" s="14"/>
      <c r="AR1549" s="14"/>
      <c r="AS1549" s="14"/>
      <c r="AT1549" s="14"/>
      <c r="AU1549" s="14"/>
      <c r="AV1549" s="14"/>
      <c r="AW1549" s="14"/>
      <c r="AX1549" s="14"/>
      <c r="AY1549" s="14"/>
      <c r="AZ1549" s="14"/>
      <c r="BA1549" s="14"/>
    </row>
    <row r="1550" ht="14.25" customHeight="1">
      <c r="A1550" s="10"/>
      <c r="B1550" s="12"/>
      <c r="C1550" s="12"/>
      <c r="D1550" s="12"/>
      <c r="E1550" s="44"/>
      <c r="F1550" s="12"/>
      <c r="G1550" s="12"/>
      <c r="H1550" s="45"/>
      <c r="I1550" s="45"/>
      <c r="J1550" s="12"/>
      <c r="K1550" s="12"/>
      <c r="L1550" s="14"/>
      <c r="M1550" s="14"/>
      <c r="N1550" s="14"/>
      <c r="O1550" s="14"/>
      <c r="P1550" s="14"/>
      <c r="Q1550" s="14"/>
      <c r="R1550" s="48"/>
      <c r="S1550" s="48"/>
      <c r="T1550" s="48"/>
      <c r="U1550" s="48"/>
      <c r="V1550" s="48"/>
      <c r="W1550" s="14"/>
      <c r="X1550" s="14"/>
      <c r="Y1550" s="14"/>
      <c r="Z1550" s="14"/>
      <c r="AA1550" s="14"/>
      <c r="AB1550" s="14"/>
      <c r="AC1550" s="14"/>
      <c r="AD1550" s="48"/>
      <c r="AE1550" s="48"/>
      <c r="AF1550" s="48"/>
      <c r="AG1550" s="48"/>
      <c r="AH1550" s="48"/>
      <c r="AI1550" s="14"/>
      <c r="AJ1550" s="14"/>
      <c r="AK1550" s="14"/>
      <c r="AL1550" s="14"/>
      <c r="AM1550" s="14"/>
      <c r="AN1550" s="14"/>
      <c r="AO1550" s="14"/>
      <c r="AP1550" s="14"/>
      <c r="AQ1550" s="14"/>
      <c r="AR1550" s="14"/>
      <c r="AS1550" s="14"/>
      <c r="AT1550" s="14"/>
      <c r="AU1550" s="14"/>
      <c r="AV1550" s="14"/>
      <c r="AW1550" s="14"/>
      <c r="AX1550" s="14"/>
      <c r="AY1550" s="14"/>
      <c r="AZ1550" s="14"/>
      <c r="BA1550" s="14"/>
    </row>
    <row r="1551" ht="14.25" customHeight="1">
      <c r="A1551" s="10"/>
      <c r="B1551" s="12"/>
      <c r="C1551" s="12"/>
      <c r="D1551" s="12"/>
      <c r="E1551" s="44"/>
      <c r="F1551" s="12"/>
      <c r="G1551" s="12"/>
      <c r="H1551" s="45"/>
      <c r="I1551" s="45"/>
      <c r="J1551" s="12"/>
      <c r="K1551" s="12"/>
      <c r="L1551" s="14"/>
      <c r="M1551" s="14"/>
      <c r="N1551" s="14"/>
      <c r="O1551" s="14"/>
      <c r="P1551" s="14"/>
      <c r="Q1551" s="14"/>
      <c r="R1551" s="48"/>
      <c r="S1551" s="48"/>
      <c r="T1551" s="48"/>
      <c r="U1551" s="48"/>
      <c r="V1551" s="48"/>
      <c r="W1551" s="14"/>
      <c r="X1551" s="14"/>
      <c r="Y1551" s="14"/>
      <c r="Z1551" s="14"/>
      <c r="AA1551" s="14"/>
      <c r="AB1551" s="14"/>
      <c r="AC1551" s="14"/>
      <c r="AD1551" s="48"/>
      <c r="AE1551" s="48"/>
      <c r="AF1551" s="48"/>
      <c r="AG1551" s="48"/>
      <c r="AH1551" s="48"/>
      <c r="AI1551" s="14"/>
      <c r="AJ1551" s="14"/>
      <c r="AK1551" s="14"/>
      <c r="AL1551" s="14"/>
      <c r="AM1551" s="14"/>
      <c r="AN1551" s="14"/>
      <c r="AO1551" s="14"/>
      <c r="AP1551" s="14"/>
      <c r="AQ1551" s="14"/>
      <c r="AR1551" s="14"/>
      <c r="AS1551" s="14"/>
      <c r="AT1551" s="14"/>
      <c r="AU1551" s="14"/>
      <c r="AV1551" s="14"/>
      <c r="AW1551" s="14"/>
      <c r="AX1551" s="14"/>
      <c r="AY1551" s="14"/>
      <c r="AZ1551" s="14"/>
      <c r="BA1551" s="14"/>
    </row>
  </sheetData>
  <customSheetViews>
    <customSheetView guid="{447FBDF2-9A77-4B4B-8322-3B6D08982A32}" filter="1" showAutoFilter="1">
      <autoFilter ref="$B$1:$B$781">
        <filterColumn colId="0">
          <filters>
            <filter val="QCH-Cantarrana"/>
            <filter val="QYO-Monte Blanco"/>
          </filters>
        </filterColumn>
      </autoFilter>
    </customSheetView>
  </customSheetViews>
  <conditionalFormatting sqref="AV2:AV73">
    <cfRule type="cellIs" dxfId="0" priority="1" operator="lessThanOrEqual">
      <formula>#REF!</formula>
    </cfRule>
  </conditionalFormatting>
  <conditionalFormatting sqref="AW2:AW73">
    <cfRule type="cellIs" dxfId="0" priority="2" operator="lessThanOrEqual">
      <formula>#REF!</formula>
    </cfRule>
  </conditionalFormatting>
  <conditionalFormatting sqref="AX2:AX73">
    <cfRule type="cellIs" dxfId="0" priority="3" operator="lessThanOrEqual">
      <formula>#REF!</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1"/>
    <col customWidth="1" min="2" max="2" width="16.43"/>
    <col customWidth="1" min="3" max="3" width="12.29"/>
    <col customWidth="1" min="4" max="21" width="10.86"/>
  </cols>
  <sheetData>
    <row r="1" ht="14.25" customHeight="1">
      <c r="A1" s="50" t="s">
        <v>906</v>
      </c>
      <c r="B1" s="51" t="s">
        <v>907</v>
      </c>
      <c r="C1" s="51" t="s">
        <v>908</v>
      </c>
    </row>
    <row r="2" ht="14.25" customHeight="1">
      <c r="A2" s="52" t="s">
        <v>9</v>
      </c>
      <c r="B2" s="53" t="s">
        <v>909</v>
      </c>
      <c r="C2" s="53" t="s">
        <v>910</v>
      </c>
    </row>
    <row r="3" ht="14.25" customHeight="1">
      <c r="A3" s="52" t="s">
        <v>10</v>
      </c>
      <c r="B3" s="53" t="s">
        <v>911</v>
      </c>
      <c r="C3" s="53" t="s">
        <v>910</v>
      </c>
    </row>
    <row r="4" ht="14.25" customHeight="1">
      <c r="A4" s="52" t="s">
        <v>912</v>
      </c>
      <c r="B4" s="53" t="s">
        <v>912</v>
      </c>
      <c r="C4" s="53" t="s">
        <v>913</v>
      </c>
    </row>
    <row r="5" ht="14.25" customHeight="1">
      <c r="A5" s="52" t="s">
        <v>914</v>
      </c>
      <c r="B5" s="53" t="s">
        <v>914</v>
      </c>
      <c r="C5" s="53" t="s">
        <v>908</v>
      </c>
    </row>
    <row r="6" ht="14.25" customHeight="1">
      <c r="A6" s="52" t="s">
        <v>915</v>
      </c>
      <c r="B6" s="53" t="s">
        <v>916</v>
      </c>
      <c r="C6" s="53" t="s">
        <v>917</v>
      </c>
    </row>
    <row r="7" ht="14.25" customHeight="1">
      <c r="A7" s="52" t="s">
        <v>918</v>
      </c>
      <c r="B7" s="53" t="s">
        <v>919</v>
      </c>
      <c r="C7" s="53" t="s">
        <v>920</v>
      </c>
    </row>
    <row r="8" ht="14.25" customHeight="1">
      <c r="A8" s="52" t="s">
        <v>921</v>
      </c>
      <c r="B8" s="53" t="s">
        <v>922</v>
      </c>
      <c r="C8" s="53" t="s">
        <v>923</v>
      </c>
    </row>
    <row r="9" ht="14.25" customHeight="1">
      <c r="A9" s="52" t="s">
        <v>924</v>
      </c>
      <c r="B9" s="53" t="s">
        <v>925</v>
      </c>
      <c r="C9" s="53" t="s">
        <v>923</v>
      </c>
    </row>
    <row r="10" ht="14.25" customHeight="1">
      <c r="A10" s="52" t="s">
        <v>926</v>
      </c>
      <c r="B10" s="53" t="s">
        <v>927</v>
      </c>
      <c r="C10" s="53" t="s">
        <v>923</v>
      </c>
    </row>
    <row r="11" ht="14.25" customHeight="1">
      <c r="A11" s="52" t="s">
        <v>928</v>
      </c>
      <c r="B11" s="53" t="s">
        <v>929</v>
      </c>
      <c r="C11" s="53" t="s">
        <v>930</v>
      </c>
    </row>
    <row r="12" ht="14.25" customHeight="1">
      <c r="A12" s="52" t="s">
        <v>44</v>
      </c>
      <c r="B12" s="53" t="s">
        <v>931</v>
      </c>
      <c r="C12" s="53" t="s">
        <v>932</v>
      </c>
    </row>
    <row r="13" ht="14.25" customHeight="1">
      <c r="A13" s="52" t="s">
        <v>45</v>
      </c>
      <c r="B13" s="53" t="s">
        <v>45</v>
      </c>
      <c r="C13" s="53" t="s">
        <v>932</v>
      </c>
    </row>
    <row r="14" ht="14.25" customHeight="1">
      <c r="A14" s="52" t="s">
        <v>933</v>
      </c>
      <c r="B14" s="53" t="s">
        <v>934</v>
      </c>
      <c r="C14" s="53" t="s">
        <v>935</v>
      </c>
    </row>
    <row r="15" ht="14.25" customHeight="1">
      <c r="A15" s="52" t="s">
        <v>49</v>
      </c>
      <c r="B15" s="53" t="s">
        <v>936</v>
      </c>
      <c r="C15" s="53" t="s">
        <v>937</v>
      </c>
    </row>
    <row r="16" ht="14.25" customHeight="1">
      <c r="A16" s="52" t="s">
        <v>938</v>
      </c>
      <c r="B16" s="53" t="s">
        <v>939</v>
      </c>
      <c r="C16" s="53" t="s">
        <v>940</v>
      </c>
    </row>
    <row r="17" ht="14.25" customHeight="1">
      <c r="A17" s="52" t="s">
        <v>50</v>
      </c>
      <c r="B17" s="53" t="s">
        <v>941</v>
      </c>
      <c r="C17" s="53" t="s">
        <v>940</v>
      </c>
    </row>
    <row r="18" ht="14.25" customHeight="1">
      <c r="A18" s="52" t="s">
        <v>51</v>
      </c>
      <c r="B18" s="53" t="s">
        <v>942</v>
      </c>
      <c r="C18" s="53" t="s">
        <v>940</v>
      </c>
    </row>
    <row r="19">
      <c r="A19" s="52" t="s">
        <v>52</v>
      </c>
      <c r="B19" s="53" t="s">
        <v>943</v>
      </c>
      <c r="C19" s="53" t="s">
        <v>940</v>
      </c>
    </row>
    <row r="20" ht="14.25" customHeight="1">
      <c r="A20" s="52" t="s">
        <v>944</v>
      </c>
      <c r="B20" s="53" t="s">
        <v>945</v>
      </c>
      <c r="C20" s="53" t="s">
        <v>946</v>
      </c>
    </row>
    <row r="21" ht="14.25" customHeight="1">
      <c r="A21" s="52" t="s">
        <v>947</v>
      </c>
      <c r="B21" s="53" t="s">
        <v>948</v>
      </c>
      <c r="C21" s="53" t="s">
        <v>946</v>
      </c>
    </row>
    <row r="22" ht="14.25" customHeight="1">
      <c r="A22" s="52" t="s">
        <v>949</v>
      </c>
      <c r="B22" s="53" t="s">
        <v>950</v>
      </c>
      <c r="C22" s="53" t="s">
        <v>951</v>
      </c>
    </row>
    <row r="23" ht="14.25" customHeight="1">
      <c r="A23" s="52" t="s">
        <v>952</v>
      </c>
      <c r="B23" s="53" t="s">
        <v>953</v>
      </c>
      <c r="C23" s="53" t="s">
        <v>954</v>
      </c>
    </row>
    <row r="24" ht="14.25" customHeight="1">
      <c r="A24" s="52" t="s">
        <v>955</v>
      </c>
      <c r="B24" s="53" t="s">
        <v>956</v>
      </c>
      <c r="C24" s="53" t="s">
        <v>957</v>
      </c>
    </row>
    <row r="25" ht="14.25" customHeight="1">
      <c r="A25" s="52" t="s">
        <v>958</v>
      </c>
      <c r="B25" s="53" t="s">
        <v>959</v>
      </c>
      <c r="C25" s="53" t="s">
        <v>960</v>
      </c>
    </row>
    <row r="26" ht="14.25" customHeight="1">
      <c r="A26" s="52" t="s">
        <v>961</v>
      </c>
      <c r="B26" s="53" t="s">
        <v>962</v>
      </c>
      <c r="C26" s="53" t="s">
        <v>963</v>
      </c>
    </row>
    <row r="27" ht="14.25" customHeight="1">
      <c r="A27" s="52" t="s">
        <v>964</v>
      </c>
      <c r="B27" s="53" t="s">
        <v>965</v>
      </c>
      <c r="C27" s="53" t="s">
        <v>966</v>
      </c>
    </row>
    <row r="28" ht="14.25" customHeight="1">
      <c r="A28" s="52" t="s">
        <v>967</v>
      </c>
      <c r="B28" s="53" t="s">
        <v>968</v>
      </c>
      <c r="C28" s="53" t="s">
        <v>969</v>
      </c>
    </row>
    <row r="29" ht="14.25" customHeight="1">
      <c r="A29" s="52" t="s">
        <v>970</v>
      </c>
      <c r="B29" s="53" t="s">
        <v>971</v>
      </c>
      <c r="C29" s="53" t="s">
        <v>972</v>
      </c>
    </row>
    <row r="30" ht="14.25" customHeight="1">
      <c r="A30" s="52" t="s">
        <v>973</v>
      </c>
      <c r="B30" s="53" t="s">
        <v>974</v>
      </c>
      <c r="C30" s="53" t="s">
        <v>975</v>
      </c>
    </row>
    <row r="31" ht="14.25" customHeight="1">
      <c r="A31" s="52" t="s">
        <v>976</v>
      </c>
      <c r="B31" s="53" t="s">
        <v>977</v>
      </c>
      <c r="C31" s="53" t="s">
        <v>978</v>
      </c>
    </row>
    <row r="32" ht="14.25" customHeight="1">
      <c r="A32" s="52" t="s">
        <v>979</v>
      </c>
      <c r="B32" s="53" t="s">
        <v>941</v>
      </c>
      <c r="C32" s="53" t="s">
        <v>980</v>
      </c>
    </row>
    <row r="33" ht="14.25" customHeight="1">
      <c r="A33" s="52" t="s">
        <v>981</v>
      </c>
      <c r="B33" s="53" t="s">
        <v>982</v>
      </c>
      <c r="C33" s="53" t="s">
        <v>940</v>
      </c>
    </row>
    <row r="34" ht="14.25" customHeight="1">
      <c r="A34" s="52" t="s">
        <v>983</v>
      </c>
      <c r="B34" s="53" t="s">
        <v>984</v>
      </c>
      <c r="C34" s="53" t="s">
        <v>985</v>
      </c>
    </row>
    <row r="35" ht="14.25" customHeight="1">
      <c r="A35" s="52" t="s">
        <v>986</v>
      </c>
      <c r="B35" s="53" t="s">
        <v>987</v>
      </c>
      <c r="C35" s="53" t="s">
        <v>988</v>
      </c>
    </row>
    <row r="36" ht="14.25" customHeight="1">
      <c r="A36" s="52" t="s">
        <v>989</v>
      </c>
      <c r="B36" s="53" t="s">
        <v>990</v>
      </c>
      <c r="C36" s="53" t="s">
        <v>991</v>
      </c>
    </row>
    <row r="37" ht="14.25" customHeight="1">
      <c r="A37" s="52" t="s">
        <v>46</v>
      </c>
      <c r="B37" s="53" t="s">
        <v>992</v>
      </c>
      <c r="C37" s="53" t="s">
        <v>937</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2" width="17.0"/>
    <col customWidth="1" min="3" max="12" width="10.86"/>
    <col customWidth="1" min="13" max="13" width="21.14"/>
    <col customWidth="1" min="14" max="16" width="10.86"/>
    <col customWidth="1" min="17" max="17" width="11.71"/>
    <col customWidth="1" min="18" max="29" width="10.86"/>
  </cols>
  <sheetData>
    <row r="1" ht="14.25" customHeight="1">
      <c r="A1" s="54" t="s">
        <v>1</v>
      </c>
      <c r="B1" s="54" t="s">
        <v>993</v>
      </c>
      <c r="C1" s="55" t="s">
        <v>994</v>
      </c>
      <c r="D1" s="55" t="s">
        <v>995</v>
      </c>
      <c r="E1" s="54" t="s">
        <v>996</v>
      </c>
      <c r="F1" s="54" t="s">
        <v>2</v>
      </c>
      <c r="G1" s="54" t="s">
        <v>997</v>
      </c>
      <c r="H1" s="54" t="s">
        <v>998</v>
      </c>
      <c r="I1" s="54" t="s">
        <v>999</v>
      </c>
      <c r="J1" s="54" t="s">
        <v>1000</v>
      </c>
      <c r="K1" s="54" t="s">
        <v>1001</v>
      </c>
      <c r="L1" s="54" t="s">
        <v>1002</v>
      </c>
      <c r="M1" s="54" t="str">
        <f t="shared" ref="M1:M37" si="1">K1&amp;","&amp;L1</f>
        <v>Latitud,Longitud</v>
      </c>
      <c r="N1" s="56" t="s">
        <v>912</v>
      </c>
      <c r="O1" s="56" t="s">
        <v>914</v>
      </c>
      <c r="P1" s="56" t="s">
        <v>915</v>
      </c>
      <c r="Q1" s="56" t="s">
        <v>918</v>
      </c>
      <c r="R1" s="56" t="s">
        <v>922</v>
      </c>
      <c r="S1" s="54" t="s">
        <v>925</v>
      </c>
      <c r="T1" s="54" t="s">
        <v>927</v>
      </c>
      <c r="U1" s="54" t="s">
        <v>929</v>
      </c>
      <c r="V1" s="54" t="s">
        <v>931</v>
      </c>
      <c r="W1" s="54" t="s">
        <v>45</v>
      </c>
      <c r="X1" s="54" t="s">
        <v>49</v>
      </c>
      <c r="Y1" s="57" t="s">
        <v>943</v>
      </c>
      <c r="Z1" s="58" t="s">
        <v>1003</v>
      </c>
      <c r="AA1" s="59"/>
      <c r="AB1" s="59"/>
      <c r="AC1" s="59"/>
    </row>
    <row r="2">
      <c r="A2" s="60" t="s">
        <v>67</v>
      </c>
      <c r="B2" s="60" t="s">
        <v>67</v>
      </c>
      <c r="C2" s="60" t="s">
        <v>1004</v>
      </c>
      <c r="D2" s="18" t="s">
        <v>1005</v>
      </c>
      <c r="E2" s="18">
        <v>4.0</v>
      </c>
      <c r="F2" s="18"/>
      <c r="G2" s="61">
        <v>0.0</v>
      </c>
      <c r="H2" s="62" t="s">
        <v>1006</v>
      </c>
      <c r="I2" s="63" t="s">
        <v>1007</v>
      </c>
      <c r="J2" s="18" t="s">
        <v>1008</v>
      </c>
      <c r="K2" s="18">
        <v>4.6844528</v>
      </c>
      <c r="L2" s="18">
        <v>-74.031175</v>
      </c>
      <c r="M2" s="18" t="str">
        <f t="shared" si="1"/>
        <v>4.6844528,-74.031175</v>
      </c>
      <c r="N2" s="18">
        <f>ROUND(AVERAGEIF(CONSOLIDADO!$B$2:$B$551,A2,CONSOLIDADO!$Q$2:$Q$551),2)</f>
        <v>87.61</v>
      </c>
      <c r="O2" s="18">
        <f>ROUND(AVERAGEIF(CONSOLIDADO!$B$2:$B$551,A2,CONSOLIDADO!$W$2:$W$551),2)</f>
        <v>7.76</v>
      </c>
      <c r="P2" s="18">
        <f>ROUND(AVERAGEIF(CONSOLIDADO!$B$2:$B$551,A2,CONSOLIDADO!$AC$2:$AC$551),2)</f>
        <v>13.54</v>
      </c>
      <c r="Q2" s="18">
        <f>ROUND(AVERAGEIF(CONSOLIDADO!$B$2:$B$551,A2,CONSOLIDADO!$Q$2:$Q$551),2)</f>
        <v>87.61</v>
      </c>
      <c r="R2" s="18">
        <f>ROUND(AVERAGEIF(CONSOLIDADO!$B$2:$B$551,A2,CONSOLIDADO!$AO$2:$AO$551),2)</f>
        <v>6.27</v>
      </c>
      <c r="S2" s="18">
        <f>ROUND(AVERAGEIF(CONSOLIDADO!$B$2:$B999,A2,CONSOLIDADO!$AP$2:$AP999),2)</f>
        <v>19.2</v>
      </c>
      <c r="T2" s="18">
        <f>ROUND(AVERAGEIF(CONSOLIDADO!$B$2:$B999,A2,CONSOLIDADO!$AQ$2:$AQ999),2)</f>
        <v>44.21</v>
      </c>
      <c r="U2" s="18">
        <f>ROUND(AVERAGEIF(CONSOLIDADO!$B$2:$B999,A2,CONSOLIDADO!$AR$2:$AR999),2)</f>
        <v>19.28</v>
      </c>
      <c r="V2" s="18">
        <f>ROUND(AVERAGEIF(CONSOLIDADO!$B$2:$B999,A2,CONSOLIDADO!$AS$2:$AS999),2)</f>
        <v>5.36</v>
      </c>
      <c r="W2" s="18">
        <f>ROUND(AVERAGEIF(CONSOLIDADO!$B$2:$B999,A2,CONSOLIDADO!$AT$2:$AT999),2)</f>
        <v>0.59</v>
      </c>
      <c r="X2" s="64">
        <f>ROUND(AVERAGEIF(CONSOLIDADO!$B$2:$B999,A2,CONSOLIDADO!$AX$2:$AX999),2)</f>
        <v>9381271.75</v>
      </c>
      <c r="Y2" s="18">
        <f>ROUND(AVERAGEIF(CONSOLIDADO!$B$2:$B999,A2,CONSOLIDADO!$BA$2:$BA999),2)</f>
        <v>12.92</v>
      </c>
      <c r="Z2" s="18">
        <f>ROUND(AVERAGEIF(CONSOLIDADO!$B$2:$B999,A2,CONSOLIDADO!$AV$2:$AV999),2)</f>
        <v>1.31</v>
      </c>
    </row>
    <row r="3">
      <c r="A3" s="60" t="s">
        <v>77</v>
      </c>
      <c r="B3" s="60" t="s">
        <v>77</v>
      </c>
      <c r="C3" s="60" t="s">
        <v>1004</v>
      </c>
      <c r="D3" s="18" t="s">
        <v>1005</v>
      </c>
      <c r="E3" s="18">
        <v>4.0</v>
      </c>
      <c r="F3" s="18"/>
      <c r="G3" s="61">
        <v>1.7</v>
      </c>
      <c r="H3" s="62" t="s">
        <v>1009</v>
      </c>
      <c r="I3" s="65" t="s">
        <v>1010</v>
      </c>
      <c r="J3" s="18" t="s">
        <v>1008</v>
      </c>
      <c r="K3" s="18">
        <v>4.6935139</v>
      </c>
      <c r="L3" s="18">
        <v>-74.0408389</v>
      </c>
      <c r="M3" s="18" t="str">
        <f t="shared" si="1"/>
        <v>4.6935139,-74.0408389</v>
      </c>
      <c r="N3" s="18">
        <f>ROUND(AVERAGEIF(CONSOLIDADO!$B$2:$B$551,A3,CONSOLIDADO!$Q$2:$Q$551),2)</f>
        <v>210.16</v>
      </c>
      <c r="O3" s="18">
        <f>ROUND(AVERAGEIF(CONSOLIDADO!$B$2:$B$551,A3,CONSOLIDADO!$W$2:$W$551),2)</f>
        <v>7.46</v>
      </c>
      <c r="P3" s="18">
        <f>ROUND(AVERAGEIF(CONSOLIDADO!$B$2:$B$551,A3,CONSOLIDADO!$AC$2:$AC$551),2)</f>
        <v>16.95</v>
      </c>
      <c r="Q3" s="18">
        <f>ROUND(AVERAGEIF(CONSOLIDADO!$B$2:$B$551,A3,CONSOLIDADO!$Q$2:$Q$551),2)</f>
        <v>210.16</v>
      </c>
      <c r="R3" s="18">
        <f>ROUND(AVERAGEIF(CONSOLIDADO!$B$2:$B$551,A3,CONSOLIDADO!$AO$2:$AO$551),2)</f>
        <v>3.19</v>
      </c>
      <c r="S3" s="18">
        <f>ROUND(AVERAGEIF(CONSOLIDADO!$B$2:$B$551,A3,CONSOLIDADO!$AP$2:$AP$551),2)</f>
        <v>62.81</v>
      </c>
      <c r="T3" s="18">
        <f>ROUND(AVERAGEIF(CONSOLIDADO!$B$2:$B$551,A3,CONSOLIDADO!$AQ$2:$AQ$551),2)</f>
        <v>130.64</v>
      </c>
      <c r="U3" s="18">
        <f>ROUND(AVERAGEIF(CONSOLIDADO!$B$2:$B$551,A3,CONSOLIDADO!$AR$2:$AR$551),2)</f>
        <v>47.3</v>
      </c>
      <c r="V3" s="18">
        <f>ROUND(AVERAGEIF(CONSOLIDADO!$B$2:$B$551,A3,CONSOLIDADO!$AS$2:$AS$551),2)</f>
        <v>24.87</v>
      </c>
      <c r="W3" s="18">
        <f>ROUND(AVERAGEIF(CONSOLIDADO!$B$2:$B$551,A3,CONSOLIDADO!$AT$2:$AT$551),2)</f>
        <v>1.36</v>
      </c>
      <c r="X3" s="64">
        <f>ROUND(AVERAGEIF(CONSOLIDADO!$B$2:$B$551,A3,CONSOLIDADO!$AX$2:$AX$551),2)</f>
        <v>5588494.38</v>
      </c>
      <c r="Y3" s="18">
        <f>ROUND(AVERAGEIF(CONSOLIDADO!$B$2:$B999,A3,CONSOLIDADO!$BA$2:$BA999),2)</f>
        <v>18.59</v>
      </c>
      <c r="Z3" s="18">
        <f>ROUND(AVERAGEIF(CONSOLIDADO!$B$2:$B999,A3,CONSOLIDADO!$AV$2:$AV999),2)</f>
        <v>1.59</v>
      </c>
    </row>
    <row r="4">
      <c r="A4" s="60" t="s">
        <v>65</v>
      </c>
      <c r="B4" s="60" t="s">
        <v>65</v>
      </c>
      <c r="C4" s="60" t="s">
        <v>1004</v>
      </c>
      <c r="D4" s="18" t="s">
        <v>1005</v>
      </c>
      <c r="E4" s="18">
        <v>4.0</v>
      </c>
      <c r="F4" s="18"/>
      <c r="G4" s="18">
        <f>G3+1.54</f>
        <v>3.24</v>
      </c>
      <c r="H4" s="62" t="s">
        <v>1011</v>
      </c>
      <c r="I4" s="62" t="s">
        <v>1012</v>
      </c>
      <c r="J4" s="18" t="s">
        <v>1008</v>
      </c>
      <c r="K4" s="18">
        <v>4.6968528</v>
      </c>
      <c r="L4" s="18">
        <v>-74.0541639</v>
      </c>
      <c r="M4" s="18" t="str">
        <f t="shared" si="1"/>
        <v>4.6968528,-74.0541639</v>
      </c>
      <c r="N4" s="18">
        <f>ROUND(AVERAGEIF(CONSOLIDADO!$B$2:$B$551,A4,CONSOLIDADO!$Q$2:$Q$551),2)</f>
        <v>285.41</v>
      </c>
      <c r="O4" s="18">
        <f>ROUND(AVERAGEIF(CONSOLIDADO!$B$2:$B$551,A4,CONSOLIDADO!$W$2:$W$551),2)</f>
        <v>7.63</v>
      </c>
      <c r="P4" s="18">
        <f>ROUND(AVERAGEIF(CONSOLIDADO!$B$2:$B$551,A4,CONSOLIDADO!$AC$2:$AC$551),2)</f>
        <v>18.47</v>
      </c>
      <c r="Q4" s="18">
        <f>ROUND(AVERAGEIF(CONSOLIDADO!$B$2:$B$551,A4,CONSOLIDADO!$Q$2:$Q$551),2)</f>
        <v>285.41</v>
      </c>
      <c r="R4" s="18">
        <f>ROUND(AVERAGEIF(CONSOLIDADO!$B$2:$B$551,A4,CONSOLIDADO!$AO$2:$AO$551),2)</f>
        <v>1.6</v>
      </c>
      <c r="S4" s="18">
        <f>ROUND(AVERAGEIF(CONSOLIDADO!$B$2:$B$551,A4,CONSOLIDADO!$AP$2:$AP$551),2)</f>
        <v>80.17</v>
      </c>
      <c r="T4" s="18">
        <f>ROUND(AVERAGEIF(CONSOLIDADO!$B$2:$B$551,A4,CONSOLIDADO!$AQ$2:$AQ$551),2)</f>
        <v>180.08</v>
      </c>
      <c r="U4" s="18">
        <f>ROUND(AVERAGEIF(CONSOLIDADO!$B$2:$B$551,A4,CONSOLIDADO!$AR$2:$AR$551),2)</f>
        <v>69.09</v>
      </c>
      <c r="V4" s="18">
        <f>ROUND(AVERAGEIF(CONSOLIDADO!$B$2:$B$551,A4,CONSOLIDADO!$AS$2:$AS$551),2)</f>
        <v>21.39</v>
      </c>
      <c r="W4" s="18">
        <f>ROUND(AVERAGEIF(CONSOLIDADO!$B$2:$B$551,A4,CONSOLIDADO!$AT$2:$AT$551),2)</f>
        <v>1.98</v>
      </c>
      <c r="X4" s="64">
        <f>ROUND(AVERAGEIF(CONSOLIDADO!$B$2:$B$551,A4,CONSOLIDADO!$AX$2:$AX$551),2)</f>
        <v>7074750</v>
      </c>
      <c r="Y4" s="18">
        <f>ROUND(AVERAGEIF(CONSOLIDADO!$B$2:$B999,A4,CONSOLIDADO!$BA$2:$BA999),2)</f>
        <v>23.22</v>
      </c>
      <c r="Z4" s="18">
        <f>ROUND(AVERAGEIF(CONSOLIDADO!$B$2:$B999,A4,CONSOLIDADO!$AV$2:$AV999),2)</f>
        <v>2.31</v>
      </c>
    </row>
    <row r="5">
      <c r="A5" s="60" t="s">
        <v>70</v>
      </c>
      <c r="B5" s="60" t="s">
        <v>70</v>
      </c>
      <c r="C5" s="60" t="s">
        <v>1004</v>
      </c>
      <c r="D5" s="18" t="s">
        <v>1005</v>
      </c>
      <c r="E5" s="18">
        <v>4.0</v>
      </c>
      <c r="F5" s="18"/>
      <c r="G5" s="18">
        <f>G4+0.98</f>
        <v>4.22</v>
      </c>
      <c r="H5" s="62" t="s">
        <v>1013</v>
      </c>
      <c r="I5" s="62" t="s">
        <v>1014</v>
      </c>
      <c r="J5" s="18" t="s">
        <v>1008</v>
      </c>
      <c r="K5" s="18">
        <v>4.6975639</v>
      </c>
      <c r="L5" s="18">
        <v>-74.0624556</v>
      </c>
      <c r="M5" s="18" t="str">
        <f t="shared" si="1"/>
        <v>4.6975639,-74.0624556</v>
      </c>
      <c r="N5" s="18">
        <f>ROUND(AVERAGEIF(CONSOLIDADO!$B$2:$B$551,A5,CONSOLIDADO!$Q$2:$Q$551),2)</f>
        <v>331.98</v>
      </c>
      <c r="O5" s="18">
        <f>ROUND(AVERAGEIF(CONSOLIDADO!$B$2:$B$551,A5,CONSOLIDADO!$W$2:$W$551),2)</f>
        <v>7.63</v>
      </c>
      <c r="P5" s="18">
        <f>ROUND(AVERAGEIF(CONSOLIDADO!$B$2:$B$551,A5,CONSOLIDADO!$AC$2:$AC$551),2)</f>
        <v>18.3</v>
      </c>
      <c r="Q5" s="18">
        <f>ROUND(AVERAGEIF(CONSOLIDADO!$B$2:$B$551,A5,CONSOLIDADO!$Q$2:$Q$551),2)</f>
        <v>331.98</v>
      </c>
      <c r="R5" s="18">
        <f>ROUND(AVERAGEIF(CONSOLIDADO!$B$2:$B$551,A5,CONSOLIDADO!$AO$2:$AO$551),2)</f>
        <v>1.31</v>
      </c>
      <c r="S5" s="18">
        <f>ROUND(AVERAGEIF(CONSOLIDADO!$B$2:$B$551,A5,CONSOLIDADO!$AP$2:$AP$551),2)</f>
        <v>83.44</v>
      </c>
      <c r="T5" s="18">
        <f>ROUND(AVERAGEIF(CONSOLIDADO!$B$2:$B$551,A5,CONSOLIDADO!$AQ$2:$AQ$551),2)</f>
        <v>154.75</v>
      </c>
      <c r="U5" s="18">
        <f>ROUND(AVERAGEIF(CONSOLIDADO!$B$2:$B$551,A5,CONSOLIDADO!$AR$2:$AR$551),2)</f>
        <v>62.44</v>
      </c>
      <c r="V5" s="18">
        <f>ROUND(AVERAGEIF(CONSOLIDADO!$B$2:$B$551,A5,CONSOLIDADO!$AS$2:$AS$551),2)</f>
        <v>13.64</v>
      </c>
      <c r="W5" s="18">
        <f>ROUND(AVERAGEIF(CONSOLIDADO!$B$2:$B$551,A5,CONSOLIDADO!$AT$2:$AT$551),2)</f>
        <v>2.16</v>
      </c>
      <c r="X5" s="64">
        <f>ROUND(AVERAGEIF(CONSOLIDADO!$B$2:$B$551,A5,CONSOLIDADO!$AX$2:$AX$551),2)</f>
        <v>4565925</v>
      </c>
      <c r="Y5" s="18">
        <f>ROUND(AVERAGEIF(CONSOLIDADO!$B$2:$B999,A5,CONSOLIDADO!$BA$2:$BA999),2)</f>
        <v>23.38</v>
      </c>
      <c r="Z5" s="18">
        <f>ROUND(AVERAGEIF(CONSOLIDADO!$B$2:$B999,A5,CONSOLIDADO!$AV$2:$AV999),2)</f>
        <v>2.31</v>
      </c>
    </row>
    <row r="6">
      <c r="A6" s="60" t="s">
        <v>118</v>
      </c>
      <c r="B6" s="60" t="s">
        <v>118</v>
      </c>
      <c r="C6" s="60" t="s">
        <v>1015</v>
      </c>
      <c r="D6" s="18" t="s">
        <v>1005</v>
      </c>
      <c r="E6" s="18">
        <v>4.0</v>
      </c>
      <c r="F6" s="18"/>
      <c r="G6" s="61">
        <v>0.0</v>
      </c>
      <c r="H6" s="62" t="s">
        <v>1016</v>
      </c>
      <c r="I6" s="66" t="s">
        <v>1017</v>
      </c>
      <c r="J6" s="18" t="s">
        <v>1008</v>
      </c>
      <c r="K6" s="18">
        <v>4.7137639</v>
      </c>
      <c r="L6" s="18">
        <v>-74.0359694</v>
      </c>
      <c r="M6" s="18" t="str">
        <f t="shared" si="1"/>
        <v>4.7137639,-74.0359694</v>
      </c>
      <c r="N6" s="18">
        <f>ROUND(AVERAGEIF(CONSOLIDADO!$B$2:$B$551,A6,CONSOLIDADO!$Q$2:$Q$551),2)</f>
        <v>34.75</v>
      </c>
      <c r="O6" s="18">
        <f>ROUND(AVERAGEIF(CONSOLIDADO!$B$2:$B$551,A6,CONSOLIDADO!$W$2:$W$551),2)</f>
        <v>7.33</v>
      </c>
      <c r="P6" s="18">
        <f>ROUND(AVERAGEIF(CONSOLIDADO!$B$2:$B$551,A6,CONSOLIDADO!$AC$2:$AC$551),2)</f>
        <v>16.21</v>
      </c>
      <c r="Q6" s="18">
        <f>ROUND(AVERAGEIF(CONSOLIDADO!$B$2:$B$551,A6,CONSOLIDADO!$Q$2:$Q$551),2)</f>
        <v>34.75</v>
      </c>
      <c r="R6" s="18">
        <f>ROUND(AVERAGEIF(CONSOLIDADO!$B$2:$B$551,A6,CONSOLIDADO!$AO$2:$AO$551),2)</f>
        <v>3.73</v>
      </c>
      <c r="S6" s="18">
        <f>ROUND(AVERAGEIF(CONSOLIDADO!$B$2:$B$551,A6,CONSOLIDADO!$AP$2:$AP$551),2)</f>
        <v>19.03</v>
      </c>
      <c r="T6" s="18">
        <f>ROUND(AVERAGEIF(CONSOLIDADO!$B$2:$B$551,A6,CONSOLIDADO!$AQ$2:$AQ$551),2)</f>
        <v>46.36</v>
      </c>
      <c r="U6" s="18">
        <f>ROUND(AVERAGEIF(CONSOLIDADO!$B$2:$B$551,A6,CONSOLIDADO!$AR$2:$AR$551),2)</f>
        <v>13.69</v>
      </c>
      <c r="V6" s="18">
        <f>ROUND(AVERAGEIF(CONSOLIDADO!$B$2:$B$551,A6,CONSOLIDADO!$AS$2:$AS$551),2)</f>
        <v>6.24</v>
      </c>
      <c r="W6" s="18">
        <f>ROUND(AVERAGEIF(CONSOLIDADO!$B$2:$B$551,A6,CONSOLIDADO!$AT$2:$AT$551),2)</f>
        <v>0.64</v>
      </c>
      <c r="X6" s="64">
        <f>ROUND(AVERAGEIF(CONSOLIDADO!$B$2:$B$551,A6,CONSOLIDADO!$AX$2:$AX$551),2)</f>
        <v>1833003</v>
      </c>
      <c r="Y6" s="18">
        <f>ROUND(AVERAGEIF(CONSOLIDADO!$B$2:$B999,A6,CONSOLIDADO!$BA$2:$BA999),2)</f>
        <v>12.93</v>
      </c>
      <c r="Z6" s="18">
        <f>ROUND(AVERAGEIF(CONSOLIDADO!$B$2:$B999,A6,CONSOLIDADO!$AV$2:$AV999),2)</f>
        <v>0.88</v>
      </c>
    </row>
    <row r="7">
      <c r="A7" s="60" t="s">
        <v>120</v>
      </c>
      <c r="B7" s="60" t="s">
        <v>120</v>
      </c>
      <c r="C7" s="60" t="s">
        <v>1015</v>
      </c>
      <c r="D7" s="18" t="s">
        <v>1005</v>
      </c>
      <c r="E7" s="18">
        <v>4.0</v>
      </c>
      <c r="F7" s="18"/>
      <c r="G7" s="61">
        <v>1.16</v>
      </c>
      <c r="H7" s="62" t="s">
        <v>1018</v>
      </c>
      <c r="I7" s="62" t="s">
        <v>1019</v>
      </c>
      <c r="J7" s="18" t="s">
        <v>1008</v>
      </c>
      <c r="K7" s="18">
        <v>4.7171889</v>
      </c>
      <c r="L7" s="18">
        <v>-74.0457167</v>
      </c>
      <c r="M7" s="18" t="str">
        <f t="shared" si="1"/>
        <v>4.7171889,-74.0457167</v>
      </c>
      <c r="N7" s="18">
        <f>ROUND(AVERAGEIF(CONSOLIDADO!$B$2:$B$551,A7,CONSOLIDADO!$Q$2:$Q$551),2)</f>
        <v>77.47</v>
      </c>
      <c r="O7" s="18">
        <f>ROUND(AVERAGEIF(CONSOLIDADO!$B$2:$B$551,A7,CONSOLIDADO!$W$2:$W$551),2)</f>
        <v>8.12</v>
      </c>
      <c r="P7" s="18">
        <f>ROUND(AVERAGEIF(CONSOLIDADO!$B$2:$B$551,A7,CONSOLIDADO!$AC$2:$AC$551),2)</f>
        <v>19.53</v>
      </c>
      <c r="Q7" s="18">
        <f>ROUND(AVERAGEIF(CONSOLIDADO!$B$2:$B$551,A7,CONSOLIDADO!$Q$2:$Q$551),2)</f>
        <v>77.47</v>
      </c>
      <c r="R7" s="18">
        <f>ROUND(AVERAGEIF(CONSOLIDADO!$B$2:$B$551,A7,CONSOLIDADO!$AO$2:$AO$551),2)</f>
        <v>3.88</v>
      </c>
      <c r="S7" s="18">
        <f>ROUND(AVERAGEIF(CONSOLIDADO!$B$2:$B$551,A7,CONSOLIDADO!$AP$2:$AP$551),2)</f>
        <v>72.5</v>
      </c>
      <c r="T7" s="18">
        <f>ROUND(AVERAGEIF(CONSOLIDADO!$B$2:$B$551,A7,CONSOLIDADO!$AQ$2:$AQ$551),2)</f>
        <v>137.11</v>
      </c>
      <c r="U7" s="18">
        <f>ROUND(AVERAGEIF(CONSOLIDADO!$B$2:$B$551,A7,CONSOLIDADO!$AR$2:$AR$551),2)</f>
        <v>39.11</v>
      </c>
      <c r="V7" s="18">
        <f>ROUND(AVERAGEIF(CONSOLIDADO!$B$2:$B$551,A7,CONSOLIDADO!$AS$2:$AS$551),2)</f>
        <v>14.19</v>
      </c>
      <c r="W7" s="18">
        <f>ROUND(AVERAGEIF(CONSOLIDADO!$B$2:$B$551,A7,CONSOLIDADO!$AT$2:$AT$551),2)</f>
        <v>1.56</v>
      </c>
      <c r="X7" s="64">
        <f>ROUND(AVERAGEIF(CONSOLIDADO!$B$2:$B$551,A7,CONSOLIDADO!$AX$2:$AX$551),2)</f>
        <v>2888847.67</v>
      </c>
      <c r="Y7" s="18">
        <f>ROUND(AVERAGEIF(CONSOLIDADO!$B$2:$B999,A7,CONSOLIDADO!$BA$2:$BA999),2)</f>
        <v>17.77</v>
      </c>
      <c r="Z7" s="18">
        <f>ROUND(AVERAGEIF(CONSOLIDADO!$B$2:$B999,A7,CONSOLIDADO!$AV$2:$AV999),2)</f>
        <v>1.87</v>
      </c>
    </row>
    <row r="8">
      <c r="A8" s="60" t="s">
        <v>116</v>
      </c>
      <c r="B8" s="60" t="s">
        <v>116</v>
      </c>
      <c r="C8" s="60" t="s">
        <v>1015</v>
      </c>
      <c r="D8" s="18" t="s">
        <v>1005</v>
      </c>
      <c r="E8" s="18">
        <v>4.0</v>
      </c>
      <c r="F8" s="18"/>
      <c r="G8" s="18">
        <f>G7+1.47</f>
        <v>2.63</v>
      </c>
      <c r="H8" s="62" t="s">
        <v>1020</v>
      </c>
      <c r="I8" s="62" t="s">
        <v>1021</v>
      </c>
      <c r="J8" s="18" t="s">
        <v>1008</v>
      </c>
      <c r="K8" s="18">
        <v>4.7059333</v>
      </c>
      <c r="L8" s="18">
        <v>-74.0487111</v>
      </c>
      <c r="M8" s="18" t="str">
        <f t="shared" si="1"/>
        <v>4.7059333,-74.0487111</v>
      </c>
      <c r="N8" s="18">
        <f>ROUND(AVERAGEIF(CONSOLIDADO!$B$2:$B$551,A8,CONSOLIDADO!$Q$2:$Q$551),2)</f>
        <v>116.65</v>
      </c>
      <c r="O8" s="18">
        <f>ROUND(AVERAGEIF(CONSOLIDADO!$B$2:$B$551,A8,CONSOLIDADO!$W$2:$W$551),2)</f>
        <v>8.22</v>
      </c>
      <c r="P8" s="18">
        <f>ROUND(AVERAGEIF(CONSOLIDADO!$B$2:$B$551,A8,CONSOLIDADO!$AC$2:$AC$551),2)</f>
        <v>20.07</v>
      </c>
      <c r="Q8" s="18">
        <f>ROUND(AVERAGEIF(CONSOLIDADO!$B$2:$B$551,A8,CONSOLIDADO!$Q$2:$Q$551),2)</f>
        <v>116.65</v>
      </c>
      <c r="R8" s="18">
        <f>ROUND(AVERAGEIF(CONSOLIDADO!$B$2:$B$551,A8,CONSOLIDADO!$AO$2:$AO$551),2)</f>
        <v>5.43</v>
      </c>
      <c r="S8" s="18">
        <f>ROUND(AVERAGEIF(CONSOLIDADO!$B$2:$B$551,A8,CONSOLIDADO!$AP$2:$AP$551),2)</f>
        <v>34.29</v>
      </c>
      <c r="T8" s="18">
        <f>ROUND(AVERAGEIF(CONSOLIDADO!$B$2:$B$551,A8,CONSOLIDADO!$AQ$2:$AQ$551),2)</f>
        <v>87.59</v>
      </c>
      <c r="U8" s="18">
        <f>ROUND(AVERAGEIF(CONSOLIDADO!$B$2:$B$551,A8,CONSOLIDADO!$AR$2:$AR$551),2)</f>
        <v>30.71</v>
      </c>
      <c r="V8" s="18">
        <f>ROUND(AVERAGEIF(CONSOLIDADO!$B$2:$B$551,A8,CONSOLIDADO!$AS$2:$AS$551),2)</f>
        <v>10.11</v>
      </c>
      <c r="W8" s="18">
        <f>ROUND(AVERAGEIF(CONSOLIDADO!$B$2:$B$551,A8,CONSOLIDADO!$AT$2:$AT$551),2)</f>
        <v>1.16</v>
      </c>
      <c r="X8" s="64">
        <f>ROUND(AVERAGEIF(CONSOLIDADO!$B$2:$B$551,A8,CONSOLIDADO!$AX$2:$AX$551),2)</f>
        <v>2485374.73</v>
      </c>
      <c r="Y8" s="18">
        <f>ROUND(AVERAGEIF(CONSOLIDADO!$B$2:$B999,A8,CONSOLIDADO!$BA$2:$BA999),2)</f>
        <v>18.1</v>
      </c>
      <c r="Z8" s="18">
        <f>ROUND(AVERAGEIF(CONSOLIDADO!$B$2:$B999,A8,CONSOLIDADO!$AV$2:$AV999),2)</f>
        <v>1.69</v>
      </c>
    </row>
    <row r="9">
      <c r="A9" s="60" t="s">
        <v>129</v>
      </c>
      <c r="B9" s="60" t="s">
        <v>129</v>
      </c>
      <c r="C9" s="60" t="s">
        <v>1015</v>
      </c>
      <c r="D9" s="18" t="s">
        <v>1005</v>
      </c>
      <c r="E9" s="18">
        <v>4.0</v>
      </c>
      <c r="F9" s="18"/>
      <c r="G9" s="18">
        <f>G8+1.34</f>
        <v>3.97</v>
      </c>
      <c r="H9" s="62" t="s">
        <v>1022</v>
      </c>
      <c r="I9" s="66" t="s">
        <v>1023</v>
      </c>
      <c r="J9" s="18" t="s">
        <v>1008</v>
      </c>
      <c r="K9" s="18">
        <v>4.7077333</v>
      </c>
      <c r="L9" s="18">
        <v>-74.060075</v>
      </c>
      <c r="M9" s="18" t="str">
        <f t="shared" si="1"/>
        <v>4.7077333,-74.060075</v>
      </c>
      <c r="N9" s="18">
        <f>ROUND(AVERAGEIF(CONSOLIDADO!$B$2:$B$551,A9,CONSOLIDADO!$Q$2:$Q$551),2)</f>
        <v>89.33</v>
      </c>
      <c r="O9" s="18">
        <f>ROUND(AVERAGEIF(CONSOLIDADO!$B$2:$B$551,A9,CONSOLIDADO!$W$2:$W$551),2)</f>
        <v>7.93</v>
      </c>
      <c r="P9" s="18">
        <f>ROUND(AVERAGEIF(CONSOLIDADO!$B$2:$B$551,A9,CONSOLIDADO!$AC$2:$AC$551),2)</f>
        <v>18.98</v>
      </c>
      <c r="Q9" s="18">
        <f>ROUND(AVERAGEIF(CONSOLIDADO!$B$2:$B$551,A9,CONSOLIDADO!$Q$2:$Q$551),2)</f>
        <v>89.33</v>
      </c>
      <c r="R9" s="18">
        <f>ROUND(AVERAGEIF(CONSOLIDADO!$B$2:$B$551,A9,CONSOLIDADO!$AO$2:$AO$551),2)</f>
        <v>4.43</v>
      </c>
      <c r="S9" s="18">
        <f>ROUND(AVERAGEIF(CONSOLIDADO!$B$2:$B$551,A9,CONSOLIDADO!$AP$2:$AP$551),2)</f>
        <v>58.19</v>
      </c>
      <c r="T9" s="18">
        <f>ROUND(AVERAGEIF(CONSOLIDADO!$B$2:$B$551,A9,CONSOLIDADO!$AQ$2:$AQ$551),2)</f>
        <v>136.63</v>
      </c>
      <c r="U9" s="18">
        <f>ROUND(AVERAGEIF(CONSOLIDADO!$B$2:$B$551,A9,CONSOLIDADO!$AR$2:$AR$551),2)</f>
        <v>43.31</v>
      </c>
      <c r="V9" s="18">
        <f>ROUND(AVERAGEIF(CONSOLIDADO!$B$2:$B$551,A9,CONSOLIDADO!$AS$2:$AS$551),2)</f>
        <v>15.17</v>
      </c>
      <c r="W9" s="18">
        <f>ROUND(AVERAGEIF(CONSOLIDADO!$B$2:$B$551,A9,CONSOLIDADO!$AT$2:$AT$551),2)</f>
        <v>2.13</v>
      </c>
      <c r="X9" s="64">
        <f>ROUND(AVERAGEIF(CONSOLIDADO!$B$2:$B$551,A9,CONSOLIDADO!$AX$2:$AX$551),2)</f>
        <v>4429712.07</v>
      </c>
      <c r="Y9" s="18">
        <f>ROUND(AVERAGEIF(CONSOLIDADO!$B$2:$B999,A9,CONSOLIDADO!$BA$2:$BA999),2)</f>
        <v>22.82</v>
      </c>
      <c r="Z9" s="18">
        <f>ROUND(AVERAGEIF(CONSOLIDADO!$B$2:$B999,A9,CONSOLIDADO!$AV$2:$AV999),2)</f>
        <v>2.38</v>
      </c>
    </row>
    <row r="10">
      <c r="A10" s="60" t="s">
        <v>114</v>
      </c>
      <c r="B10" s="60" t="s">
        <v>114</v>
      </c>
      <c r="C10" s="60" t="s">
        <v>1024</v>
      </c>
      <c r="D10" s="18" t="s">
        <v>1005</v>
      </c>
      <c r="E10" s="18">
        <v>4.0</v>
      </c>
      <c r="F10" s="18"/>
      <c r="G10" s="67">
        <v>0.0</v>
      </c>
      <c r="H10" s="62" t="s">
        <v>1025</v>
      </c>
      <c r="I10" s="68" t="s">
        <v>1026</v>
      </c>
      <c r="J10" s="18" t="s">
        <v>1008</v>
      </c>
      <c r="K10" s="18">
        <v>4.7517667</v>
      </c>
      <c r="L10" s="18">
        <v>-74.0531694</v>
      </c>
      <c r="M10" s="18" t="str">
        <f t="shared" si="1"/>
        <v>4.7517667,-74.0531694</v>
      </c>
      <c r="N10" s="18">
        <f>ROUND(AVERAGEIF(CONSOLIDADO!$B$2:$B$551,A10,CONSOLIDADO!$Q$2:$Q$551),2)</f>
        <v>18.09</v>
      </c>
      <c r="O10" s="18">
        <f>ROUND(AVERAGEIF(CONSOLIDADO!$B$2:$B$551,A10,CONSOLIDADO!$W$2:$W$551),2)</f>
        <v>7.29</v>
      </c>
      <c r="P10" s="18">
        <f>ROUND(AVERAGEIF(CONSOLIDADO!$B$2:$B$551,A10,CONSOLIDADO!$AC$2:$AC$551),2)</f>
        <v>18.73</v>
      </c>
      <c r="Q10" s="18">
        <f>ROUND(AVERAGEIF(CONSOLIDADO!$B$2:$B$551,A10,CONSOLIDADO!$Q$2:$Q$551),2)</f>
        <v>18.09</v>
      </c>
      <c r="R10" s="18">
        <f>ROUND(AVERAGEIF(CONSOLIDADO!$B$2:$B$551,A10,CONSOLIDADO!$AO$2:$AO$551),2)</f>
        <v>2.57</v>
      </c>
      <c r="S10" s="18">
        <f>ROUND(AVERAGEIF(CONSOLIDADO!$B$2:$B$551,A10,CONSOLIDADO!$AP$2:$AP$551),2)</f>
        <v>44.09</v>
      </c>
      <c r="T10" s="18">
        <f>ROUND(AVERAGEIF(CONSOLIDADO!$B$2:$B$551,A10,CONSOLIDADO!$AQ$2:$AQ$551),2)</f>
        <v>82.58</v>
      </c>
      <c r="U10" s="18">
        <f>ROUND(AVERAGEIF(CONSOLIDADO!$B$2:$B$551,A10,CONSOLIDADO!$AR$2:$AR$551),2)</f>
        <v>25</v>
      </c>
      <c r="V10" s="18">
        <f>ROUND(AVERAGEIF(CONSOLIDADO!$B$2:$B$551,A10,CONSOLIDADO!$AS$2:$AS$551),2)</f>
        <v>8.24</v>
      </c>
      <c r="W10" s="18">
        <f>ROUND(AVERAGEIF(CONSOLIDADO!$B$2:$B$551,A10,CONSOLIDADO!$AT$2:$AT$551),2)</f>
        <v>0.93</v>
      </c>
      <c r="X10" s="64">
        <f>ROUND(AVERAGEIF(CONSOLIDADO!$B$2:$B$551,A10,CONSOLIDADO!$AX$2:$AX$551),2)</f>
        <v>1693022</v>
      </c>
      <c r="Y10" s="18">
        <f>ROUND(AVERAGEIF(CONSOLIDADO!$B$2:$B999,A10,CONSOLIDADO!$BA$2:$BA999),2)</f>
        <v>14.29</v>
      </c>
      <c r="Z10" s="18">
        <f>ROUND(AVERAGEIF(CONSOLIDADO!$B$2:$B999,A10,CONSOLIDADO!$AV$2:$AV999),2)</f>
        <v>1.31</v>
      </c>
    </row>
    <row r="11">
      <c r="A11" s="60" t="s">
        <v>89</v>
      </c>
      <c r="B11" s="60" t="s">
        <v>89</v>
      </c>
      <c r="C11" s="60" t="s">
        <v>1024</v>
      </c>
      <c r="D11" s="18" t="s">
        <v>1005</v>
      </c>
      <c r="E11" s="18">
        <v>4.0</v>
      </c>
      <c r="F11" s="18"/>
      <c r="G11" s="61">
        <v>2.55</v>
      </c>
      <c r="H11" s="62" t="s">
        <v>1027</v>
      </c>
      <c r="I11" s="66" t="s">
        <v>1028</v>
      </c>
      <c r="J11" s="18" t="s">
        <v>1008</v>
      </c>
      <c r="K11" s="18">
        <v>4.7290389</v>
      </c>
      <c r="L11" s="18">
        <v>-74.0563944</v>
      </c>
      <c r="M11" s="18" t="str">
        <f t="shared" si="1"/>
        <v>4.7290389,-74.0563944</v>
      </c>
      <c r="N11" s="18">
        <f>ROUND(AVERAGEIF(CONSOLIDADO!$B$2:$B$551,A11,CONSOLIDADO!$Q$2:$Q$551),2)</f>
        <v>84.68</v>
      </c>
      <c r="O11" s="18">
        <f>ROUND(AVERAGEIF(CONSOLIDADO!$B$2:$B$551,A11,CONSOLIDADO!$W$2:$W$551),2)</f>
        <v>7.83</v>
      </c>
      <c r="P11" s="18">
        <f>ROUND(AVERAGEIF(CONSOLIDADO!$B$2:$B$551,A11,CONSOLIDADO!$AC$2:$AC$551),2)</f>
        <v>19.53</v>
      </c>
      <c r="Q11" s="18">
        <f>ROUND(AVERAGEIF(CONSOLIDADO!$B$2:$B$551,A11,CONSOLIDADO!$Q$2:$Q$551),2)</f>
        <v>84.68</v>
      </c>
      <c r="R11" s="18">
        <f>ROUND(AVERAGEIF(CONSOLIDADO!$B$2:$B$551,A11,CONSOLIDADO!$AO$2:$AO$551),2)</f>
        <v>4.88</v>
      </c>
      <c r="S11" s="18">
        <f>ROUND(AVERAGEIF(CONSOLIDADO!$B$2:$B$551,A11,CONSOLIDADO!$AP$2:$AP$551),2)</f>
        <v>30.51</v>
      </c>
      <c r="T11" s="18">
        <f>ROUND(AVERAGEIF(CONSOLIDADO!$B$2:$B$551,A11,CONSOLIDADO!$AQ$2:$AQ$551),2)</f>
        <v>87.51</v>
      </c>
      <c r="U11" s="18">
        <f>ROUND(AVERAGEIF(CONSOLIDADO!$B$2:$B$551,A11,CONSOLIDADO!$AR$2:$AR$551),2)</f>
        <v>90.87</v>
      </c>
      <c r="V11" s="18">
        <f>ROUND(AVERAGEIF(CONSOLIDADO!$B$2:$B$551,A11,CONSOLIDADO!$AS$2:$AS$551),2)</f>
        <v>8.31</v>
      </c>
      <c r="W11" s="18">
        <f>ROUND(AVERAGEIF(CONSOLIDADO!$B$2:$B$551,A11,CONSOLIDADO!$AT$2:$AT$551),2)</f>
        <v>0.86</v>
      </c>
      <c r="X11" s="64">
        <f>ROUND(AVERAGEIF(CONSOLIDADO!$B$2:$B$551,A11,CONSOLIDADO!$AX$2:$AX$551),2)</f>
        <v>1315544</v>
      </c>
      <c r="Y11" s="18">
        <f>ROUND(AVERAGEIF(CONSOLIDADO!$B$2:$B999,A11,CONSOLIDADO!$BA$2:$BA999),2)</f>
        <v>12.83</v>
      </c>
      <c r="Z11" s="18">
        <f>ROUND(AVERAGEIF(CONSOLIDADO!$B$2:$B999,A11,CONSOLIDADO!$AV$2:$AV999),2)</f>
        <v>0.83</v>
      </c>
    </row>
    <row r="12">
      <c r="A12" s="60" t="s">
        <v>81</v>
      </c>
      <c r="B12" s="60" t="s">
        <v>81</v>
      </c>
      <c r="C12" s="60" t="s">
        <v>1024</v>
      </c>
      <c r="D12" s="18" t="s">
        <v>1005</v>
      </c>
      <c r="E12" s="18">
        <v>4.0</v>
      </c>
      <c r="F12" s="18"/>
      <c r="G12" s="62">
        <f>G11+1.55</f>
        <v>4.1</v>
      </c>
      <c r="H12" s="62" t="s">
        <v>1029</v>
      </c>
      <c r="I12" s="69" t="s">
        <v>1030</v>
      </c>
      <c r="J12" s="18" t="s">
        <v>1008</v>
      </c>
      <c r="K12" s="18">
        <v>4.7168639</v>
      </c>
      <c r="L12" s="18">
        <v>-74.0618722</v>
      </c>
      <c r="M12" s="18" t="str">
        <f t="shared" si="1"/>
        <v>4.7168639,-74.0618722</v>
      </c>
      <c r="N12" s="18">
        <f>ROUND(AVERAGEIF(CONSOLIDADO!$B$2:$B$551,A12,CONSOLIDADO!$Q$2:$Q$551),2)</f>
        <v>113.94</v>
      </c>
      <c r="O12" s="18">
        <f>ROUND(AVERAGEIF(CONSOLIDADO!$B$2:$B$551,A12,CONSOLIDADO!$W$2:$W$551),2)</f>
        <v>8.26</v>
      </c>
      <c r="P12" s="18">
        <f>ROUND(AVERAGEIF(CONSOLIDADO!$B$2:$B$551,A12,CONSOLIDADO!$AC$2:$AC$551),2)</f>
        <v>20.18</v>
      </c>
      <c r="Q12" s="18">
        <f>ROUND(AVERAGEIF(CONSOLIDADO!$B$2:$B$551,A12,CONSOLIDADO!$Q$2:$Q$551),2)</f>
        <v>113.94</v>
      </c>
      <c r="R12" s="18">
        <f>ROUND(AVERAGEIF(CONSOLIDADO!$B$2:$B$551,A12,CONSOLIDADO!$AO$2:$AO$551),2)</f>
        <v>5.57</v>
      </c>
      <c r="S12" s="18">
        <f>ROUND(AVERAGEIF(CONSOLIDADO!$B$2:$B$551,A12,CONSOLIDADO!$AP$2:$AP$551),2)</f>
        <v>29.37</v>
      </c>
      <c r="T12" s="18">
        <f>ROUND(AVERAGEIF(CONSOLIDADO!$B$2:$B$551,A12,CONSOLIDADO!$AQ$2:$AQ$551),2)</f>
        <v>76.96</v>
      </c>
      <c r="U12" s="18">
        <f>ROUND(AVERAGEIF(CONSOLIDADO!$B$2:$B$551,A12,CONSOLIDADO!$AR$2:$AR$551),2)</f>
        <v>36.83</v>
      </c>
      <c r="V12" s="18">
        <f>ROUND(AVERAGEIF(CONSOLIDADO!$B$2:$B$551,A12,CONSOLIDADO!$AS$2:$AS$551),2)</f>
        <v>7.25</v>
      </c>
      <c r="W12" s="18">
        <f>ROUND(AVERAGEIF(CONSOLIDADO!$B$2:$B$551,A12,CONSOLIDADO!$AT$2:$AT$551),2)</f>
        <v>0.82</v>
      </c>
      <c r="X12" s="64">
        <f>ROUND(AVERAGEIF(CONSOLIDADO!$B$2:$B$551,A12,CONSOLIDADO!$AX$2:$AX$551),2)</f>
        <v>1145723</v>
      </c>
      <c r="Y12" s="18">
        <f>ROUND(AVERAGEIF(CONSOLIDADO!$B$2:$B999,A12,CONSOLIDADO!$BA$2:$BA999),2)</f>
        <v>11.88</v>
      </c>
      <c r="Z12" s="18">
        <f>ROUND(AVERAGEIF(CONSOLIDADO!$B$2:$B999,A12,CONSOLIDADO!$AV$2:$AV999),2)</f>
        <v>0.82</v>
      </c>
    </row>
    <row r="13">
      <c r="A13" s="60" t="s">
        <v>87</v>
      </c>
      <c r="B13" s="60" t="s">
        <v>87</v>
      </c>
      <c r="C13" s="60" t="s">
        <v>1024</v>
      </c>
      <c r="D13" s="18" t="s">
        <v>1005</v>
      </c>
      <c r="E13" s="18">
        <v>4.0</v>
      </c>
      <c r="F13" s="18"/>
      <c r="G13" s="18">
        <f>G12+2.14</f>
        <v>6.24</v>
      </c>
      <c r="H13" s="62" t="s">
        <v>1031</v>
      </c>
      <c r="I13" s="62" t="s">
        <v>1032</v>
      </c>
      <c r="J13" s="18" t="s">
        <v>1008</v>
      </c>
      <c r="K13" s="18">
        <v>4.7020667</v>
      </c>
      <c r="L13" s="18">
        <v>-74.0705083</v>
      </c>
      <c r="M13" s="18" t="str">
        <f t="shared" si="1"/>
        <v>4.7020667,-74.0705083</v>
      </c>
      <c r="N13" s="18">
        <f>ROUND(AVERAGEIF(CONSOLIDADO!$B$2:$B$551,A13,CONSOLIDADO!$Q$2:$Q$551),2)</f>
        <v>625.98</v>
      </c>
      <c r="O13" s="18">
        <f>ROUND(AVERAGEIF(CONSOLIDADO!$B$2:$B$551,A13,CONSOLIDADO!$W$2:$W$551),2)</f>
        <v>7.3</v>
      </c>
      <c r="P13" s="18">
        <f>ROUND(AVERAGEIF(CONSOLIDADO!$B$2:$B$551,A13,CONSOLIDADO!$AC$2:$AC$551),2)</f>
        <v>17.04</v>
      </c>
      <c r="Q13" s="18">
        <f>ROUND(AVERAGEIF(CONSOLIDADO!$B$2:$B$551,A13,CONSOLIDADO!$Q$2:$Q$551),2)</f>
        <v>625.98</v>
      </c>
      <c r="R13" s="18">
        <f>ROUND(AVERAGEIF(CONSOLIDADO!$B$2:$B$551,A13,CONSOLIDADO!$AO$2:$AO$551),2)</f>
        <v>1.21</v>
      </c>
      <c r="S13" s="18">
        <f>ROUND(AVERAGEIF(CONSOLIDADO!$B$2:$B$551,A13,CONSOLIDADO!$AP$2:$AP$551),2)</f>
        <v>49.38</v>
      </c>
      <c r="T13" s="18">
        <f>ROUND(AVERAGEIF(CONSOLIDADO!$B$2:$B$551,A13,CONSOLIDADO!$AQ$2:$AQ$551),2)</f>
        <v>133</v>
      </c>
      <c r="U13" s="18">
        <f>ROUND(AVERAGEIF(CONSOLIDADO!$B$2:$B$551,A13,CONSOLIDADO!$AR$2:$AR$551),2)</f>
        <v>45.89</v>
      </c>
      <c r="V13" s="18">
        <f>ROUND(AVERAGEIF(CONSOLIDADO!$B$2:$B$551,A13,CONSOLIDADO!$AS$2:$AS$551),2)</f>
        <v>13.01</v>
      </c>
      <c r="W13" s="18">
        <f>ROUND(AVERAGEIF(CONSOLIDADO!$B$2:$B$551,A13,CONSOLIDADO!$AT$2:$AT$551),2)</f>
        <v>1.6</v>
      </c>
      <c r="X13" s="64">
        <f>ROUND(AVERAGEIF(CONSOLIDADO!$B$2:$B$551,A13,CONSOLIDADO!$AX$2:$AX$551),2)</f>
        <v>11187869.29</v>
      </c>
      <c r="Y13" s="18">
        <f>ROUND(AVERAGEIF(CONSOLIDADO!$B$2:$B999,A13,CONSOLIDADO!$BA$2:$BA999),2)</f>
        <v>16.72</v>
      </c>
      <c r="Z13" s="18">
        <f>ROUND(AVERAGEIF(CONSOLIDADO!$B$2:$B999,A13,CONSOLIDADO!$AV$2:$AV999),2)</f>
        <v>2.24</v>
      </c>
    </row>
    <row r="14">
      <c r="A14" s="60" t="s">
        <v>91</v>
      </c>
      <c r="B14" s="60" t="s">
        <v>91</v>
      </c>
      <c r="C14" s="60" t="s">
        <v>1024</v>
      </c>
      <c r="D14" s="18" t="s">
        <v>1005</v>
      </c>
      <c r="E14" s="18">
        <v>4.0</v>
      </c>
      <c r="F14" s="18"/>
      <c r="G14" s="18">
        <f>G13+1.2</f>
        <v>7.44</v>
      </c>
      <c r="H14" s="62" t="s">
        <v>1033</v>
      </c>
      <c r="I14" s="62" t="s">
        <v>1034</v>
      </c>
      <c r="J14" s="18" t="s">
        <v>1008</v>
      </c>
      <c r="K14" s="18">
        <v>4.7057361</v>
      </c>
      <c r="L14" s="18">
        <v>-74.0875</v>
      </c>
      <c r="M14" s="18" t="str">
        <f t="shared" si="1"/>
        <v>4.7057361,-74.0875</v>
      </c>
      <c r="N14" s="18">
        <f>ROUND(AVERAGEIF(CONSOLIDADO!$B$2:$B$551,A14,CONSOLIDADO!$Q$2:$Q$551),2)</f>
        <v>447.43</v>
      </c>
      <c r="O14" s="18">
        <f>ROUND(AVERAGEIF(CONSOLIDADO!$B$2:$B$551,A14,CONSOLIDADO!$W$2:$W$551),2)</f>
        <v>7.29</v>
      </c>
      <c r="P14" s="18">
        <f>ROUND(AVERAGEIF(CONSOLIDADO!$B$2:$B$551,A14,CONSOLIDADO!$AC$2:$AC$551),2)</f>
        <v>16.61</v>
      </c>
      <c r="Q14" s="18">
        <f>ROUND(AVERAGEIF(CONSOLIDADO!$B$2:$B$551,A14,CONSOLIDADO!$Q$2:$Q$551),2)</f>
        <v>447.43</v>
      </c>
      <c r="R14" s="18">
        <f>ROUND(AVERAGEIF(CONSOLIDADO!$B$2:$B$551,A14,CONSOLIDADO!$AO$2:$AO$551),2)</f>
        <v>0.95</v>
      </c>
      <c r="S14" s="18">
        <f>ROUND(AVERAGEIF(CONSOLIDADO!$B$2:$B$551,A14,CONSOLIDADO!$AP$2:$AP$551),2)</f>
        <v>50.45</v>
      </c>
      <c r="T14" s="18">
        <f>ROUND(AVERAGEIF(CONSOLIDADO!$B$2:$B$551,A14,CONSOLIDADO!$AQ$2:$AQ$551),2)</f>
        <v>114.07</v>
      </c>
      <c r="U14" s="18">
        <f>ROUND(AVERAGEIF(CONSOLIDADO!$B$2:$B$551,A14,CONSOLIDADO!$AR$2:$AR$551),2)</f>
        <v>29.23</v>
      </c>
      <c r="V14" s="18">
        <f>ROUND(AVERAGEIF(CONSOLIDADO!$B$2:$B$551,A14,CONSOLIDADO!$AS$2:$AS$551),2)</f>
        <v>6.67</v>
      </c>
      <c r="W14" s="18">
        <f>ROUND(AVERAGEIF(CONSOLIDADO!$B$2:$B$551,A14,CONSOLIDADO!$AT$2:$AT$551),2)</f>
        <v>1.88</v>
      </c>
      <c r="X14" s="64">
        <f>ROUND(AVERAGEIF(CONSOLIDADO!$B$2:$B$551,A14,CONSOLIDADO!$AX$2:$AX$551),2)</f>
        <v>2487598.87</v>
      </c>
      <c r="Y14" s="18">
        <f>ROUND(AVERAGEIF(CONSOLIDADO!$B$2:$B999,A14,CONSOLIDADO!$BA$2:$BA999),2)</f>
        <v>18.32</v>
      </c>
      <c r="Z14" s="18">
        <f>ROUND(AVERAGEIF(CONSOLIDADO!$B$2:$B999,A14,CONSOLIDADO!$AV$2:$AV999),2)</f>
        <v>2.13</v>
      </c>
    </row>
    <row r="15">
      <c r="A15" s="60" t="s">
        <v>95</v>
      </c>
      <c r="B15" s="60" t="s">
        <v>95</v>
      </c>
      <c r="C15" s="60" t="s">
        <v>1035</v>
      </c>
      <c r="D15" s="18" t="s">
        <v>1005</v>
      </c>
      <c r="E15" s="18">
        <v>3.0</v>
      </c>
      <c r="F15" s="18"/>
      <c r="G15" s="61">
        <v>0.0</v>
      </c>
      <c r="H15" s="62" t="s">
        <v>1036</v>
      </c>
      <c r="I15" s="62" t="s">
        <v>1037</v>
      </c>
      <c r="J15" s="18" t="s">
        <v>1008</v>
      </c>
      <c r="K15" s="18">
        <v>4.6688139</v>
      </c>
      <c r="L15" s="18">
        <v>-74.0454944</v>
      </c>
      <c r="M15" s="18" t="str">
        <f t="shared" si="1"/>
        <v>4.6688139,-74.0454944</v>
      </c>
      <c r="N15" s="18">
        <f>ROUND(AVERAGEIF(CONSOLIDADO!$B$2:$B$551,A15,CONSOLIDADO!$Q$2:$Q$551),2)</f>
        <v>3.95</v>
      </c>
      <c r="O15" s="18">
        <f>ROUND(AVERAGEIF(CONSOLIDADO!$B$2:$B$551,A15,CONSOLIDADO!$W$2:$W$551),2)</f>
        <v>7.56</v>
      </c>
      <c r="P15" s="18">
        <f>ROUND(AVERAGEIF(CONSOLIDADO!$B$2:$B$551,A15,CONSOLIDADO!$AC$2:$AC$551),2)</f>
        <v>16.05</v>
      </c>
      <c r="Q15" s="18">
        <f>ROUND(AVERAGEIF(CONSOLIDADO!$B$2:$B$551,A15,CONSOLIDADO!$Q$2:$Q$551),2)</f>
        <v>3.95</v>
      </c>
      <c r="R15" s="18">
        <f>ROUND(AVERAGEIF(CONSOLIDADO!$B$2:$B$551,A15,CONSOLIDADO!$AO$2:$AO$551),2)</f>
        <v>4.86</v>
      </c>
      <c r="S15" s="18">
        <f>ROUND(AVERAGEIF(CONSOLIDADO!$B$2:$B$551,A15,CONSOLIDADO!$AP$2:$AP$551),2)</f>
        <v>65.48</v>
      </c>
      <c r="T15" s="18">
        <f>ROUND(AVERAGEIF(CONSOLIDADO!$B$2:$B$551,A15,CONSOLIDADO!$AQ$2:$AQ$551),2)</f>
        <v>143.74</v>
      </c>
      <c r="U15" s="18">
        <f>ROUND(AVERAGEIF(CONSOLIDADO!$B$2:$B$551,A15,CONSOLIDADO!$AR$2:$AR$551),2)</f>
        <v>44.73</v>
      </c>
      <c r="V15" s="18">
        <f>ROUND(AVERAGEIF(CONSOLIDADO!$B$2:$B$551,A15,CONSOLIDADO!$AS$2:$AS$551),2)</f>
        <v>21.62</v>
      </c>
      <c r="W15" s="18">
        <f>ROUND(AVERAGEIF(CONSOLIDADO!$B$2:$B$551,A15,CONSOLIDADO!$AT$2:$AT$551),2)</f>
        <v>3.19</v>
      </c>
      <c r="X15" s="64">
        <f>ROUND(AVERAGEIF(CONSOLIDADO!$B$2:$B$551,A15,CONSOLIDADO!$AX$2:$AX$551),2)</f>
        <v>4927770</v>
      </c>
      <c r="Y15" s="18">
        <f>ROUND(AVERAGEIF(CONSOLIDADO!$B$2:$B999,A15,CONSOLIDADO!$BA$2:$BA999),2)</f>
        <v>11.75</v>
      </c>
      <c r="Z15" s="18">
        <f>ROUND(AVERAGEIF(CONSOLIDADO!$B$2:$B999,A15,CONSOLIDADO!$AV$2:$AV999),2)</f>
        <v>1.45</v>
      </c>
    </row>
    <row r="16">
      <c r="A16" s="60" t="s">
        <v>97</v>
      </c>
      <c r="B16" s="60" t="s">
        <v>97</v>
      </c>
      <c r="C16" s="60" t="s">
        <v>1035</v>
      </c>
      <c r="D16" s="18" t="s">
        <v>1005</v>
      </c>
      <c r="E16" s="18">
        <v>3.0</v>
      </c>
      <c r="F16" s="18"/>
      <c r="G16" s="61">
        <v>0.95</v>
      </c>
      <c r="H16" s="62" t="s">
        <v>1038</v>
      </c>
      <c r="I16" s="65" t="s">
        <v>1039</v>
      </c>
      <c r="J16" s="18" t="s">
        <v>1008</v>
      </c>
      <c r="K16" s="18">
        <v>4.6747944</v>
      </c>
      <c r="L16" s="18">
        <v>-74.057875</v>
      </c>
      <c r="M16" s="18" t="str">
        <f t="shared" si="1"/>
        <v>4.6747944,-74.057875</v>
      </c>
      <c r="N16" s="18">
        <f>ROUND(AVERAGEIF(CONSOLIDADO!$B$2:$B$551,A16,CONSOLIDADO!$Q$2:$Q$551),2)</f>
        <v>97.1</v>
      </c>
      <c r="O16" s="18">
        <f>ROUND(AVERAGEIF(CONSOLIDADO!$B$2:$B$551,A16,CONSOLIDADO!$W$2:$W$551),2)</f>
        <v>7.75</v>
      </c>
      <c r="P16" s="18">
        <f>ROUND(AVERAGEIF(CONSOLIDADO!$B$2:$B$551,A16,CONSOLIDADO!$AC$2:$AC$551),2)</f>
        <v>17.56</v>
      </c>
      <c r="Q16" s="18">
        <f>ROUND(AVERAGEIF(CONSOLIDADO!$B$2:$B$551,A16,CONSOLIDADO!$Q$2:$Q$551),2)</f>
        <v>97.1</v>
      </c>
      <c r="R16" s="18">
        <f>ROUND(AVERAGEIF(CONSOLIDADO!$B$2:$B$551,A16,CONSOLIDADO!$AO$2:$AO$551),2)</f>
        <v>3.34</v>
      </c>
      <c r="S16" s="18">
        <f>ROUND(AVERAGEIF(CONSOLIDADO!$B$2:$B$551,A16,CONSOLIDADO!$AP$2:$AP$551),2)</f>
        <v>106.58</v>
      </c>
      <c r="T16" s="18">
        <f>ROUND(AVERAGEIF(CONSOLIDADO!$B$2:$B$551,A16,CONSOLIDADO!$AQ$2:$AQ$551),2)</f>
        <v>197.81</v>
      </c>
      <c r="U16" s="18">
        <f>ROUND(AVERAGEIF(CONSOLIDADO!$B$2:$B$551,A16,CONSOLIDADO!$AR$2:$AR$551),2)</f>
        <v>88.98</v>
      </c>
      <c r="V16" s="18">
        <f>ROUND(AVERAGEIF(CONSOLIDADO!$B$2:$B$551,A16,CONSOLIDADO!$AS$2:$AS$551),2)</f>
        <v>28.71</v>
      </c>
      <c r="W16" s="18">
        <f>ROUND(AVERAGEIF(CONSOLIDADO!$B$2:$B$551,A16,CONSOLIDADO!$AT$2:$AT$551),2)</f>
        <v>3.35</v>
      </c>
      <c r="X16" s="64">
        <f>ROUND(AVERAGEIF(CONSOLIDADO!$B$2:$B$551,A16,CONSOLIDADO!$AX$2:$AX$551),2)</f>
        <v>5833316.31</v>
      </c>
      <c r="Y16" s="18">
        <f>ROUND(AVERAGEIF(CONSOLIDADO!$B$2:$B999,A16,CONSOLIDADO!$BA$2:$BA999),2)</f>
        <v>25.44</v>
      </c>
      <c r="Z16" s="18">
        <f>ROUND(AVERAGEIF(CONSOLIDADO!$B$2:$B999,A16,CONSOLIDADO!$AV$2:$AV999),2)</f>
        <v>2.85</v>
      </c>
    </row>
    <row r="17">
      <c r="A17" s="60" t="s">
        <v>85</v>
      </c>
      <c r="B17" s="60" t="s">
        <v>85</v>
      </c>
      <c r="C17" s="60" t="s">
        <v>1035</v>
      </c>
      <c r="D17" s="18" t="s">
        <v>1005</v>
      </c>
      <c r="E17" s="18">
        <v>3.0</v>
      </c>
      <c r="F17" s="18"/>
      <c r="G17" s="18">
        <f>G16+0.41</f>
        <v>1.36</v>
      </c>
      <c r="H17" s="62" t="s">
        <v>1040</v>
      </c>
      <c r="I17" s="62" t="s">
        <v>1041</v>
      </c>
      <c r="J17" s="18" t="s">
        <v>1008</v>
      </c>
      <c r="K17" s="18">
        <v>4.6781611</v>
      </c>
      <c r="L17" s="18">
        <v>-74.0614111</v>
      </c>
      <c r="M17" s="18" t="str">
        <f t="shared" si="1"/>
        <v>4.6781611,-74.0614111</v>
      </c>
      <c r="N17" s="18">
        <f>ROUND(AVERAGEIF(CONSOLIDADO!$B$2:$B$551,A17,CONSOLIDADO!$Q$2:$Q$551),2)</f>
        <v>326.11</v>
      </c>
      <c r="O17" s="18">
        <f>ROUND(AVERAGEIF(CONSOLIDADO!$B$2:$B$551,A17,CONSOLIDADO!$W$2:$W$551),2)</f>
        <v>8.09</v>
      </c>
      <c r="P17" s="18">
        <f>ROUND(AVERAGEIF(CONSOLIDADO!$B$2:$B$551,A17,CONSOLIDADO!$AC$2:$AC$551),2)</f>
        <v>19.24</v>
      </c>
      <c r="Q17" s="18">
        <f>ROUND(AVERAGEIF(CONSOLIDADO!$B$2:$B$551,A17,CONSOLIDADO!$Q$2:$Q$551),2)</f>
        <v>326.11</v>
      </c>
      <c r="R17" s="18">
        <f>ROUND(AVERAGEIF(CONSOLIDADO!$B$2:$B$551,A17,CONSOLIDADO!$AO$2:$AO$551),2)</f>
        <v>1.39</v>
      </c>
      <c r="S17" s="18">
        <f>ROUND(AVERAGEIF(CONSOLIDADO!$B$2:$B$551,A17,CONSOLIDADO!$AP$2:$AP$551),2)</f>
        <v>214.44</v>
      </c>
      <c r="T17" s="18">
        <f>ROUND(AVERAGEIF(CONSOLIDADO!$B$2:$B$551,A17,CONSOLIDADO!$AQ$2:$AQ$551),2)</f>
        <v>406.23</v>
      </c>
      <c r="U17" s="18">
        <f>ROUND(AVERAGEIF(CONSOLIDADO!$B$2:$B$551,A17,CONSOLIDADO!$AR$2:$AR$551),2)</f>
        <v>149.81</v>
      </c>
      <c r="V17" s="18">
        <f>ROUND(AVERAGEIF(CONSOLIDADO!$B$2:$B$551,A17,CONSOLIDADO!$AS$2:$AS$551),2)</f>
        <v>56.76</v>
      </c>
      <c r="W17" s="18">
        <f>ROUND(AVERAGEIF(CONSOLIDADO!$B$2:$B$551,A17,CONSOLIDADO!$AT$2:$AT$551),2)</f>
        <v>5.23</v>
      </c>
      <c r="X17" s="64">
        <f>ROUND(AVERAGEIF(CONSOLIDADO!$B$2:$B$551,A17,CONSOLIDADO!$AX$2:$AX$551),2)</f>
        <v>3640718.19</v>
      </c>
      <c r="Y17" s="18">
        <f>ROUND(AVERAGEIF(CONSOLIDADO!$B$2:$B999,A17,CONSOLIDADO!$BA$2:$BA999),2)</f>
        <v>36.99</v>
      </c>
      <c r="Z17" s="18">
        <f>ROUND(AVERAGEIF(CONSOLIDADO!$B$2:$B999,A17,CONSOLIDADO!$AV$2:$AV999),2)</f>
        <v>4.13</v>
      </c>
    </row>
    <row r="18">
      <c r="A18" s="60" t="s">
        <v>63</v>
      </c>
      <c r="B18" s="60" t="s">
        <v>63</v>
      </c>
      <c r="C18" s="60" t="s">
        <v>1035</v>
      </c>
      <c r="D18" s="18" t="s">
        <v>1005</v>
      </c>
      <c r="E18" s="18">
        <v>3.0</v>
      </c>
      <c r="F18" s="18"/>
      <c r="G18" s="18">
        <f>G17+0.78</f>
        <v>2.14</v>
      </c>
      <c r="H18" s="70" t="s">
        <v>1042</v>
      </c>
      <c r="I18" s="62" t="s">
        <v>1043</v>
      </c>
      <c r="J18" s="18" t="s">
        <v>1008</v>
      </c>
      <c r="K18" s="18">
        <v>4.6832167</v>
      </c>
      <c r="L18" s="18">
        <v>-74.0709722</v>
      </c>
      <c r="M18" s="18" t="str">
        <f t="shared" si="1"/>
        <v>4.6832167,-74.0709722</v>
      </c>
      <c r="N18" s="18">
        <f>ROUND(AVERAGEIF(CONSOLIDADO!$B$2:$B$551,A18,CONSOLIDADO!$Q$2:$Q$551),2)</f>
        <v>436.38</v>
      </c>
      <c r="O18" s="18">
        <f>ROUND(AVERAGEIF(CONSOLIDADO!$B$2:$B$551,A18,CONSOLIDADO!$W$2:$W$551),2)</f>
        <v>8</v>
      </c>
      <c r="P18" s="18">
        <f>ROUND(AVERAGEIF(CONSOLIDADO!$B$2:$B$551,A18,CONSOLIDADO!$AC$2:$AC$551),2)</f>
        <v>19.51</v>
      </c>
      <c r="Q18" s="18">
        <f>ROUND(AVERAGEIF(CONSOLIDADO!$B$2:$B$551,A18,CONSOLIDADO!$Q$2:$Q$551),2)</f>
        <v>436.38</v>
      </c>
      <c r="R18" s="18">
        <f>ROUND(AVERAGEIF(CONSOLIDADO!$B$2:$B$551,A18,CONSOLIDADO!$AO$2:$AO$551),2)</f>
        <v>1.03</v>
      </c>
      <c r="S18" s="18">
        <f>ROUND(AVERAGEIF(CONSOLIDADO!$B$2:$B$551,A18,CONSOLIDADO!$AP$2:$AP$551),2)</f>
        <v>170.88</v>
      </c>
      <c r="T18" s="18">
        <f>ROUND(AVERAGEIF(CONSOLIDADO!$B$2:$B$551,A18,CONSOLIDADO!$AQ$2:$AQ$551),2)</f>
        <v>313.62</v>
      </c>
      <c r="U18" s="18">
        <f>ROUND(AVERAGEIF(CONSOLIDADO!$B$2:$B$551,A18,CONSOLIDADO!$AR$2:$AR$551),2)</f>
        <v>121.04</v>
      </c>
      <c r="V18" s="18">
        <f>ROUND(AVERAGEIF(CONSOLIDADO!$B$2:$B$551,A18,CONSOLIDADO!$AS$2:$AS$551),2)</f>
        <v>47.8</v>
      </c>
      <c r="W18" s="18">
        <f>ROUND(AVERAGEIF(CONSOLIDADO!$B$2:$B$551,A18,CONSOLIDADO!$AT$2:$AT$551),2)</f>
        <v>4.39</v>
      </c>
      <c r="X18" s="64">
        <f>ROUND(AVERAGEIF(CONSOLIDADO!$B$2:$B$551,A18,CONSOLIDADO!$AX$2:$AX$551),2)</f>
        <v>5735062.56</v>
      </c>
      <c r="Y18" s="18">
        <f>ROUND(AVERAGEIF(CONSOLIDADO!$B$2:$B999,A18,CONSOLIDADO!$BA$2:$BA999),2)</f>
        <v>46.33</v>
      </c>
      <c r="Z18" s="18">
        <f>ROUND(AVERAGEIF(CONSOLIDADO!$B$2:$B999,A18,CONSOLIDADO!$AV$2:$AV999),2)</f>
        <v>4.64</v>
      </c>
    </row>
    <row r="19">
      <c r="A19" s="60" t="s">
        <v>145</v>
      </c>
      <c r="B19" s="60" t="s">
        <v>145</v>
      </c>
      <c r="C19" s="60" t="s">
        <v>1044</v>
      </c>
      <c r="D19" s="18" t="s">
        <v>1045</v>
      </c>
      <c r="E19" s="18">
        <v>2.0</v>
      </c>
      <c r="F19" s="18"/>
      <c r="G19" s="61">
        <v>0.0</v>
      </c>
      <c r="H19" s="62" t="s">
        <v>1046</v>
      </c>
      <c r="I19" s="62" t="s">
        <v>1047</v>
      </c>
      <c r="J19" s="18" t="s">
        <v>1008</v>
      </c>
      <c r="K19" s="18">
        <v>4.4957972</v>
      </c>
      <c r="L19" s="18">
        <v>-74.1078722</v>
      </c>
      <c r="M19" s="18" t="str">
        <f t="shared" si="1"/>
        <v>4.4957972,-74.1078722</v>
      </c>
      <c r="N19" s="18">
        <f>ROUND(AVERAGEIF(CONSOLIDADO!$B$2:$B$551,A19,CONSOLIDADO!$Q$2:$Q$551),2)</f>
        <v>1.95</v>
      </c>
      <c r="O19" s="18">
        <f>ROUND(AVERAGEIF(CONSOLIDADO!$B$2:$B$551,A19,CONSOLIDADO!$W$2:$W$551),2)</f>
        <v>8.32</v>
      </c>
      <c r="P19" s="18">
        <f>ROUND(AVERAGEIF(CONSOLIDADO!$B$2:$B$551,A19,CONSOLIDADO!$AC$2:$AC$551),2)</f>
        <v>15.34</v>
      </c>
      <c r="Q19" s="18">
        <f>ROUND(AVERAGEIF(CONSOLIDADO!$B$2:$B$551,A19,CONSOLIDADO!$Q$2:$Q$551),2)</f>
        <v>1.95</v>
      </c>
      <c r="R19" s="18">
        <f>ROUND(AVERAGEIF(CONSOLIDADO!$B$2:$B$551,A19,CONSOLIDADO!$AO$2:$AO$551),2)</f>
        <v>4.48</v>
      </c>
      <c r="S19" s="18">
        <f>ROUND(AVERAGEIF(CONSOLIDADO!$B$2:$B$551,A19,CONSOLIDADO!$AP$2:$AP$551),2)</f>
        <v>240.89</v>
      </c>
      <c r="T19" s="18">
        <f>ROUND(AVERAGEIF(CONSOLIDADO!$B$2:$B$551,A19,CONSOLIDADO!$AQ$2:$AQ$551),2)</f>
        <v>492.6</v>
      </c>
      <c r="U19" s="18">
        <f>ROUND(AVERAGEIF(CONSOLIDADO!$B$2:$B$551,A19,CONSOLIDADO!$AR$2:$AR$551),2)</f>
        <v>336.86</v>
      </c>
      <c r="V19" s="18">
        <f>ROUND(AVERAGEIF(CONSOLIDADO!$B$2:$B$551,A19,CONSOLIDADO!$AS$2:$AS$551),2)</f>
        <v>44.95</v>
      </c>
      <c r="W19" s="18">
        <f>ROUND(AVERAGEIF(CONSOLIDADO!$B$2:$B$551,A19,CONSOLIDADO!$AT$2:$AT$551),2)</f>
        <v>2.14</v>
      </c>
      <c r="X19" s="64">
        <f>ROUND(AVERAGEIF(CONSOLIDADO!$B$2:$B$551,A19,CONSOLIDADO!$AX$2:$AX$551),2)</f>
        <v>36712638.38</v>
      </c>
      <c r="Y19" s="18">
        <f>ROUND(AVERAGEIF(CONSOLIDADO!$B$2:$B999,A19,CONSOLIDADO!$BA$2:$BA999),2)</f>
        <v>22.92</v>
      </c>
      <c r="Z19" s="18">
        <f>ROUND(AVERAGEIF(CONSOLIDADO!$B$2:$B999,A19,CONSOLIDADO!$AV$2:$AV999),2)</f>
        <v>2.33</v>
      </c>
    </row>
    <row r="20">
      <c r="A20" s="60" t="s">
        <v>138</v>
      </c>
      <c r="B20" s="60" t="s">
        <v>138</v>
      </c>
      <c r="C20" s="60" t="s">
        <v>1044</v>
      </c>
      <c r="D20" s="18" t="s">
        <v>1045</v>
      </c>
      <c r="E20" s="18">
        <v>2.0</v>
      </c>
      <c r="F20" s="18"/>
      <c r="G20" s="61">
        <v>1.66</v>
      </c>
      <c r="H20" s="62" t="s">
        <v>1048</v>
      </c>
      <c r="I20" s="62" t="s">
        <v>1049</v>
      </c>
      <c r="J20" s="18" t="s">
        <v>1008</v>
      </c>
      <c r="K20" s="18">
        <v>4.4973861</v>
      </c>
      <c r="L20" s="18">
        <v>-74.1209611</v>
      </c>
      <c r="M20" s="18" t="str">
        <f t="shared" si="1"/>
        <v>4.4973861,-74.1209611</v>
      </c>
      <c r="N20" s="18">
        <f>ROUND(AVERAGEIF(CONSOLIDADO!$B$2:$B$551,A20,CONSOLIDADO!$Q$2:$Q$551),2)</f>
        <v>54.78</v>
      </c>
      <c r="O20" s="18">
        <f>ROUND(AVERAGEIF(CONSOLIDADO!$B$2:$B$551,A20,CONSOLIDADO!$W$2:$W$551),2)</f>
        <v>8.02</v>
      </c>
      <c r="P20" s="18">
        <f>ROUND(AVERAGEIF(CONSOLIDADO!$B$2:$B$551,A20,CONSOLIDADO!$AC$2:$AC$551),2)</f>
        <v>15.74</v>
      </c>
      <c r="Q20" s="18">
        <f>ROUND(AVERAGEIF(CONSOLIDADO!$B$2:$B$551,A20,CONSOLIDADO!$Q$2:$Q$551),2)</f>
        <v>54.78</v>
      </c>
      <c r="R20" s="18">
        <f>ROUND(AVERAGEIF(CONSOLIDADO!$B$2:$B$551,A20,CONSOLIDADO!$AO$2:$AO$551),2)</f>
        <v>3.82</v>
      </c>
      <c r="S20" s="18">
        <f>ROUND(AVERAGEIF(CONSOLIDADO!$B$2:$B$551,A20,CONSOLIDADO!$AP$2:$AP$551),2)</f>
        <v>265.81</v>
      </c>
      <c r="T20" s="18">
        <f>ROUND(AVERAGEIF(CONSOLIDADO!$B$2:$B$551,A20,CONSOLIDADO!$AQ$2:$AQ$551),2)</f>
        <v>487.43</v>
      </c>
      <c r="U20" s="18">
        <f>ROUND(AVERAGEIF(CONSOLIDADO!$B$2:$B$551,A20,CONSOLIDADO!$AR$2:$AR$551),2)</f>
        <v>265.46</v>
      </c>
      <c r="V20" s="18">
        <f>ROUND(AVERAGEIF(CONSOLIDADO!$B$2:$B$551,A20,CONSOLIDADO!$AS$2:$AS$551),2)</f>
        <v>73.42</v>
      </c>
      <c r="W20" s="18">
        <f>ROUND(AVERAGEIF(CONSOLIDADO!$B$2:$B$551,A20,CONSOLIDADO!$AT$2:$AT$551),2)</f>
        <v>4.95</v>
      </c>
      <c r="X20" s="64">
        <f>ROUND(AVERAGEIF(CONSOLIDADO!$B$2:$B$551,A20,CONSOLIDADO!$AX$2:$AX$551),2)</f>
        <v>11818237.5</v>
      </c>
      <c r="Y20" s="18">
        <f>ROUND(AVERAGEIF(CONSOLIDADO!$B$2:$B999,A20,CONSOLIDADO!$BA$2:$BA999),2)</f>
        <v>51.94</v>
      </c>
      <c r="Z20" s="18">
        <f>ROUND(AVERAGEIF(CONSOLIDADO!$B$2:$B999,A20,CONSOLIDADO!$AV$2:$AV999),2)</f>
        <v>6.3</v>
      </c>
    </row>
    <row r="21">
      <c r="A21" s="60" t="s">
        <v>133</v>
      </c>
      <c r="B21" s="60" t="s">
        <v>133</v>
      </c>
      <c r="C21" s="60" t="s">
        <v>1050</v>
      </c>
      <c r="D21" s="18" t="s">
        <v>1045</v>
      </c>
      <c r="E21" s="18">
        <v>2.0</v>
      </c>
      <c r="F21" s="18"/>
      <c r="G21" s="61">
        <v>0.0</v>
      </c>
      <c r="H21" s="62" t="s">
        <v>1051</v>
      </c>
      <c r="I21" s="62" t="s">
        <v>1052</v>
      </c>
      <c r="J21" s="18" t="s">
        <v>1008</v>
      </c>
      <c r="K21" s="18">
        <v>4.4994306</v>
      </c>
      <c r="L21" s="18">
        <v>-74.0982778</v>
      </c>
      <c r="M21" s="18" t="str">
        <f t="shared" si="1"/>
        <v>4.4994306,-74.0982778</v>
      </c>
      <c r="N21" s="18">
        <f>ROUND(AVERAGEIF(CONSOLIDADO!$B$2:$B$551,A21,CONSOLIDADO!$Q$2:$Q$551),2)</f>
        <v>421.46</v>
      </c>
      <c r="O21" s="18">
        <f>ROUND(AVERAGEIF(CONSOLIDADO!$B$2:$B$551,A21,CONSOLIDADO!$W$2:$W$551),2)</f>
        <v>7.13</v>
      </c>
      <c r="P21" s="18">
        <f>ROUND(AVERAGEIF(CONSOLIDADO!$B$2:$B$551,A21,CONSOLIDADO!$AC$2:$AC$551),2)</f>
        <v>11.8</v>
      </c>
      <c r="Q21" s="18">
        <f>ROUND(AVERAGEIF(CONSOLIDADO!$B$2:$B$551,A21,CONSOLIDADO!$Q$2:$Q$551),2)</f>
        <v>421.46</v>
      </c>
      <c r="R21" s="18">
        <f>ROUND(AVERAGEIF(CONSOLIDADO!$B$2:$B$551,A21,CONSOLIDADO!$AO$2:$AO$551),2)</f>
        <v>6.9</v>
      </c>
      <c r="S21" s="18">
        <f>ROUND(AVERAGEIF(CONSOLIDADO!$B$2:$B$551,A21,CONSOLIDADO!$AP$2:$AP$551),2)</f>
        <v>5.11</v>
      </c>
      <c r="T21" s="18">
        <f>ROUND(AVERAGEIF(CONSOLIDADO!$B$2:$B$551,A21,CONSOLIDADO!$AQ$2:$AQ$551),2)</f>
        <v>24.72</v>
      </c>
      <c r="U21" s="18">
        <f>ROUND(AVERAGEIF(CONSOLIDADO!$B$2:$B$551,A21,CONSOLIDADO!$AR$2:$AR$551),2)</f>
        <v>15.71</v>
      </c>
      <c r="V21" s="18">
        <f>ROUND(AVERAGEIF(CONSOLIDADO!$B$2:$B$551,A21,CONSOLIDADO!$AS$2:$AS$551),2)</f>
        <v>4.92</v>
      </c>
      <c r="W21" s="18">
        <f>ROUND(AVERAGEIF(CONSOLIDADO!$B$2:$B$551,A21,CONSOLIDADO!$AT$2:$AT$551),2)</f>
        <v>0.3</v>
      </c>
      <c r="X21" s="64">
        <f>ROUND(AVERAGEIF(CONSOLIDADO!$B$2:$B$551,A21,CONSOLIDADO!$AX$2:$AX$551),2)</f>
        <v>17242.19</v>
      </c>
      <c r="Y21" s="18">
        <f>ROUND(AVERAGEIF(CONSOLIDADO!$B$2:$B999,A21,CONSOLIDADO!$BA$2:$BA999),2)</f>
        <v>5.26</v>
      </c>
      <c r="Z21" s="18">
        <f>ROUND(AVERAGEIF(CONSOLIDADO!$B$2:$B999,A21,CONSOLIDADO!$AV$2:$AV999),2)</f>
        <v>0.23</v>
      </c>
    </row>
    <row r="22">
      <c r="A22" s="71" t="s">
        <v>131</v>
      </c>
      <c r="B22" s="71" t="s">
        <v>131</v>
      </c>
      <c r="C22" s="71" t="s">
        <v>1050</v>
      </c>
      <c r="D22" s="18" t="s">
        <v>1045</v>
      </c>
      <c r="E22" s="18">
        <v>2.0</v>
      </c>
      <c r="F22" s="18"/>
      <c r="G22" s="61">
        <v>1.77</v>
      </c>
      <c r="H22" s="62" t="s">
        <v>1053</v>
      </c>
      <c r="I22" s="62" t="s">
        <v>1054</v>
      </c>
      <c r="J22" s="18" t="s">
        <v>1008</v>
      </c>
      <c r="K22" s="18">
        <v>4.5061806</v>
      </c>
      <c r="L22" s="18">
        <v>-74.1090833</v>
      </c>
      <c r="M22" s="18" t="str">
        <f t="shared" si="1"/>
        <v>4.5061806,-74.1090833</v>
      </c>
      <c r="N22" s="18">
        <f>ROUND(AVERAGEIF(CONSOLIDADO!$B$2:$B$551,A22,CONSOLIDADO!$Q$2:$Q$551),2)</f>
        <v>404.26</v>
      </c>
      <c r="O22" s="18">
        <f>ROUND(AVERAGEIF(CONSOLIDADO!$B$2:$B$551,A22,CONSOLIDADO!$W$2:$W$551),2)</f>
        <v>7.52</v>
      </c>
      <c r="P22" s="18">
        <f>ROUND(AVERAGEIF(CONSOLIDADO!$B$2:$B$551,A22,CONSOLIDADO!$AC$2:$AC$551),2)</f>
        <v>13.48</v>
      </c>
      <c r="Q22" s="18">
        <f>ROUND(AVERAGEIF(CONSOLIDADO!$B$2:$B$551,A22,CONSOLIDADO!$Q$2:$Q$551),2)</f>
        <v>404.26</v>
      </c>
      <c r="R22" s="18">
        <f>ROUND(AVERAGEIF(CONSOLIDADO!$B$2:$B$551,A22,CONSOLIDADO!$AO$2:$AO$551),2)</f>
        <v>5.79</v>
      </c>
      <c r="S22" s="18">
        <f>ROUND(AVERAGEIF(CONSOLIDADO!$B$2:$B$551,A22,CONSOLIDADO!$AP$2:$AP$551),2)</f>
        <v>20.79</v>
      </c>
      <c r="T22" s="18">
        <f>ROUND(AVERAGEIF(CONSOLIDADO!$B$2:$B$551,A22,CONSOLIDADO!$AQ$2:$AQ$551),2)</f>
        <v>49.6</v>
      </c>
      <c r="U22" s="18">
        <f>ROUND(AVERAGEIF(CONSOLIDADO!$B$2:$B$551,A22,CONSOLIDADO!$AR$2:$AR$551),2)</f>
        <v>32.71</v>
      </c>
      <c r="V22" s="18">
        <f>ROUND(AVERAGEIF(CONSOLIDADO!$B$2:$B$551,A22,CONSOLIDADO!$AS$2:$AS$551),2)</f>
        <v>5.55</v>
      </c>
      <c r="W22" s="18">
        <f>ROUND(AVERAGEIF(CONSOLIDADO!$B$2:$B$551,A22,CONSOLIDADO!$AT$2:$AT$551),2)</f>
        <v>0.44</v>
      </c>
      <c r="X22" s="64">
        <f>ROUND(AVERAGEIF(CONSOLIDADO!$B$2:$B$551,A22,CONSOLIDADO!$AX$2:$AX$551),2)</f>
        <v>515675.94</v>
      </c>
      <c r="Y22" s="18">
        <f>ROUND(AVERAGEIF(CONSOLIDADO!$B$2:$B999,A22,CONSOLIDADO!$BA$2:$BA999),2)</f>
        <v>8.42</v>
      </c>
      <c r="Z22" s="18">
        <f>ROUND(AVERAGEIF(CONSOLIDADO!$B$2:$B999,A22,CONSOLIDADO!$AV$2:$AV999),2)</f>
        <v>0.62</v>
      </c>
    </row>
    <row r="23">
      <c r="A23" s="60" t="s">
        <v>135</v>
      </c>
      <c r="B23" s="60" t="s">
        <v>135</v>
      </c>
      <c r="C23" s="60" t="s">
        <v>1050</v>
      </c>
      <c r="D23" s="18" t="s">
        <v>1045</v>
      </c>
      <c r="E23" s="18">
        <v>2.0</v>
      </c>
      <c r="F23" s="18"/>
      <c r="G23" s="61">
        <f>G22+ 2.18</f>
        <v>3.95</v>
      </c>
      <c r="H23" s="62" t="s">
        <v>1055</v>
      </c>
      <c r="I23" s="62" t="s">
        <v>1056</v>
      </c>
      <c r="J23" s="18" t="s">
        <v>1008</v>
      </c>
      <c r="K23" s="18">
        <v>4.5042222</v>
      </c>
      <c r="L23" s="18">
        <v>-74.1243667</v>
      </c>
      <c r="M23" s="18" t="str">
        <f t="shared" si="1"/>
        <v>4.5042222,-74.1243667</v>
      </c>
      <c r="N23" s="18">
        <f>ROUND(AVERAGEIF(CONSOLIDADO!$B$2:$B$551,A23,CONSOLIDADO!$Q$2:$Q$551),2)</f>
        <v>581.73</v>
      </c>
      <c r="O23" s="18">
        <f>ROUND(AVERAGEIF(CONSOLIDADO!$B$2:$B$551,A23,CONSOLIDADO!$W$2:$W$551),2)</f>
        <v>7.62</v>
      </c>
      <c r="P23" s="18">
        <f>ROUND(AVERAGEIF(CONSOLIDADO!$B$2:$B$551,A23,CONSOLIDADO!$AC$2:$AC$551),2)</f>
        <v>14.79</v>
      </c>
      <c r="Q23" s="18">
        <f>ROUND(AVERAGEIF(CONSOLIDADO!$B$2:$B$551,A23,CONSOLIDADO!$Q$2:$Q$551),2)</f>
        <v>581.73</v>
      </c>
      <c r="R23" s="18">
        <f>ROUND(AVERAGEIF(CONSOLIDADO!$B$2:$B$551,A23,CONSOLIDADO!$AO$2:$AO$551),2)</f>
        <v>5.03</v>
      </c>
      <c r="S23" s="18">
        <f>ROUND(AVERAGEIF(CONSOLIDADO!$B$2:$B$551,A23,CONSOLIDADO!$AP$2:$AP$551),2)</f>
        <v>43.18</v>
      </c>
      <c r="T23" s="18">
        <f>ROUND(AVERAGEIF(CONSOLIDADO!$B$2:$B$551,A23,CONSOLIDADO!$AQ$2:$AQ$551),2)</f>
        <v>91.83</v>
      </c>
      <c r="U23" s="18">
        <f>ROUND(AVERAGEIF(CONSOLIDADO!$B$2:$B$551,A23,CONSOLIDADO!$AR$2:$AR$551),2)</f>
        <v>52.84</v>
      </c>
      <c r="V23" s="18">
        <f>ROUND(AVERAGEIF(CONSOLIDADO!$B$2:$B$551,A23,CONSOLIDADO!$AS$2:$AS$551),2)</f>
        <v>8.1</v>
      </c>
      <c r="W23" s="18">
        <f>ROUND(AVERAGEIF(CONSOLIDADO!$B$2:$B$551,A23,CONSOLIDADO!$AT$2:$AT$551),2)</f>
        <v>1.07</v>
      </c>
      <c r="X23" s="64">
        <f>ROUND(AVERAGEIF(CONSOLIDADO!$B$2:$B$551,A23,CONSOLIDADO!$AX$2:$AX$551),2)</f>
        <v>706938.19</v>
      </c>
      <c r="Y23" s="18">
        <f>ROUND(AVERAGEIF(CONSOLIDADO!$B$2:$B999,A23,CONSOLIDADO!$BA$2:$BA999),2)</f>
        <v>13.79</v>
      </c>
      <c r="Z23" s="18">
        <f>ROUND(AVERAGEIF(CONSOLIDADO!$B$2:$B999,A23,CONSOLIDADO!$AV$2:$AV999),2)</f>
        <v>1.34</v>
      </c>
    </row>
    <row r="24">
      <c r="A24" s="60" t="s">
        <v>74</v>
      </c>
      <c r="B24" s="60" t="s">
        <v>74</v>
      </c>
      <c r="C24" s="60" t="s">
        <v>1057</v>
      </c>
      <c r="D24" s="18" t="s">
        <v>1045</v>
      </c>
      <c r="E24" s="18">
        <v>3.0</v>
      </c>
      <c r="F24" s="18"/>
      <c r="G24" s="61">
        <v>0.0</v>
      </c>
      <c r="H24" s="62" t="s">
        <v>1058</v>
      </c>
      <c r="I24" s="62" t="s">
        <v>1059</v>
      </c>
      <c r="J24" s="18" t="s">
        <v>1008</v>
      </c>
      <c r="K24" s="18">
        <v>4.51195</v>
      </c>
      <c r="L24" s="18">
        <v>-74.1072361</v>
      </c>
      <c r="M24" s="18" t="str">
        <f t="shared" si="1"/>
        <v>4.51195,-74.1072361</v>
      </c>
      <c r="N24" s="18">
        <f>ROUND(AVERAGEIF(CONSOLIDADO!$B$2:$B$551,A24,CONSOLIDADO!$Q$2:$Q$551),2)</f>
        <v>50.76</v>
      </c>
      <c r="O24" s="18">
        <f>ROUND(AVERAGEIF(CONSOLIDADO!$B$2:$B$551,A24,CONSOLIDADO!$W$2:$W$551),2)</f>
        <v>7.71</v>
      </c>
      <c r="P24" s="18">
        <f>ROUND(AVERAGEIF(CONSOLIDADO!$B$2:$B$551,A24,CONSOLIDADO!$AC$2:$AC$551),2)</f>
        <v>12.12</v>
      </c>
      <c r="Q24" s="18">
        <f>ROUND(AVERAGEIF(CONSOLIDADO!$B$2:$B$551,A24,CONSOLIDADO!$Q$2:$Q$551),2)</f>
        <v>50.76</v>
      </c>
      <c r="R24" s="18">
        <f>ROUND(AVERAGEIF(CONSOLIDADO!$B$2:$B$551,A24,CONSOLIDADO!$AO$2:$AO$551),2)</f>
        <v>6.67</v>
      </c>
      <c r="S24" s="18">
        <f>ROUND(AVERAGEIF(CONSOLIDADO!$B$2:$B$551,A24,CONSOLIDADO!$AP$2:$AP$551),2)</f>
        <v>16.44</v>
      </c>
      <c r="T24" s="18">
        <f>ROUND(AVERAGEIF(CONSOLIDADO!$B$2:$B$551,A24,CONSOLIDADO!$AQ$2:$AQ$551),2)</f>
        <v>50.91</v>
      </c>
      <c r="U24" s="18">
        <f>ROUND(AVERAGEIF(CONSOLIDADO!$B$2:$B$551,A24,CONSOLIDADO!$AR$2:$AR$551),2)</f>
        <v>67.13</v>
      </c>
      <c r="V24" s="18">
        <f>ROUND(AVERAGEIF(CONSOLIDADO!$B$2:$B$551,A24,CONSOLIDADO!$AS$2:$AS$551),2)</f>
        <v>6.59</v>
      </c>
      <c r="W24" s="18">
        <f>ROUND(AVERAGEIF(CONSOLIDADO!$B$2:$B$551,A24,CONSOLIDADO!$AT$2:$AT$551),2)</f>
        <v>0.49</v>
      </c>
      <c r="X24" s="64">
        <f>ROUND(AVERAGEIF(CONSOLIDADO!$B$2:$B$551,A24,CONSOLIDADO!$AX$2:$AX$551),2)</f>
        <v>164715.6</v>
      </c>
      <c r="Y24" s="18">
        <f>ROUND(AVERAGEIF(CONSOLIDADO!$B$2:$B999,A24,CONSOLIDADO!$BA$2:$BA999),2)</f>
        <v>9.03</v>
      </c>
      <c r="Z24" s="18">
        <f>ROUND(AVERAGEIF(CONSOLIDADO!$B$2:$B999,A24,CONSOLIDADO!$AV$2:$AV999),2)</f>
        <v>0.4</v>
      </c>
    </row>
    <row r="25">
      <c r="A25" s="60" t="s">
        <v>102</v>
      </c>
      <c r="B25" s="60" t="s">
        <v>102</v>
      </c>
      <c r="C25" s="60" t="s">
        <v>1057</v>
      </c>
      <c r="D25" s="18" t="s">
        <v>1045</v>
      </c>
      <c r="E25" s="18">
        <v>3.0</v>
      </c>
      <c r="F25" s="18"/>
      <c r="G25" s="61">
        <v>1.58</v>
      </c>
      <c r="H25" s="62" t="s">
        <v>1060</v>
      </c>
      <c r="I25" s="63" t="s">
        <v>1061</v>
      </c>
      <c r="J25" s="18" t="s">
        <v>1008</v>
      </c>
      <c r="K25" s="18">
        <v>4.5214167</v>
      </c>
      <c r="L25" s="18">
        <v>-74.1161556</v>
      </c>
      <c r="M25" s="18" t="str">
        <f t="shared" si="1"/>
        <v>4.5214167,-74.1161556</v>
      </c>
      <c r="N25" s="18">
        <f>ROUND(AVERAGEIF(CONSOLIDADO!$B$2:$B$551,A25,CONSOLIDADO!$Q$2:$Q$551),2)</f>
        <v>94.94</v>
      </c>
      <c r="O25" s="18">
        <f>ROUND(AVERAGEIF(CONSOLIDADO!$B$2:$B$551,A25,CONSOLIDADO!$W$2:$W$551),2)</f>
        <v>7.95</v>
      </c>
      <c r="P25" s="18">
        <f>ROUND(AVERAGEIF(CONSOLIDADO!$B$2:$B$551,A25,CONSOLIDADO!$AC$2:$AC$551),2)</f>
        <v>14.32</v>
      </c>
      <c r="Q25" s="18">
        <f>ROUND(AVERAGEIF(CONSOLIDADO!$B$2:$B$551,A25,CONSOLIDADO!$Q$2:$Q$551),2)</f>
        <v>94.94</v>
      </c>
      <c r="R25" s="18">
        <f>ROUND(AVERAGEIF(CONSOLIDADO!$B$2:$B$551,A25,CONSOLIDADO!$AO$2:$AO$551),2)</f>
        <v>6.32</v>
      </c>
      <c r="S25" s="18">
        <f>ROUND(AVERAGEIF(CONSOLIDADO!$B$2:$B$551,A25,CONSOLIDADO!$AP$2:$AP$551),2)</f>
        <v>21.43</v>
      </c>
      <c r="T25" s="18">
        <f>ROUND(AVERAGEIF(CONSOLIDADO!$B$2:$B$551,A25,CONSOLIDADO!$AQ$2:$AQ$551),2)</f>
        <v>65.47</v>
      </c>
      <c r="U25" s="18">
        <f>ROUND(AVERAGEIF(CONSOLIDADO!$B$2:$B$551,A25,CONSOLIDADO!$AR$2:$AR$551),2)</f>
        <v>84.4</v>
      </c>
      <c r="V25" s="18">
        <f>ROUND(AVERAGEIF(CONSOLIDADO!$B$2:$B$551,A25,CONSOLIDADO!$AS$2:$AS$551),2)</f>
        <v>7.48</v>
      </c>
      <c r="W25" s="18">
        <f>ROUND(AVERAGEIF(CONSOLIDADO!$B$2:$B$551,A25,CONSOLIDADO!$AT$2:$AT$551),2)</f>
        <v>0.52</v>
      </c>
      <c r="X25" s="64">
        <f>ROUND(AVERAGEIF(CONSOLIDADO!$B$2:$B$551,A25,CONSOLIDADO!$AX$2:$AX$551),2)</f>
        <v>327095.67</v>
      </c>
      <c r="Y25" s="18">
        <f>ROUND(AVERAGEIF(CONSOLIDADO!$B$2:$B999,A25,CONSOLIDADO!$BA$2:$BA999),2)</f>
        <v>14.98</v>
      </c>
      <c r="Z25" s="18">
        <f>ROUND(AVERAGEIF(CONSOLIDADO!$B$2:$B999,A25,CONSOLIDADO!$AV$2:$AV999),2)</f>
        <v>1.21</v>
      </c>
    </row>
    <row r="26">
      <c r="A26" s="60" t="s">
        <v>100</v>
      </c>
      <c r="B26" s="60" t="s">
        <v>100</v>
      </c>
      <c r="C26" s="60" t="s">
        <v>1057</v>
      </c>
      <c r="D26" s="18" t="s">
        <v>1045</v>
      </c>
      <c r="E26" s="18">
        <v>3.0</v>
      </c>
      <c r="F26" s="18"/>
      <c r="G26" s="61">
        <f>G25+ 2.1</f>
        <v>3.68</v>
      </c>
      <c r="H26" s="62" t="s">
        <v>1062</v>
      </c>
      <c r="I26" s="66" t="s">
        <v>1063</v>
      </c>
      <c r="J26" s="18" t="s">
        <v>1008</v>
      </c>
      <c r="K26" s="18">
        <v>4.5349111</v>
      </c>
      <c r="L26" s="18">
        <v>-74.1236806</v>
      </c>
      <c r="M26" s="18" t="str">
        <f t="shared" si="1"/>
        <v>4.5349111,-74.1236806</v>
      </c>
      <c r="N26" s="18">
        <f>ROUND(AVERAGEIF(CONSOLIDADO!$B$2:$B$551,A26,CONSOLIDADO!$Q$2:$Q$551),2)</f>
        <v>82.44</v>
      </c>
      <c r="O26" s="18">
        <f>ROUND(AVERAGEIF(CONSOLIDADO!$B$2:$B$551,A26,CONSOLIDADO!$W$2:$W$551),2)</f>
        <v>7.68</v>
      </c>
      <c r="P26" s="18">
        <f>ROUND(AVERAGEIF(CONSOLIDADO!$B$2:$B$551,A26,CONSOLIDADO!$AC$2:$AC$551),2)</f>
        <v>15.33</v>
      </c>
      <c r="Q26" s="18">
        <f>ROUND(AVERAGEIF(CONSOLIDADO!$B$2:$B$551,A26,CONSOLIDADO!$Q$2:$Q$551),2)</f>
        <v>82.44</v>
      </c>
      <c r="R26" s="18">
        <f>ROUND(AVERAGEIF(CONSOLIDADO!$B$2:$B$551,A26,CONSOLIDADO!$AO$2:$AO$551),2)</f>
        <v>2.67</v>
      </c>
      <c r="S26" s="18">
        <f>ROUND(AVERAGEIF(CONSOLIDADO!$B$2:$B$551,A26,CONSOLIDADO!$AP$2:$AP$551),2)</f>
        <v>86.68</v>
      </c>
      <c r="T26" s="18">
        <f>ROUND(AVERAGEIF(CONSOLIDADO!$B$2:$B$551,A26,CONSOLIDADO!$AQ$2:$AQ$551),2)</f>
        <v>180.31</v>
      </c>
      <c r="U26" s="18">
        <f>ROUND(AVERAGEIF(CONSOLIDADO!$B$2:$B$551,A26,CONSOLIDADO!$AR$2:$AR$551),2)</f>
        <v>434.69</v>
      </c>
      <c r="V26" s="18">
        <f>ROUND(AVERAGEIF(CONSOLIDADO!$B$2:$B$551,A26,CONSOLIDADO!$AS$2:$AS$551),2)</f>
        <v>10.03</v>
      </c>
      <c r="W26" s="18">
        <f>ROUND(AVERAGEIF(CONSOLIDADO!$B$2:$B$551,A26,CONSOLIDADO!$AT$2:$AT$551),2)</f>
        <v>1.36</v>
      </c>
      <c r="X26" s="64">
        <f>ROUND(AVERAGEIF(CONSOLIDADO!$B$2:$B$551,A26,CONSOLIDADO!$AX$2:$AX$551),2)</f>
        <v>585941.54</v>
      </c>
      <c r="Y26" s="18">
        <f>ROUND(AVERAGEIF(CONSOLIDADO!$B$2:$B999,A26,CONSOLIDADO!$BA$2:$BA999),2)</f>
        <v>17.91</v>
      </c>
      <c r="Z26" s="18">
        <f>ROUND(AVERAGEIF(CONSOLIDADO!$B$2:$B999,A26,CONSOLIDADO!$AV$2:$AV999),2)</f>
        <v>1.84</v>
      </c>
    </row>
    <row r="27">
      <c r="A27" s="60" t="s">
        <v>126</v>
      </c>
      <c r="B27" s="60" t="s">
        <v>126</v>
      </c>
      <c r="C27" s="60" t="s">
        <v>1064</v>
      </c>
      <c r="D27" s="18" t="s">
        <v>1045</v>
      </c>
      <c r="E27" s="18">
        <v>3.0</v>
      </c>
      <c r="F27" s="18"/>
      <c r="G27" s="61">
        <v>0.0</v>
      </c>
      <c r="H27" s="62" t="s">
        <v>1065</v>
      </c>
      <c r="I27" s="66" t="s">
        <v>1066</v>
      </c>
      <c r="J27" s="18" t="s">
        <v>1008</v>
      </c>
      <c r="K27" s="18">
        <v>4.5342389</v>
      </c>
      <c r="L27" s="18">
        <v>-74.1410722</v>
      </c>
      <c r="M27" s="18" t="str">
        <f t="shared" si="1"/>
        <v>4.5342389,-74.1410722</v>
      </c>
      <c r="N27" s="18">
        <f>ROUND(AVERAGEIF(CONSOLIDADO!$B$2:$B$551,A27,CONSOLIDADO!$Q$2:$Q$551),2)</f>
        <v>14.67</v>
      </c>
      <c r="O27" s="18">
        <f>ROUND(AVERAGEIF(CONSOLIDADO!$B$2:$B$551,A27,CONSOLIDADO!$W$2:$W$551),2)</f>
        <v>7.98</v>
      </c>
      <c r="P27" s="18">
        <f>ROUND(AVERAGEIF(CONSOLIDADO!$B$2:$B$551,A27,CONSOLIDADO!$AC$2:$AC$551),2)</f>
        <v>14.87</v>
      </c>
      <c r="Q27" s="18">
        <f>ROUND(AVERAGEIF(CONSOLIDADO!$B$2:$B$551,A27,CONSOLIDADO!$Q$2:$Q$551),2)</f>
        <v>14.67</v>
      </c>
      <c r="R27" s="18">
        <f>ROUND(AVERAGEIF(CONSOLIDADO!$B$2:$B$551,A27,CONSOLIDADO!$AO$2:$AO$551),2)</f>
        <v>5</v>
      </c>
      <c r="S27" s="18">
        <f>ROUND(AVERAGEIF(CONSOLIDADO!$B$2:$B$551,A27,CONSOLIDADO!$AP$2:$AP$551),2)</f>
        <v>30.73</v>
      </c>
      <c r="T27" s="18">
        <f>ROUND(AVERAGEIF(CONSOLIDADO!$B$2:$B$551,A27,CONSOLIDADO!$AQ$2:$AQ$551),2)</f>
        <v>84.39</v>
      </c>
      <c r="U27" s="18">
        <f>ROUND(AVERAGEIF(CONSOLIDADO!$B$2:$B$551,A27,CONSOLIDADO!$AR$2:$AR$551),2)</f>
        <v>190.58</v>
      </c>
      <c r="V27" s="18">
        <f>ROUND(AVERAGEIF(CONSOLIDADO!$B$2:$B$551,A27,CONSOLIDADO!$AS$2:$AS$551),2)</f>
        <v>9.08</v>
      </c>
      <c r="W27" s="18">
        <f>ROUND(AVERAGEIF(CONSOLIDADO!$B$2:$B$551,A27,CONSOLIDADO!$AT$2:$AT$551),2)</f>
        <v>0.51</v>
      </c>
      <c r="X27" s="64">
        <f>ROUND(AVERAGEIF(CONSOLIDADO!$B$2:$B$551,A27,CONSOLIDADO!$AX$2:$AX$551),2)</f>
        <v>435840.4</v>
      </c>
      <c r="Y27" s="18">
        <f>ROUND(AVERAGEIF(CONSOLIDADO!$B$2:$B999,A27,CONSOLIDADO!$BA$2:$BA999),2)</f>
        <v>20.4</v>
      </c>
      <c r="Z27" s="18">
        <f>ROUND(AVERAGEIF(CONSOLIDADO!$B$2:$B999,A27,CONSOLIDADO!$AV$2:$AV999),2)</f>
        <v>1.9</v>
      </c>
    </row>
    <row r="28">
      <c r="A28" s="72" t="s">
        <v>104</v>
      </c>
      <c r="B28" s="72" t="s">
        <v>104</v>
      </c>
      <c r="C28" s="73" t="s">
        <v>1064</v>
      </c>
      <c r="D28" s="74" t="s">
        <v>1045</v>
      </c>
      <c r="E28" s="18">
        <v>3.0</v>
      </c>
      <c r="F28" s="61"/>
      <c r="G28" s="61">
        <v>0.3</v>
      </c>
      <c r="H28" s="62" t="s">
        <v>1067</v>
      </c>
      <c r="I28" s="62" t="s">
        <v>1068</v>
      </c>
      <c r="J28" s="18" t="s">
        <v>1008</v>
      </c>
      <c r="K28" s="18">
        <v>4.5363917</v>
      </c>
      <c r="L28" s="18">
        <v>-74.1395222</v>
      </c>
      <c r="M28" s="18" t="str">
        <f t="shared" si="1"/>
        <v>4.5363917,-74.1395222</v>
      </c>
      <c r="N28" s="18">
        <f>ROUND(AVERAGEIF(CONSOLIDADO!$B$2:$B$551,A28,CONSOLIDADO!$Q$2:$Q$551),2)</f>
        <v>18.27</v>
      </c>
      <c r="O28" s="18">
        <f>ROUND(AVERAGEIF(CONSOLIDADO!$B$2:$B$551,A28,CONSOLIDADO!$W$2:$W$551),2)</f>
        <v>10.4</v>
      </c>
      <c r="P28" s="18">
        <f>ROUND(AVERAGEIF(CONSOLIDADO!$B$2:$B$551,A28,CONSOLIDADO!$AC$2:$AC$551),2)</f>
        <v>16.47</v>
      </c>
      <c r="Q28" s="18">
        <f>ROUND(AVERAGEIF(CONSOLIDADO!$B$2:$B$551,A28,CONSOLIDADO!$Q$2:$Q$551),2)</f>
        <v>18.27</v>
      </c>
      <c r="R28" s="18">
        <f>ROUND(AVERAGEIF(CONSOLIDADO!$B$2:$B$551,A28,CONSOLIDADO!$AO$2:$AO$551),2)</f>
        <v>5.1</v>
      </c>
      <c r="S28" s="18">
        <f>ROUND(AVERAGEIF(CONSOLIDADO!$B$2:$B$551,A28,CONSOLIDADO!$AP$2:$AP$551),2)</f>
        <v>162.72</v>
      </c>
      <c r="T28" s="18">
        <f>ROUND(AVERAGEIF(CONSOLIDADO!$B$2:$B$551,A28,CONSOLIDADO!$AQ$2:$AQ$551),2)</f>
        <v>467.84</v>
      </c>
      <c r="U28" s="18">
        <f>ROUND(AVERAGEIF(CONSOLIDADO!$B$2:$B$551,A28,CONSOLIDADO!$AR$2:$AR$551),2)</f>
        <v>2010.87</v>
      </c>
      <c r="V28" s="18">
        <f>ROUND(AVERAGEIF(CONSOLIDADO!$B$2:$B$551,A28,CONSOLIDADO!$AS$2:$AS$551),2)</f>
        <v>35.48</v>
      </c>
      <c r="W28" s="18">
        <f>ROUND(AVERAGEIF(CONSOLIDADO!$B$2:$B$551,A28,CONSOLIDADO!$AT$2:$AT$551),2)</f>
        <v>1.13</v>
      </c>
      <c r="X28" s="64">
        <f>ROUND(AVERAGEIF(CONSOLIDADO!$B$2:$B$551,A28,CONSOLIDADO!$AX$2:$AX$551),2)</f>
        <v>123315.99</v>
      </c>
      <c r="Y28" s="18">
        <f>ROUND(AVERAGEIF(CONSOLIDADO!$B$2:$B999,A28,CONSOLIDADO!$BA$2:$BA999),2)</f>
        <v>20.48</v>
      </c>
      <c r="Z28" s="18">
        <f>ROUND(AVERAGEIF(CONSOLIDADO!$B$2:$B999,A28,CONSOLIDADO!$AV$2:$AV999),2)</f>
        <v>1.69</v>
      </c>
    </row>
    <row r="29">
      <c r="A29" s="75" t="s">
        <v>106</v>
      </c>
      <c r="B29" s="75" t="s">
        <v>106</v>
      </c>
      <c r="C29" s="60" t="s">
        <v>1064</v>
      </c>
      <c r="D29" s="18" t="s">
        <v>1045</v>
      </c>
      <c r="E29" s="18">
        <v>3.0</v>
      </c>
      <c r="F29" s="18"/>
      <c r="G29" s="61">
        <f>G28+ 0.92</f>
        <v>1.22</v>
      </c>
      <c r="H29" s="66" t="s">
        <v>1069</v>
      </c>
      <c r="I29" s="62" t="s">
        <v>1070</v>
      </c>
      <c r="J29" s="18" t="s">
        <v>1008</v>
      </c>
      <c r="K29" s="18">
        <v>4.5403333</v>
      </c>
      <c r="L29" s="18">
        <v>-74.1343194</v>
      </c>
      <c r="M29" s="18" t="str">
        <f t="shared" si="1"/>
        <v>4.5403333,-74.1343194</v>
      </c>
      <c r="N29" s="18">
        <f>ROUND(AVERAGEIF(CONSOLIDADO!$B$2:$B$551,A29,CONSOLIDADO!$Q$2:$Q$551),2)</f>
        <v>46.02</v>
      </c>
      <c r="O29" s="18">
        <f>ROUND(AVERAGEIF(CONSOLIDADO!$B$2:$B$551,A29,CONSOLIDADO!$W$2:$W$551),2)</f>
        <v>9.82</v>
      </c>
      <c r="P29" s="18">
        <f>ROUND(AVERAGEIF(CONSOLIDADO!$B$2:$B$551,A29,CONSOLIDADO!$AC$2:$AC$551),2)</f>
        <v>17.15</v>
      </c>
      <c r="Q29" s="18">
        <f>ROUND(AVERAGEIF(CONSOLIDADO!$B$2:$B$551,A29,CONSOLIDADO!$Q$2:$Q$551),2)</f>
        <v>46.02</v>
      </c>
      <c r="R29" s="18">
        <f>ROUND(AVERAGEIF(CONSOLIDADO!$B$2:$B$551,A29,CONSOLIDADO!$AO$2:$AO$551),2)</f>
        <v>5.19</v>
      </c>
      <c r="S29" s="18">
        <f>ROUND(AVERAGEIF(CONSOLIDADO!$B$2:$B$551,A29,CONSOLIDADO!$AP$2:$AP$551),2)</f>
        <v>118.33</v>
      </c>
      <c r="T29" s="18">
        <f>ROUND(AVERAGEIF(CONSOLIDADO!$B$2:$B$551,A29,CONSOLIDADO!$AQ$2:$AQ$551),2)</f>
        <v>308.34</v>
      </c>
      <c r="U29" s="18">
        <f>ROUND(AVERAGEIF(CONSOLIDADO!$B$2:$B$551,A29,CONSOLIDADO!$AR$2:$AR$551),2)</f>
        <v>1449.5</v>
      </c>
      <c r="V29" s="18">
        <f>ROUND(AVERAGEIF(CONSOLIDADO!$B$2:$B$551,A29,CONSOLIDADO!$AS$2:$AS$551),2)</f>
        <v>27.81</v>
      </c>
      <c r="W29" s="18">
        <f>ROUND(AVERAGEIF(CONSOLIDADO!$B$2:$B$551,A29,CONSOLIDADO!$AT$2:$AT$551),2)</f>
        <v>1.6</v>
      </c>
      <c r="X29" s="64">
        <f>ROUND(AVERAGEIF(CONSOLIDADO!$B$2:$B$551,A29,CONSOLIDADO!$AX$2:$AX$551),2)</f>
        <v>9416821</v>
      </c>
      <c r="Y29" s="18">
        <f>ROUND(AVERAGEIF(CONSOLIDADO!$B$2:$B999,A29,CONSOLIDADO!$BA$2:$BA999),2)</f>
        <v>23.13</v>
      </c>
      <c r="Z29" s="18">
        <f>ROUND(AVERAGEIF(CONSOLIDADO!$B$2:$B999,A29,CONSOLIDADO!$AV$2:$AV999),2)</f>
        <v>2.04</v>
      </c>
    </row>
    <row r="30">
      <c r="A30" s="76" t="s">
        <v>79</v>
      </c>
      <c r="B30" s="76" t="s">
        <v>79</v>
      </c>
      <c r="C30" s="60" t="s">
        <v>1071</v>
      </c>
      <c r="D30" s="18" t="s">
        <v>1045</v>
      </c>
      <c r="E30" s="18">
        <v>3.0</v>
      </c>
      <c r="F30" s="18"/>
      <c r="G30" s="61">
        <v>0.0</v>
      </c>
      <c r="H30" s="62" t="s">
        <v>1072</v>
      </c>
      <c r="I30" s="62" t="s">
        <v>1073</v>
      </c>
      <c r="J30" s="18" t="s">
        <v>1008</v>
      </c>
      <c r="K30" s="18">
        <v>4.5403361</v>
      </c>
      <c r="L30" s="18">
        <v>-74.0865</v>
      </c>
      <c r="M30" s="18" t="str">
        <f t="shared" si="1"/>
        <v>4.5403361,-74.0865</v>
      </c>
      <c r="N30" s="18">
        <f>ROUND(AVERAGEIF(CONSOLIDADO!$B$2:$B$551,A30,CONSOLIDADO!$Q$2:$Q$551),2)</f>
        <v>26.6</v>
      </c>
      <c r="O30" s="18">
        <f>ROUND(AVERAGEIF(CONSOLIDADO!$B$2:$B$551,A30,CONSOLIDADO!$W$2:$W$551),2)</f>
        <v>7.08</v>
      </c>
      <c r="P30" s="18">
        <f>ROUND(AVERAGEIF(CONSOLIDADO!$B$2:$B$551,A30,CONSOLIDADO!$AC$2:$AC$551),2)</f>
        <v>11.83</v>
      </c>
      <c r="Q30" s="18">
        <f>ROUND(AVERAGEIF(CONSOLIDADO!$B$2:$B$551,A30,CONSOLIDADO!$Q$2:$Q$551),2)</f>
        <v>26.6</v>
      </c>
      <c r="R30" s="18">
        <f>ROUND(AVERAGEIF(CONSOLIDADO!$B$2:$B$551,A30,CONSOLIDADO!$AO$2:$AO$551),2)</f>
        <v>5.66</v>
      </c>
      <c r="S30" s="18">
        <f>ROUND(AVERAGEIF(CONSOLIDADO!$B$2:$B$551,A30,CONSOLIDADO!$AP$2:$AP$551),2)</f>
        <v>19.95</v>
      </c>
      <c r="T30" s="18">
        <f>ROUND(AVERAGEIF(CONSOLIDADO!$B$2:$B$551,A30,CONSOLIDADO!$AQ$2:$AQ$551),2)</f>
        <v>44.17</v>
      </c>
      <c r="U30" s="18">
        <f>ROUND(AVERAGEIF(CONSOLIDADO!$B$2:$B$551,A30,CONSOLIDADO!$AR$2:$AR$551),2)</f>
        <v>20.19</v>
      </c>
      <c r="V30" s="18">
        <f>ROUND(AVERAGEIF(CONSOLIDADO!$B$2:$B$551,A30,CONSOLIDADO!$AS$2:$AS$551),2)</f>
        <v>8.46</v>
      </c>
      <c r="W30" s="18">
        <f>ROUND(AVERAGEIF(CONSOLIDADO!$B$2:$B$551,A30,CONSOLIDADO!$AT$2:$AT$551),2)</f>
        <v>0.5</v>
      </c>
      <c r="X30" s="64">
        <f>ROUND(AVERAGEIF(CONSOLIDADO!$B$2:$B$551,A30,CONSOLIDADO!$AX$2:$AX$551),2)</f>
        <v>1738627.07</v>
      </c>
      <c r="Y30" s="18">
        <f>ROUND(AVERAGEIF(CONSOLIDADO!$B$2:$B999,A30,CONSOLIDADO!$BA$2:$BA999),2)</f>
        <v>5.61</v>
      </c>
      <c r="Z30" s="18">
        <f>ROUND(AVERAGEIF(CONSOLIDADO!$B$2:$B999,A30,CONSOLIDADO!$AV$2:$AV999),2)</f>
        <v>0.39</v>
      </c>
    </row>
    <row r="31">
      <c r="A31" s="76" t="s">
        <v>93</v>
      </c>
      <c r="B31" s="76" t="s">
        <v>93</v>
      </c>
      <c r="C31" s="60" t="s">
        <v>1071</v>
      </c>
      <c r="D31" s="18" t="s">
        <v>1045</v>
      </c>
      <c r="E31" s="18">
        <v>3.0</v>
      </c>
      <c r="F31" s="18"/>
      <c r="G31" s="61">
        <v>2.12</v>
      </c>
      <c r="H31" s="62" t="s">
        <v>1074</v>
      </c>
      <c r="I31" s="62" t="s">
        <v>1075</v>
      </c>
      <c r="J31" s="18" t="s">
        <v>1008</v>
      </c>
      <c r="K31" s="18">
        <v>4.5485889</v>
      </c>
      <c r="L31" s="18">
        <v>-74.1009611</v>
      </c>
      <c r="M31" s="18" t="str">
        <f t="shared" si="1"/>
        <v>4.5485889,-74.1009611</v>
      </c>
      <c r="N31" s="18">
        <f>ROUND(AVERAGEIF(CONSOLIDADO!$B$2:$B$551,A31,CONSOLIDADO!$Q$2:$Q$551),2)</f>
        <v>142.58</v>
      </c>
      <c r="O31" s="18">
        <f>ROUND(AVERAGEIF(CONSOLIDADO!$B$2:$B$551,A31,CONSOLIDADO!$W$2:$W$551),2)</f>
        <v>7.99</v>
      </c>
      <c r="P31" s="18">
        <f>ROUND(AVERAGEIF(CONSOLIDADO!$B$2:$B$551,A31,CONSOLIDADO!$AC$2:$AC$551),2)</f>
        <v>16.01</v>
      </c>
      <c r="Q31" s="18">
        <f>ROUND(AVERAGEIF(CONSOLIDADO!$B$2:$B$551,A31,CONSOLIDADO!$Q$2:$Q$551),2)</f>
        <v>142.58</v>
      </c>
      <c r="R31" s="18">
        <f>ROUND(AVERAGEIF(CONSOLIDADO!$B$2:$B$551,A31,CONSOLIDADO!$AO$2:$AO$551),2)</f>
        <v>4.24</v>
      </c>
      <c r="S31" s="18">
        <f>ROUND(AVERAGEIF(CONSOLIDADO!$B$2:$B$551,A31,CONSOLIDADO!$AP$2:$AP$551),2)</f>
        <v>182</v>
      </c>
      <c r="T31" s="18">
        <f>ROUND(AVERAGEIF(CONSOLIDADO!$B$2:$B$551,A31,CONSOLIDADO!$AQ$2:$AQ$551),2)</f>
        <v>372.6</v>
      </c>
      <c r="U31" s="18">
        <f>ROUND(AVERAGEIF(CONSOLIDADO!$B$2:$B$551,A31,CONSOLIDADO!$AR$2:$AR$551),2)</f>
        <v>155.53</v>
      </c>
      <c r="V31" s="18">
        <f>ROUND(AVERAGEIF(CONSOLIDADO!$B$2:$B$551,A31,CONSOLIDADO!$AS$2:$AS$551),2)</f>
        <v>37.65</v>
      </c>
      <c r="W31" s="18">
        <f>ROUND(AVERAGEIF(CONSOLIDADO!$B$2:$B$551,A31,CONSOLIDADO!$AT$2:$AT$551),2)</f>
        <v>4.11</v>
      </c>
      <c r="X31" s="64">
        <f>ROUND(AVERAGEIF(CONSOLIDADO!$B$2:$B$551,A31,CONSOLIDADO!$AX$2:$AX$551),2)</f>
        <v>18497603.4</v>
      </c>
      <c r="Y31" s="18">
        <f>ROUND(AVERAGEIF(CONSOLIDADO!$B$2:$B999,A31,CONSOLIDADO!$BA$2:$BA999),2)</f>
        <v>39.29</v>
      </c>
      <c r="Z31" s="18">
        <f>ROUND(AVERAGEIF(CONSOLIDADO!$B$2:$B999,A31,CONSOLIDADO!$AV$2:$AV999),2)</f>
        <v>5.05</v>
      </c>
    </row>
    <row r="32">
      <c r="A32" s="75" t="s">
        <v>83</v>
      </c>
      <c r="B32" s="75" t="s">
        <v>83</v>
      </c>
      <c r="C32" s="60" t="s">
        <v>1071</v>
      </c>
      <c r="D32" s="18" t="s">
        <v>1045</v>
      </c>
      <c r="E32" s="18">
        <v>3.0</v>
      </c>
      <c r="F32" s="18"/>
      <c r="G32" s="61">
        <f>G31+2.22</f>
        <v>4.34</v>
      </c>
      <c r="H32" s="62" t="s">
        <v>1076</v>
      </c>
      <c r="I32" s="62" t="s">
        <v>1077</v>
      </c>
      <c r="J32" s="18" t="s">
        <v>1008</v>
      </c>
      <c r="K32" s="18">
        <v>4.5504278</v>
      </c>
      <c r="L32" s="18">
        <v>-74.1129028</v>
      </c>
      <c r="M32" s="18" t="str">
        <f t="shared" si="1"/>
        <v>4.5504278,-74.1129028</v>
      </c>
      <c r="N32" s="18">
        <f>ROUND(AVERAGEIF(CONSOLIDADO!$B$2:$B$551,A32,CONSOLIDADO!$Q$2:$Q$551),2)</f>
        <v>466.73</v>
      </c>
      <c r="O32" s="18">
        <f>ROUND(AVERAGEIF(CONSOLIDADO!$B$2:$B$551,A32,CONSOLIDADO!$W$2:$W$551),2)</f>
        <v>7.89</v>
      </c>
      <c r="P32" s="18">
        <f>ROUND(AVERAGEIF(CONSOLIDADO!$B$2:$B$551,A32,CONSOLIDADO!$AC$2:$AC$551),2)</f>
        <v>15.79</v>
      </c>
      <c r="Q32" s="18">
        <f>ROUND(AVERAGEIF(CONSOLIDADO!$B$2:$B$551,A32,CONSOLIDADO!$Q$2:$Q$551),2)</f>
        <v>466.73</v>
      </c>
      <c r="R32" s="18">
        <f>ROUND(AVERAGEIF(CONSOLIDADO!$B$2:$B$551,A32,CONSOLIDADO!$AO$2:$AO$551),2)</f>
        <v>2.66</v>
      </c>
      <c r="S32" s="18">
        <f>ROUND(AVERAGEIF(CONSOLIDADO!$B$2:$B$551,A32,CONSOLIDADO!$AP$2:$AP$551),2)</f>
        <v>128.7</v>
      </c>
      <c r="T32" s="18">
        <f>ROUND(AVERAGEIF(CONSOLIDADO!$B$2:$B$551,A32,CONSOLIDADO!$AQ$2:$AQ$551),2)</f>
        <v>267.93</v>
      </c>
      <c r="U32" s="18">
        <f>ROUND(AVERAGEIF(CONSOLIDADO!$B$2:$B$551,A32,CONSOLIDADO!$AR$2:$AR$551),2)</f>
        <v>137.76</v>
      </c>
      <c r="V32" s="18">
        <f>ROUND(AVERAGEIF(CONSOLIDADO!$B$2:$B$551,A32,CONSOLIDADO!$AS$2:$AS$551),2)</f>
        <v>27.69</v>
      </c>
      <c r="W32" s="18">
        <f>ROUND(AVERAGEIF(CONSOLIDADO!$B$2:$B$551,A32,CONSOLIDADO!$AT$2:$AT$551),2)</f>
        <v>26.48</v>
      </c>
      <c r="X32" s="64">
        <f>ROUND(AVERAGEIF(CONSOLIDADO!$B$2:$B$551,A32,CONSOLIDADO!$AX$2:$AX$551),2)</f>
        <v>8197673.33</v>
      </c>
      <c r="Y32" s="18">
        <f>ROUND(AVERAGEIF(CONSOLIDADO!$B$2:$B999,A32,CONSOLIDADO!$BA$2:$BA999),2)</f>
        <v>35.22</v>
      </c>
      <c r="Z32" s="18">
        <f>ROUND(AVERAGEIF(CONSOLIDADO!$B$2:$B999,A32,CONSOLIDADO!$AV$2:$AV999),2)</f>
        <v>4.42</v>
      </c>
    </row>
    <row r="33">
      <c r="A33" s="75" t="s">
        <v>61</v>
      </c>
      <c r="B33" s="75" t="s">
        <v>61</v>
      </c>
      <c r="C33" s="60" t="s">
        <v>1071</v>
      </c>
      <c r="D33" s="18" t="s">
        <v>1045</v>
      </c>
      <c r="E33" s="18">
        <v>3.0</v>
      </c>
      <c r="F33" s="18"/>
      <c r="G33" s="61">
        <f>G32+2.8</f>
        <v>7.14</v>
      </c>
      <c r="H33" s="62" t="s">
        <v>1078</v>
      </c>
      <c r="I33" s="62" t="s">
        <v>1079</v>
      </c>
      <c r="J33" s="18" t="s">
        <v>1008</v>
      </c>
      <c r="K33" s="18">
        <v>4.5599417</v>
      </c>
      <c r="L33" s="18">
        <v>-74.1326917</v>
      </c>
      <c r="M33" s="18" t="str">
        <f t="shared" si="1"/>
        <v>4.5599417,-74.1326917</v>
      </c>
      <c r="N33" s="18">
        <f>ROUND(AVERAGEIF(CONSOLIDADO!$B$2:$B$551,A33,CONSOLIDADO!$Q$2:$Q$551),2)</f>
        <v>435.24</v>
      </c>
      <c r="O33" s="18">
        <f>ROUND(AVERAGEIF(CONSOLIDADO!$B$2:$B$551,A33,CONSOLIDADO!$W$2:$W$551),2)</f>
        <v>7.86</v>
      </c>
      <c r="P33" s="18">
        <f>ROUND(AVERAGEIF(CONSOLIDADO!$B$2:$B$551,A33,CONSOLIDADO!$AC$2:$AC$551),2)</f>
        <v>18.76</v>
      </c>
      <c r="Q33" s="18">
        <f>ROUND(AVERAGEIF(CONSOLIDADO!$B$2:$B$551,A33,CONSOLIDADO!$Q$2:$Q$551),2)</f>
        <v>435.24</v>
      </c>
      <c r="R33" s="18">
        <f>ROUND(AVERAGEIF(CONSOLIDADO!$B$2:$B$551,A33,CONSOLIDADO!$AO$2:$AO$551),2)</f>
        <v>1.15</v>
      </c>
      <c r="S33" s="18">
        <f>ROUND(AVERAGEIF(CONSOLIDADO!$B$2:$B$551,A33,CONSOLIDADO!$AP$2:$AP$551),2)</f>
        <v>145.13</v>
      </c>
      <c r="T33" s="18">
        <f>ROUND(AVERAGEIF(CONSOLIDADO!$B$2:$B$551,A33,CONSOLIDADO!$AQ$2:$AQ$551),2)</f>
        <v>297.67</v>
      </c>
      <c r="U33" s="18">
        <f>ROUND(AVERAGEIF(CONSOLIDADO!$B$2:$B$551,A33,CONSOLIDADO!$AR$2:$AR$551),2)</f>
        <v>120.21</v>
      </c>
      <c r="V33" s="18">
        <f>ROUND(AVERAGEIF(CONSOLIDADO!$B$2:$B$551,A33,CONSOLIDADO!$AS$2:$AS$551),2)</f>
        <v>26.34</v>
      </c>
      <c r="W33" s="18">
        <f>ROUND(AVERAGEIF(CONSOLIDADO!$B$2:$B$551,A33,CONSOLIDADO!$AT$2:$AT$551),2)</f>
        <v>3.23</v>
      </c>
      <c r="X33" s="64">
        <f>ROUND(AVERAGEIF(CONSOLIDADO!$B$2:$B$551,A33,CONSOLIDADO!$AX$2:$AX$551),2)</f>
        <v>7050246.67</v>
      </c>
      <c r="Y33" s="18">
        <f>ROUND(AVERAGEIF(CONSOLIDADO!$B$2:$B999,A33,CONSOLIDADO!$BA$2:$BA999),2)</f>
        <v>38.34</v>
      </c>
      <c r="Z33" s="18">
        <f>ROUND(AVERAGEIF(CONSOLIDADO!$B$2:$B999,A33,CONSOLIDADO!$AV$2:$AV999),2)</f>
        <v>4.47</v>
      </c>
    </row>
    <row r="34">
      <c r="A34" s="60" t="s">
        <v>57</v>
      </c>
      <c r="B34" s="60" t="s">
        <v>57</v>
      </c>
      <c r="C34" s="60" t="s">
        <v>1080</v>
      </c>
      <c r="D34" s="18" t="s">
        <v>1045</v>
      </c>
      <c r="E34" s="18">
        <v>3.0</v>
      </c>
      <c r="F34" s="18"/>
      <c r="G34" s="67">
        <v>0.0</v>
      </c>
      <c r="H34" s="62" t="s">
        <v>1081</v>
      </c>
      <c r="I34" s="62" t="s">
        <v>1082</v>
      </c>
      <c r="J34" s="18" t="s">
        <v>1008</v>
      </c>
      <c r="K34" s="18">
        <v>4.5454056</v>
      </c>
      <c r="L34" s="18">
        <v>-74.1584111</v>
      </c>
      <c r="M34" s="18" t="str">
        <f t="shared" si="1"/>
        <v>4.5454056,-74.1584111</v>
      </c>
      <c r="N34" s="18">
        <f>ROUND(AVERAGEIF(CONSOLIDADO!$B$2:$B$551,A34,CONSOLIDADO!$Q$2:$Q$551),2)</f>
        <v>29.21</v>
      </c>
      <c r="O34" s="18">
        <f>ROUND(AVERAGEIF(CONSOLIDADO!$B$2:$B$551,A34,CONSOLIDADO!$W$2:$W$551),2)</f>
        <v>7.5</v>
      </c>
      <c r="P34" s="18">
        <f>ROUND(AVERAGEIF(CONSOLIDADO!$B$2:$B$551,A34,CONSOLIDADO!$AC$2:$AC$551),2)</f>
        <v>13.79</v>
      </c>
      <c r="Q34" s="18">
        <f>ROUND(AVERAGEIF(CONSOLIDADO!$B$2:$B$551,A34,CONSOLIDADO!$Q$2:$Q$551),2)</f>
        <v>29.21</v>
      </c>
      <c r="R34" s="18">
        <f>ROUND(AVERAGEIF(CONSOLIDADO!$B$2:$B$551,A34,CONSOLIDADO!$AO$2:$AO$551),2)</f>
        <v>5.04</v>
      </c>
      <c r="S34" s="18">
        <f>ROUND(AVERAGEIF(CONSOLIDADO!$B$2:$B$551,A34,CONSOLIDADO!$AP$2:$AP$551),2)</f>
        <v>23.95</v>
      </c>
      <c r="T34" s="18">
        <f>ROUND(AVERAGEIF(CONSOLIDADO!$B$2:$B$551,A34,CONSOLIDADO!$AQ$2:$AQ$551),2)</f>
        <v>84.53</v>
      </c>
      <c r="U34" s="18">
        <f>ROUND(AVERAGEIF(CONSOLIDADO!$B$2:$B$551,A34,CONSOLIDADO!$AR$2:$AR$551),2)</f>
        <v>52.14</v>
      </c>
      <c r="V34" s="18">
        <f>ROUND(AVERAGEIF(CONSOLIDADO!$B$2:$B$551,A34,CONSOLIDADO!$AS$2:$AS$551),2)</f>
        <v>7.16</v>
      </c>
      <c r="W34" s="18">
        <f>ROUND(AVERAGEIF(CONSOLIDADO!$B$2:$B$551,A34,CONSOLIDADO!$AT$2:$AT$551),2)</f>
        <v>0.26</v>
      </c>
      <c r="X34" s="64">
        <f>ROUND(AVERAGEIF(CONSOLIDADO!$B$2:$B$551,A34,CONSOLIDADO!$AX$2:$AX$551),2)</f>
        <v>7405462</v>
      </c>
      <c r="Y34" s="18">
        <f>ROUND(AVERAGEIF(CONSOLIDADO!$B$2:$B999,A34,CONSOLIDADO!$BA$2:$BA999),2)</f>
        <v>14.72</v>
      </c>
      <c r="Z34" s="18">
        <f>ROUND(AVERAGEIF(CONSOLIDADO!$B$2:$B999,A34,CONSOLIDADO!$AV$2:$AV999),2)</f>
        <v>1.21</v>
      </c>
    </row>
    <row r="35">
      <c r="A35" s="60" t="s">
        <v>53</v>
      </c>
      <c r="B35" s="60" t="s">
        <v>53</v>
      </c>
      <c r="C35" s="60" t="s">
        <v>1080</v>
      </c>
      <c r="D35" s="18" t="s">
        <v>1045</v>
      </c>
      <c r="E35" s="18">
        <v>3.0</v>
      </c>
      <c r="F35" s="18"/>
      <c r="G35" s="61">
        <v>1.45</v>
      </c>
      <c r="H35" s="62" t="s">
        <v>1083</v>
      </c>
      <c r="I35" s="62" t="s">
        <v>1084</v>
      </c>
      <c r="J35" s="18" t="s">
        <v>1008</v>
      </c>
      <c r="K35" s="18">
        <v>4.5547</v>
      </c>
      <c r="L35" s="18">
        <v>-74.1528222</v>
      </c>
      <c r="M35" s="18" t="str">
        <f t="shared" si="1"/>
        <v>4.5547,-74.1528222</v>
      </c>
      <c r="N35" s="18">
        <f>ROUND(AVERAGEIF(CONSOLIDADO!$B$2:$B$551,A35,CONSOLIDADO!$Q$2:$Q$551),2)</f>
        <v>69.79</v>
      </c>
      <c r="O35" s="18">
        <f>ROUND(AVERAGEIF(CONSOLIDADO!$B$2:$B$551,A35,CONSOLIDADO!$W$2:$W$551),2)</f>
        <v>7.82</v>
      </c>
      <c r="P35" s="18">
        <f>ROUND(AVERAGEIF(CONSOLIDADO!$B$2:$B$551,A35,CONSOLIDADO!$AC$2:$AC$551),2)</f>
        <v>15.08</v>
      </c>
      <c r="Q35" s="18">
        <f>ROUND(AVERAGEIF(CONSOLIDADO!$B$2:$B$551,A35,CONSOLIDADO!$Q$2:$Q$551),2)</f>
        <v>69.79</v>
      </c>
      <c r="R35" s="18">
        <f>ROUND(AVERAGEIF(CONSOLIDADO!$B$2:$B$551,A35,CONSOLIDADO!$AO$2:$AO$551),2)</f>
        <v>5.67</v>
      </c>
      <c r="S35" s="18">
        <f>ROUND(AVERAGEIF(CONSOLIDADO!$B$2:$B$551,A35,CONSOLIDADO!$AP$2:$AP$551),2)</f>
        <v>33.77</v>
      </c>
      <c r="T35" s="18">
        <f>ROUND(AVERAGEIF(CONSOLIDADO!$B$2:$B$551,A35,CONSOLIDADO!$AQ$2:$AQ$551),2)</f>
        <v>96.08</v>
      </c>
      <c r="U35" s="18">
        <f>ROUND(AVERAGEIF(CONSOLIDADO!$B$2:$B$551,A35,CONSOLIDADO!$AR$2:$AR$551),2)</f>
        <v>88.54</v>
      </c>
      <c r="V35" s="18">
        <f>ROUND(AVERAGEIF(CONSOLIDADO!$B$2:$B$551,A35,CONSOLIDADO!$AS$2:$AS$551),2)</f>
        <v>8.05</v>
      </c>
      <c r="W35" s="18">
        <f>ROUND(AVERAGEIF(CONSOLIDADO!$B$2:$B$551,A35,CONSOLIDADO!$AT$2:$AT$551),2)</f>
        <v>0.47</v>
      </c>
      <c r="X35" s="64">
        <f>ROUND(AVERAGEIF(CONSOLIDADO!$B$2:$B$551,A35,CONSOLIDADO!$AX$2:$AX$551),2)</f>
        <v>1321173.67</v>
      </c>
      <c r="Y35" s="18">
        <f>ROUND(AVERAGEIF(CONSOLIDADO!$B$2:$B999,A35,CONSOLIDADO!$BA$2:$BA999),2)</f>
        <v>16.88</v>
      </c>
      <c r="Z35" s="18">
        <f>ROUND(AVERAGEIF(CONSOLIDADO!$B$2:$B999,A35,CONSOLIDADO!$AV$2:$AV999),2)</f>
        <v>1.52</v>
      </c>
    </row>
    <row r="36">
      <c r="A36" s="60" t="s">
        <v>59</v>
      </c>
      <c r="B36" s="60" t="s">
        <v>59</v>
      </c>
      <c r="C36" s="60" t="s">
        <v>1080</v>
      </c>
      <c r="D36" s="18" t="s">
        <v>1045</v>
      </c>
      <c r="E36" s="18">
        <v>3.0</v>
      </c>
      <c r="F36" s="18"/>
      <c r="G36" s="61">
        <f>G35+0.74</f>
        <v>2.19</v>
      </c>
      <c r="H36" s="62" t="s">
        <v>1085</v>
      </c>
      <c r="I36" s="62" t="s">
        <v>1086</v>
      </c>
      <c r="J36" s="18" t="s">
        <v>1008</v>
      </c>
      <c r="K36" s="18">
        <v>4.5592611</v>
      </c>
      <c r="L36" s="18">
        <v>-74.1502417</v>
      </c>
      <c r="M36" s="18" t="str">
        <f t="shared" si="1"/>
        <v>4.5592611,-74.1502417</v>
      </c>
      <c r="N36" s="18">
        <f>ROUND(AVERAGEIF(CONSOLIDADO!$B$2:$B$551,A36,CONSOLIDADO!$Q$2:$Q$551),2)</f>
        <v>92.25</v>
      </c>
      <c r="O36" s="18">
        <f>ROUND(AVERAGEIF(CONSOLIDADO!$B$2:$B$551,A36,CONSOLIDADO!$W$2:$W$551),2)</f>
        <v>8.05</v>
      </c>
      <c r="P36" s="18">
        <f>ROUND(AVERAGEIF(CONSOLIDADO!$B$2:$B$551,A36,CONSOLIDADO!$AC$2:$AC$551),2)</f>
        <v>15.36</v>
      </c>
      <c r="Q36" s="18">
        <f>ROUND(AVERAGEIF(CONSOLIDADO!$B$2:$B$551,A36,CONSOLIDADO!$Q$2:$Q$551),2)</f>
        <v>92.25</v>
      </c>
      <c r="R36" s="18">
        <f>ROUND(AVERAGEIF(CONSOLIDADO!$B$2:$B$551,A36,CONSOLIDADO!$AO$2:$AO$551),2)</f>
        <v>5.17</v>
      </c>
      <c r="S36" s="18">
        <f>ROUND(AVERAGEIF(CONSOLIDADO!$B$2:$B$551,A36,CONSOLIDADO!$AP$2:$AP$551),2)</f>
        <v>52.36</v>
      </c>
      <c r="T36" s="18">
        <f>ROUND(AVERAGEIF(CONSOLIDADO!$B$2:$B$551,A36,CONSOLIDADO!$AQ$2:$AQ$551),2)</f>
        <v>144.64</v>
      </c>
      <c r="U36" s="18">
        <f>ROUND(AVERAGEIF(CONSOLIDADO!$B$2:$B$551,A36,CONSOLIDADO!$AR$2:$AR$551),2)</f>
        <v>81.82</v>
      </c>
      <c r="V36" s="18">
        <f>ROUND(AVERAGEIF(CONSOLIDADO!$B$2:$B$551,A36,CONSOLIDADO!$AS$2:$AS$551),2)</f>
        <v>12.88</v>
      </c>
      <c r="W36" s="18">
        <f>ROUND(AVERAGEIF(CONSOLIDADO!$B$2:$B$551,A36,CONSOLIDADO!$AT$2:$AT$551),2)</f>
        <v>1.12</v>
      </c>
      <c r="X36" s="64">
        <f>ROUND(AVERAGEIF(CONSOLIDADO!$B$2:$B$551,A36,CONSOLIDADO!$AX$2:$AX$551),2)</f>
        <v>8384718.81</v>
      </c>
      <c r="Y36" s="18">
        <f>ROUND(AVERAGEIF(CONSOLIDADO!$B$2:$B999,A36,CONSOLIDADO!$BA$2:$BA999),2)</f>
        <v>19.6</v>
      </c>
      <c r="Z36" s="18">
        <f>ROUND(AVERAGEIF(CONSOLIDADO!$B$2:$B999,A36,CONSOLIDADO!$AV$2:$AV999),2)</f>
        <v>2.04</v>
      </c>
    </row>
    <row r="37">
      <c r="A37" s="75" t="s">
        <v>55</v>
      </c>
      <c r="B37" s="75" t="s">
        <v>55</v>
      </c>
      <c r="C37" s="60" t="s">
        <v>1080</v>
      </c>
      <c r="D37" s="18" t="s">
        <v>1045</v>
      </c>
      <c r="E37" s="18">
        <v>3.0</v>
      </c>
      <c r="F37" s="18"/>
      <c r="G37" s="61">
        <f>G36+1.33</f>
        <v>3.52</v>
      </c>
      <c r="H37" s="62" t="s">
        <v>1087</v>
      </c>
      <c r="I37" s="62" t="s">
        <v>1088</v>
      </c>
      <c r="J37" s="18" t="s">
        <v>1008</v>
      </c>
      <c r="K37" s="18">
        <v>4.56935</v>
      </c>
      <c r="L37" s="18">
        <v>-74.1478917</v>
      </c>
      <c r="M37" s="18" t="str">
        <f t="shared" si="1"/>
        <v>4.56935,-74.1478917</v>
      </c>
      <c r="N37" s="18">
        <f>ROUND(AVERAGEIF(CONSOLIDADO!$B$2:$B$551,A37,CONSOLIDADO!$Q$2:$Q$551),2)</f>
        <v>425.37</v>
      </c>
      <c r="O37" s="18">
        <f>ROUND(AVERAGEIF(CONSOLIDADO!$B$2:$B$551,A37,CONSOLIDADO!$W$2:$W$551),2)</f>
        <v>7.8</v>
      </c>
      <c r="P37" s="18">
        <f>ROUND(AVERAGEIF(CONSOLIDADO!$B$2:$B$551,A37,CONSOLIDADO!$AC$2:$AC$551),2)</f>
        <v>16.96</v>
      </c>
      <c r="Q37" s="18">
        <f>ROUND(AVERAGEIF(CONSOLIDADO!$B$2:$B$551,A37,CONSOLIDADO!$Q$2:$Q$551),2)</f>
        <v>425.37</v>
      </c>
      <c r="R37" s="18">
        <f>ROUND(AVERAGEIF(CONSOLIDADO!$B$2:$B$551,A37,CONSOLIDADO!$AO$2:$AO$551),2)</f>
        <v>2.91</v>
      </c>
      <c r="S37" s="18">
        <f>ROUND(AVERAGEIF(CONSOLIDADO!$B$2:$B$551,A37,CONSOLIDADO!$AP$2:$AP$551),2)</f>
        <v>82.58</v>
      </c>
      <c r="T37" s="18">
        <f>ROUND(AVERAGEIF(CONSOLIDADO!$B$2:$B$551,A37,CONSOLIDADO!$AQ$2:$AQ$551),2)</f>
        <v>193.38</v>
      </c>
      <c r="U37" s="18">
        <f>ROUND(AVERAGEIF(CONSOLIDADO!$B$2:$B$551,A37,CONSOLIDADO!$AR$2:$AR$551),2)</f>
        <v>179.04</v>
      </c>
      <c r="V37" s="18">
        <f>ROUND(AVERAGEIF(CONSOLIDADO!$B$2:$B$551,A37,CONSOLIDADO!$AS$2:$AS$551),2)</f>
        <v>16.88</v>
      </c>
      <c r="W37" s="18">
        <f>ROUND(AVERAGEIF(CONSOLIDADO!$B$2:$B$551,A37,CONSOLIDADO!$AT$2:$AT$551),2)</f>
        <v>2.3</v>
      </c>
      <c r="X37" s="64">
        <f>ROUND(AVERAGEIF(CONSOLIDADO!$B$2:$B$551,A37,CONSOLIDADO!$AX$2:$AX$551),2)</f>
        <v>21202902.5</v>
      </c>
      <c r="Y37" s="18">
        <f>ROUND(AVERAGEIF(CONSOLIDADO!$B$2:$B999,A37,CONSOLIDADO!$BA$2:$BA999),2)</f>
        <v>30.1</v>
      </c>
      <c r="Z37" s="18">
        <f>ROUND(AVERAGEIF(CONSOLIDADO!$B$2:$B999,A37,CONSOLIDADO!$AV$2:$AV999),2)</f>
        <v>3.18</v>
      </c>
    </row>
    <row r="38" ht="14.25" customHeight="1"/>
    <row r="39" ht="14.25" customHeight="1"/>
    <row r="40" ht="14.25" customHeight="1"/>
    <row r="41" ht="14.25" customHeight="1"/>
    <row r="42" ht="14.25" customHeight="1">
      <c r="E42" s="77"/>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id="rId1" ref="H2"/>
    <hyperlink r:id="rId2" ref="I2"/>
    <hyperlink r:id="rId3" ref="H3"/>
    <hyperlink r:id="rId4" ref="I3"/>
    <hyperlink r:id="rId5" ref="H4"/>
    <hyperlink r:id="rId6" ref="I4"/>
    <hyperlink r:id="rId7" ref="H5"/>
    <hyperlink r:id="rId8" ref="I5"/>
    <hyperlink r:id="rId9" ref="H6"/>
    <hyperlink r:id="rId10" ref="I6"/>
    <hyperlink r:id="rId11" ref="H7"/>
    <hyperlink r:id="rId12" ref="I7"/>
    <hyperlink r:id="rId13" ref="H8"/>
    <hyperlink r:id="rId14" ref="I8"/>
    <hyperlink r:id="rId15" ref="H9"/>
    <hyperlink r:id="rId16" ref="I9"/>
    <hyperlink r:id="rId17" ref="H10"/>
    <hyperlink r:id="rId18" ref="I10"/>
    <hyperlink r:id="rId19" ref="H11"/>
    <hyperlink r:id="rId20" ref="I11"/>
    <hyperlink r:id="rId21" ref="H12"/>
    <hyperlink r:id="rId22" ref="I12"/>
    <hyperlink r:id="rId23" ref="H13"/>
    <hyperlink r:id="rId24" ref="I13"/>
    <hyperlink r:id="rId25" ref="H14"/>
    <hyperlink r:id="rId26" ref="I14"/>
    <hyperlink r:id="rId27" ref="H15"/>
    <hyperlink r:id="rId28" ref="I15"/>
    <hyperlink r:id="rId29" ref="H16"/>
    <hyperlink r:id="rId30" ref="I16"/>
    <hyperlink r:id="rId31" ref="H17"/>
    <hyperlink r:id="rId32" ref="I17"/>
    <hyperlink r:id="rId33" ref="H18"/>
    <hyperlink r:id="rId34" ref="I18"/>
    <hyperlink r:id="rId35" ref="H19"/>
    <hyperlink r:id="rId36" ref="I19"/>
    <hyperlink r:id="rId37" ref="H20"/>
    <hyperlink r:id="rId38" ref="I20"/>
    <hyperlink r:id="rId39" ref="H21"/>
    <hyperlink r:id="rId40" ref="I21"/>
    <hyperlink r:id="rId41" ref="H22"/>
    <hyperlink r:id="rId42" ref="I22"/>
    <hyperlink r:id="rId43" ref="H23"/>
    <hyperlink r:id="rId44" ref="I23"/>
    <hyperlink r:id="rId45" ref="H24"/>
    <hyperlink r:id="rId46" ref="I24"/>
    <hyperlink r:id="rId47" ref="H25"/>
    <hyperlink r:id="rId48" ref="I25"/>
    <hyperlink r:id="rId49" ref="H26"/>
    <hyperlink r:id="rId50" ref="I26"/>
    <hyperlink r:id="rId51" ref="H27"/>
    <hyperlink r:id="rId52" ref="I27"/>
    <hyperlink r:id="rId53" ref="H28"/>
    <hyperlink r:id="rId54" ref="I28"/>
    <hyperlink r:id="rId55" ref="H29"/>
    <hyperlink r:id="rId56" ref="I29"/>
    <hyperlink r:id="rId57" ref="H30"/>
    <hyperlink r:id="rId58" ref="I30"/>
    <hyperlink r:id="rId59" ref="H31"/>
    <hyperlink r:id="rId60" ref="I31"/>
    <hyperlink r:id="rId61" ref="H32"/>
    <hyperlink r:id="rId62" ref="I32"/>
    <hyperlink r:id="rId63" ref="H33"/>
    <hyperlink r:id="rId64" ref="I33"/>
    <hyperlink r:id="rId65" ref="H34"/>
    <hyperlink r:id="rId66" ref="I34"/>
    <hyperlink r:id="rId67" ref="H35"/>
    <hyperlink r:id="rId68" ref="I35"/>
    <hyperlink r:id="rId69" ref="H36"/>
    <hyperlink r:id="rId70" ref="I36"/>
    <hyperlink r:id="rId71" ref="H37"/>
    <hyperlink r:id="rId72" ref="I37"/>
  </hyperlinks>
  <printOptions/>
  <pageMargins bottom="0.75" footer="0.0" header="0.0" left="0.7" right="0.7" top="0.75"/>
  <pageSetup orientation="landscape"/>
  <drawing r:id="rId73"/>
</worksheet>
</file>