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User\OneDrive\Desktop\MRF\"/>
    </mc:Choice>
  </mc:AlternateContent>
  <bookViews>
    <workbookView xWindow="0" yWindow="0" windowWidth="23040" windowHeight="10332"/>
  </bookViews>
  <sheets>
    <sheet name="Table of contents" sheetId="32" r:id="rId1"/>
    <sheet name="Case Study" sheetId="17" r:id="rId2"/>
    <sheet name="Financials &gt;" sheetId="7" r:id="rId3"/>
    <sheet name="Historical FS" sheetId="8" r:id="rId4"/>
    <sheet name="Common Statement" sheetId="21" r:id="rId5"/>
    <sheet name="Ratios" sheetId="27" r:id="rId6"/>
    <sheet name="Relative Valuation" sheetId="20" r:id="rId7"/>
    <sheet name="DCF" sheetId="10" r:id="rId8"/>
    <sheet name="WACC" sheetId="11" r:id="rId9"/>
    <sheet name="Intrensic Growth" sheetId="12" r:id="rId10"/>
    <sheet name="FCFF" sheetId="14" r:id="rId11"/>
    <sheet name="Dupont" sheetId="23" r:id="rId12"/>
    <sheet name="Dupont Interpretation" sheetId="25" r:id="rId13"/>
    <sheet name="Altman" sheetId="26" r:id="rId14"/>
    <sheet name="Altman Interpretation" sheetId="29" r:id="rId15"/>
    <sheet name="Data &gt;" sheetId="9" r:id="rId16"/>
    <sheet name="Rel Data" sheetId="19" r:id="rId17"/>
    <sheet name="Data Sheet" sheetId="6" r:id="rId18"/>
    <sheet name="Cash Flow" sheetId="4" r:id="rId19"/>
    <sheet name="Raw Balance Sheet" sheetId="18" r:id="rId20"/>
    <sheet name="Rm" sheetId="16" r:id="rId21"/>
  </sheets>
  <externalReferences>
    <externalReference r:id="rId22"/>
  </externalReferences>
  <definedNames>
    <definedName name="CompsUnleveredBeta">WACC!$J$33</definedName>
    <definedName name="CostOfDebt">WACC!$E$27</definedName>
    <definedName name="CostOfEquity">WACC!$J$28</definedName>
    <definedName name="DebtToEquity">WACC!$G1</definedName>
    <definedName name="DebtWeight">WACC!$E$34</definedName>
    <definedName name="EquityRiskPremium">WACC!$J$26</definedName>
    <definedName name="EquityWeight">WACC!$E$35</definedName>
    <definedName name="LeveredBeta2">WACC!$I1</definedName>
    <definedName name="LeveredBeta4">WACC!$J$36</definedName>
    <definedName name="_xlnm.Print_Area" localSheetId="14">'Altman Interpretation'!$A$1:$K$55</definedName>
    <definedName name="_xlnm.Print_Area" localSheetId="4">'Common Statement'!$A$1:$L$73</definedName>
    <definedName name="_xlnm.Print_Area" localSheetId="11">Dupont!$A$1:$K$58</definedName>
    <definedName name="_xlnm.Print_Area" localSheetId="12">'Dupont Interpretation'!$A$1:$K$42</definedName>
    <definedName name="_xlnm.Print_Area" localSheetId="10">FCFF!$A$1:$L$51</definedName>
    <definedName name="_xlnm.Print_Area" localSheetId="3">'Historical FS'!$A$1:$M$108</definedName>
    <definedName name="_xlnm.Print_Area" localSheetId="9">'Intrensic Growth'!$A$1:$J$70</definedName>
    <definedName name="_xlnm.Print_Area" localSheetId="5">Ratios!$A$1:$M$88</definedName>
    <definedName name="_xlnm.Print_Area" localSheetId="8">WACC!$A$1:$J$48</definedName>
    <definedName name="_xlnm.Print_Titles" localSheetId="3">'Historical FS'!$1:$7</definedName>
    <definedName name="RiskFreeRate">WACC!$J$25</definedName>
    <definedName name="Rm">WACC!$J$7</definedName>
    <definedName name="TargetDebtToEquity">WACC!$J$34</definedName>
    <definedName name="TaxRate">WACC!$F1</definedName>
    <definedName name="UPDATE">'Data Sheet'!$E1048562</definedName>
  </definedNames>
  <calcPr calcId="162913"/>
  <extLst>
    <ext xmlns:x14="http://schemas.microsoft.com/office/spreadsheetml/2009/9/main" uri="{79F54976-1DA5-4618-B147-4CDE4B953A38}">
      <x14:workbookPr defaultImageDpi="330"/>
    </ext>
    <ext xmlns:xcalcf="http://schemas.microsoft.com/office/spreadsheetml/2018/calcfeatures" uri="{B58B0392-4F1F-4190-BB64-5DF3571DCE5F}">
      <xcalcf:calcFeatures>
        <xcalcf:feature name="microsoft.com:RD"/>
        <xcalcf:feature name="microsoft.com:FV"/>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E49" i="27" l="1"/>
  <c r="F49" i="27"/>
  <c r="G49" i="27"/>
  <c r="H49" i="27"/>
  <c r="D49" i="27"/>
  <c r="E47" i="27"/>
  <c r="F47" i="27"/>
  <c r="F48" i="27" s="1"/>
  <c r="G47" i="27"/>
  <c r="G48" i="27" s="1"/>
  <c r="H47" i="27"/>
  <c r="H48" i="27" s="1"/>
  <c r="D47" i="27"/>
  <c r="D48" i="27" s="1"/>
  <c r="E42" i="27"/>
  <c r="F42" i="27"/>
  <c r="G42" i="27"/>
  <c r="H42" i="27"/>
  <c r="D42" i="27"/>
  <c r="E41" i="27"/>
  <c r="F41" i="27"/>
  <c r="G41" i="27"/>
  <c r="H41" i="27"/>
  <c r="D41" i="27"/>
  <c r="E40" i="27"/>
  <c r="F40" i="27"/>
  <c r="G40" i="27"/>
  <c r="H40" i="27"/>
  <c r="D40" i="27"/>
  <c r="E39" i="27"/>
  <c r="F39" i="27"/>
  <c r="G39" i="27"/>
  <c r="H39" i="27"/>
  <c r="D39" i="27"/>
  <c r="E38" i="27"/>
  <c r="F38" i="27"/>
  <c r="G38" i="27"/>
  <c r="H38" i="27"/>
  <c r="D38" i="27"/>
  <c r="E33" i="27"/>
  <c r="F33" i="27"/>
  <c r="G33" i="27"/>
  <c r="H33" i="27"/>
  <c r="D33" i="27"/>
  <c r="E32" i="27"/>
  <c r="F32" i="27"/>
  <c r="G32" i="27"/>
  <c r="H32" i="27"/>
  <c r="D32" i="27"/>
  <c r="E31" i="27"/>
  <c r="F31" i="27"/>
  <c r="G31" i="27"/>
  <c r="H31" i="27"/>
  <c r="D31" i="27"/>
  <c r="E30" i="27"/>
  <c r="F30" i="27"/>
  <c r="G30" i="27"/>
  <c r="H30" i="27"/>
  <c r="D30" i="27"/>
  <c r="E29" i="27"/>
  <c r="F29" i="27"/>
  <c r="G29" i="27"/>
  <c r="H29" i="27"/>
  <c r="D29" i="27"/>
  <c r="E28" i="27"/>
  <c r="F28" i="27"/>
  <c r="G28" i="27"/>
  <c r="H28" i="27"/>
  <c r="D28" i="27"/>
  <c r="E23" i="27"/>
  <c r="F23" i="27"/>
  <c r="G23" i="27"/>
  <c r="H23" i="27"/>
  <c r="D23" i="27"/>
  <c r="E22" i="27"/>
  <c r="F22" i="27"/>
  <c r="G22" i="27"/>
  <c r="H22" i="27"/>
  <c r="D22" i="27"/>
  <c r="E21" i="27"/>
  <c r="F21" i="27"/>
  <c r="G21" i="27"/>
  <c r="H21" i="27"/>
  <c r="D21" i="27"/>
  <c r="E20" i="27"/>
  <c r="F20" i="27"/>
  <c r="G20" i="27"/>
  <c r="H20" i="27"/>
  <c r="D20" i="27"/>
  <c r="E19" i="27"/>
  <c r="F19" i="27"/>
  <c r="G19" i="27"/>
  <c r="H19" i="27"/>
  <c r="D19" i="27"/>
  <c r="E14" i="27"/>
  <c r="F14" i="27"/>
  <c r="G14" i="27"/>
  <c r="H14" i="27"/>
  <c r="D14" i="27"/>
  <c r="E13" i="27"/>
  <c r="F13" i="27"/>
  <c r="G13" i="27"/>
  <c r="H13" i="27"/>
  <c r="E12" i="27"/>
  <c r="F12" i="27"/>
  <c r="G12" i="27"/>
  <c r="H12" i="27"/>
  <c r="E11" i="27"/>
  <c r="F11" i="27"/>
  <c r="G11" i="27"/>
  <c r="H11" i="27"/>
  <c r="D11" i="27"/>
  <c r="D12" i="27"/>
  <c r="D13" i="27"/>
  <c r="E9" i="27"/>
  <c r="F9" i="27"/>
  <c r="G9" i="27"/>
  <c r="H9" i="27"/>
  <c r="D9" i="27"/>
  <c r="L32" i="27" l="1"/>
  <c r="L40" i="27"/>
  <c r="L11" i="27"/>
  <c r="L29" i="27"/>
  <c r="L41" i="27"/>
  <c r="M42" i="27"/>
  <c r="M22" i="27"/>
  <c r="M31" i="27"/>
  <c r="M40" i="27"/>
  <c r="L47" i="27"/>
  <c r="M49" i="27"/>
  <c r="M38" i="27"/>
  <c r="M28" i="27"/>
  <c r="M29" i="27"/>
  <c r="L33" i="27"/>
  <c r="M32" i="27"/>
  <c r="L13" i="27"/>
  <c r="M19" i="27"/>
  <c r="L23" i="27"/>
  <c r="M30" i="27"/>
  <c r="L31" i="27"/>
  <c r="L14" i="27"/>
  <c r="L22" i="27"/>
  <c r="M21" i="27"/>
  <c r="M20" i="27"/>
  <c r="L21" i="27"/>
  <c r="L42" i="27"/>
  <c r="L39" i="27"/>
  <c r="M41" i="27"/>
  <c r="L38" i="27"/>
  <c r="M23" i="27"/>
  <c r="M39" i="27"/>
  <c r="M33" i="27"/>
  <c r="E48" i="27"/>
  <c r="M48" i="27" s="1"/>
  <c r="L20" i="27"/>
  <c r="L30" i="27"/>
  <c r="M14" i="27"/>
  <c r="L19" i="27"/>
  <c r="L28" i="27"/>
  <c r="M47" i="27"/>
  <c r="M13" i="27"/>
  <c r="M12" i="27"/>
  <c r="L49" i="27"/>
  <c r="L48" i="27"/>
  <c r="M11" i="27"/>
  <c r="L12" i="27"/>
  <c r="H45" i="26" l="1"/>
  <c r="H47" i="26" s="1"/>
  <c r="I45" i="26"/>
  <c r="J45" i="26"/>
  <c r="K45" i="26"/>
  <c r="H44" i="26"/>
  <c r="I44" i="26"/>
  <c r="J44" i="26"/>
  <c r="K44" i="26"/>
  <c r="G44" i="26"/>
  <c r="I47" i="26"/>
  <c r="J47" i="26"/>
  <c r="K47" i="26"/>
  <c r="G47" i="26"/>
  <c r="G45" i="26"/>
  <c r="H41" i="26"/>
  <c r="I41" i="26"/>
  <c r="J41" i="26"/>
  <c r="K41" i="26"/>
  <c r="G41" i="26"/>
  <c r="H39" i="26"/>
  <c r="I39" i="26"/>
  <c r="J39" i="26"/>
  <c r="K39" i="26"/>
  <c r="G39" i="26"/>
  <c r="H38" i="26"/>
  <c r="I38" i="26"/>
  <c r="J38" i="26"/>
  <c r="K38" i="26"/>
  <c r="G38" i="26"/>
  <c r="H37" i="26"/>
  <c r="I37" i="26"/>
  <c r="J37" i="26"/>
  <c r="K37" i="26"/>
  <c r="G37" i="26"/>
  <c r="H34" i="26"/>
  <c r="I34" i="26"/>
  <c r="J34" i="26"/>
  <c r="K34" i="26"/>
  <c r="G34" i="26"/>
  <c r="H32" i="26"/>
  <c r="I32" i="26"/>
  <c r="J32" i="26"/>
  <c r="K32" i="26"/>
  <c r="G32" i="26"/>
  <c r="H30" i="26"/>
  <c r="I30" i="26" s="1"/>
  <c r="J30" i="26" s="1"/>
  <c r="K30" i="26" s="1"/>
  <c r="H27" i="26"/>
  <c r="I27" i="26"/>
  <c r="J27" i="26"/>
  <c r="K27" i="26"/>
  <c r="G27" i="26"/>
  <c r="H24" i="26"/>
  <c r="I24" i="26"/>
  <c r="J24" i="26"/>
  <c r="K24" i="26"/>
  <c r="G24" i="26"/>
  <c r="H25" i="26"/>
  <c r="I25" i="26"/>
  <c r="J25" i="26"/>
  <c r="K25" i="26"/>
  <c r="G25" i="26"/>
  <c r="H23" i="26"/>
  <c r="I23" i="26" s="1"/>
  <c r="J23" i="26" s="1"/>
  <c r="K23" i="26" s="1"/>
  <c r="H20" i="26"/>
  <c r="I20" i="26"/>
  <c r="J20" i="26"/>
  <c r="K20" i="26"/>
  <c r="G20" i="26"/>
  <c r="H18" i="26"/>
  <c r="I18" i="26"/>
  <c r="J18" i="26"/>
  <c r="K18" i="26"/>
  <c r="G18" i="26"/>
  <c r="H17" i="26"/>
  <c r="I17" i="26"/>
  <c r="J17" i="26"/>
  <c r="K17" i="26"/>
  <c r="G17" i="26"/>
  <c r="H16" i="26"/>
  <c r="I16" i="26" s="1"/>
  <c r="J16" i="26" s="1"/>
  <c r="K16" i="26" s="1"/>
  <c r="H13" i="26"/>
  <c r="H11" i="26"/>
  <c r="I11" i="26"/>
  <c r="J11" i="26"/>
  <c r="K11" i="26"/>
  <c r="G11" i="26"/>
  <c r="H10" i="26"/>
  <c r="I10" i="26"/>
  <c r="I13" i="26" s="1"/>
  <c r="J10" i="26"/>
  <c r="J13" i="26" s="1"/>
  <c r="K10" i="26"/>
  <c r="K13" i="26" s="1"/>
  <c r="G10" i="26"/>
  <c r="G13" i="26" s="1"/>
  <c r="H9" i="26"/>
  <c r="I9" i="26" s="1"/>
  <c r="J9" i="26" s="1"/>
  <c r="K9" i="26" s="1"/>
  <c r="B44" i="23" l="1"/>
  <c r="B43" i="23"/>
  <c r="B40" i="23"/>
  <c r="H39" i="23"/>
  <c r="H42" i="23" s="1"/>
  <c r="I39" i="23"/>
  <c r="I42" i="23" s="1"/>
  <c r="B39" i="23"/>
  <c r="B42" i="23" s="1"/>
  <c r="H37" i="23"/>
  <c r="I37" i="23" s="1"/>
  <c r="J37" i="23" s="1"/>
  <c r="K37" i="23" s="1"/>
  <c r="G33" i="23"/>
  <c r="B33" i="23"/>
  <c r="B32" i="23"/>
  <c r="B38" i="23" s="1"/>
  <c r="H31" i="23"/>
  <c r="I31" i="23" s="1"/>
  <c r="J31" i="23" s="1"/>
  <c r="K31" i="23" s="1"/>
  <c r="J12" i="23"/>
  <c r="H11" i="23"/>
  <c r="H25" i="23" s="1"/>
  <c r="I11" i="23"/>
  <c r="I25" i="23" s="1"/>
  <c r="J11" i="23"/>
  <c r="K11" i="23"/>
  <c r="K25" i="23" s="1"/>
  <c r="G11" i="23"/>
  <c r="G25" i="23" s="1"/>
  <c r="J25" i="23"/>
  <c r="B25" i="23"/>
  <c r="B24" i="23"/>
  <c r="H21" i="23"/>
  <c r="H24" i="23" s="1"/>
  <c r="I21" i="23"/>
  <c r="I33" i="23" s="1"/>
  <c r="J21" i="23"/>
  <c r="J33" i="23" s="1"/>
  <c r="K21" i="23"/>
  <c r="K43" i="23" s="1"/>
  <c r="G21" i="23"/>
  <c r="G43" i="23" s="1"/>
  <c r="H17" i="23"/>
  <c r="H20" i="23" s="1"/>
  <c r="H22" i="23" s="1"/>
  <c r="H44" i="23" s="1"/>
  <c r="I17" i="23"/>
  <c r="I20" i="23" s="1"/>
  <c r="J17" i="23"/>
  <c r="J39" i="23" s="1"/>
  <c r="J42" i="23" s="1"/>
  <c r="K17" i="23"/>
  <c r="K39" i="23" s="1"/>
  <c r="K42" i="23" s="1"/>
  <c r="G17" i="23"/>
  <c r="G39" i="23" s="1"/>
  <c r="G42" i="23" s="1"/>
  <c r="H15" i="23"/>
  <c r="I15" i="23" s="1"/>
  <c r="J15" i="23" s="1"/>
  <c r="K15" i="23" s="1"/>
  <c r="H10" i="23"/>
  <c r="H16" i="23" s="1"/>
  <c r="I10" i="23"/>
  <c r="I16" i="23" s="1"/>
  <c r="J10" i="23"/>
  <c r="J16" i="23" s="1"/>
  <c r="K10" i="23"/>
  <c r="K16" i="23" s="1"/>
  <c r="G10" i="23"/>
  <c r="G16" i="23" s="1"/>
  <c r="G32" i="23" s="1"/>
  <c r="H9" i="23"/>
  <c r="I9" i="23" s="1"/>
  <c r="J9" i="23" s="1"/>
  <c r="I22" i="23" l="1"/>
  <c r="I44" i="23" s="1"/>
  <c r="G24" i="23"/>
  <c r="G12" i="23"/>
  <c r="H33" i="23"/>
  <c r="K12" i="23"/>
  <c r="G34" i="23"/>
  <c r="G38" i="23"/>
  <c r="K18" i="23"/>
  <c r="K32" i="23"/>
  <c r="J18" i="23"/>
  <c r="J32" i="23"/>
  <c r="I32" i="23"/>
  <c r="I18" i="23"/>
  <c r="H18" i="23"/>
  <c r="H32" i="23"/>
  <c r="H26" i="23"/>
  <c r="G20" i="23"/>
  <c r="G22" i="23" s="1"/>
  <c r="G44" i="23" s="1"/>
  <c r="I43" i="23"/>
  <c r="J20" i="23"/>
  <c r="J22" i="23" s="1"/>
  <c r="J44" i="23" s="1"/>
  <c r="K24" i="23"/>
  <c r="K26" i="23" s="1"/>
  <c r="H43" i="23"/>
  <c r="G18" i="23"/>
  <c r="J24" i="23"/>
  <c r="J26" i="23" s="1"/>
  <c r="G26" i="23"/>
  <c r="I12" i="23"/>
  <c r="K33" i="23"/>
  <c r="J43" i="23"/>
  <c r="K20" i="23"/>
  <c r="K22" i="23" s="1"/>
  <c r="K44" i="23" s="1"/>
  <c r="I24" i="23"/>
  <c r="I26" i="23" s="1"/>
  <c r="H12" i="23"/>
  <c r="K9" i="23"/>
  <c r="I30" i="21"/>
  <c r="J30" i="21"/>
  <c r="K30" i="21"/>
  <c r="L30" i="21"/>
  <c r="I31" i="21"/>
  <c r="J31" i="21"/>
  <c r="K31" i="21"/>
  <c r="L31" i="21"/>
  <c r="I33" i="21"/>
  <c r="J33" i="21"/>
  <c r="K33" i="21"/>
  <c r="L33" i="21"/>
  <c r="I35" i="21"/>
  <c r="J35" i="21"/>
  <c r="K35" i="21"/>
  <c r="L35" i="21"/>
  <c r="I36" i="21"/>
  <c r="J36" i="21"/>
  <c r="K36" i="21"/>
  <c r="L36" i="21"/>
  <c r="I37" i="21"/>
  <c r="J37" i="21"/>
  <c r="K37" i="21"/>
  <c r="L37" i="21"/>
  <c r="I39" i="21"/>
  <c r="J39" i="21"/>
  <c r="K39" i="21"/>
  <c r="L39" i="21"/>
  <c r="I41" i="21"/>
  <c r="J41" i="21"/>
  <c r="K41" i="21"/>
  <c r="L41" i="21"/>
  <c r="I42" i="21"/>
  <c r="J42" i="21"/>
  <c r="K42" i="21"/>
  <c r="L42" i="21"/>
  <c r="I44" i="21"/>
  <c r="J44" i="21"/>
  <c r="K44" i="21"/>
  <c r="L44" i="21"/>
  <c r="I46" i="21"/>
  <c r="J46" i="21"/>
  <c r="K46" i="21"/>
  <c r="L46" i="21"/>
  <c r="I61" i="21"/>
  <c r="J61" i="21"/>
  <c r="K61" i="21"/>
  <c r="L61" i="21"/>
  <c r="I63" i="21"/>
  <c r="J63" i="21"/>
  <c r="K63" i="21"/>
  <c r="L63" i="21"/>
  <c r="I64" i="21"/>
  <c r="J64" i="21"/>
  <c r="K64" i="21"/>
  <c r="L64" i="21"/>
  <c r="I65" i="21"/>
  <c r="J65" i="21"/>
  <c r="K65" i="21"/>
  <c r="L65" i="21"/>
  <c r="I66" i="21"/>
  <c r="J66" i="21"/>
  <c r="K66" i="21"/>
  <c r="L66" i="21"/>
  <c r="I67" i="21"/>
  <c r="J67" i="21"/>
  <c r="K67" i="21"/>
  <c r="L67" i="21"/>
  <c r="I69" i="21"/>
  <c r="J69" i="21"/>
  <c r="K69" i="21"/>
  <c r="L69" i="21"/>
  <c r="I50" i="21"/>
  <c r="J50" i="21"/>
  <c r="K50" i="21"/>
  <c r="L50" i="21"/>
  <c r="I51" i="21"/>
  <c r="J51" i="21"/>
  <c r="K51" i="21"/>
  <c r="L51" i="21"/>
  <c r="I52" i="21"/>
  <c r="J52" i="21"/>
  <c r="K52" i="21"/>
  <c r="L52" i="21"/>
  <c r="I53" i="21"/>
  <c r="J53" i="21"/>
  <c r="K53" i="21"/>
  <c r="L53" i="21"/>
  <c r="I54" i="21"/>
  <c r="J54" i="21"/>
  <c r="K54" i="21"/>
  <c r="L54" i="21"/>
  <c r="I55" i="21"/>
  <c r="J55" i="21"/>
  <c r="K55" i="21"/>
  <c r="L55" i="21"/>
  <c r="I56" i="21"/>
  <c r="J56" i="21"/>
  <c r="K56" i="21"/>
  <c r="L56" i="21"/>
  <c r="I57" i="21"/>
  <c r="J57" i="21"/>
  <c r="K57" i="21"/>
  <c r="L57" i="21"/>
  <c r="I58" i="21"/>
  <c r="J58" i="21"/>
  <c r="K58" i="21"/>
  <c r="L58" i="21"/>
  <c r="I59" i="21"/>
  <c r="J59" i="21"/>
  <c r="K59" i="21"/>
  <c r="L59" i="21"/>
  <c r="H69" i="21"/>
  <c r="H67" i="21"/>
  <c r="H66" i="21"/>
  <c r="H65" i="21"/>
  <c r="H64" i="21"/>
  <c r="H63" i="21"/>
  <c r="H61" i="21"/>
  <c r="H59" i="21"/>
  <c r="H58" i="21"/>
  <c r="H57" i="21"/>
  <c r="H56" i="21"/>
  <c r="H55" i="21"/>
  <c r="H54" i="21"/>
  <c r="H53" i="21"/>
  <c r="H52" i="21"/>
  <c r="H51" i="21"/>
  <c r="H50" i="21"/>
  <c r="H46" i="21"/>
  <c r="H44" i="21"/>
  <c r="H42" i="21"/>
  <c r="H41" i="21"/>
  <c r="H39" i="21"/>
  <c r="H37" i="21"/>
  <c r="H36" i="21"/>
  <c r="H35" i="21"/>
  <c r="H33" i="21"/>
  <c r="H31" i="21"/>
  <c r="H30" i="21"/>
  <c r="I48" i="21"/>
  <c r="J48" i="21"/>
  <c r="K48" i="21"/>
  <c r="L48" i="21"/>
  <c r="H48" i="21"/>
  <c r="I71" i="21"/>
  <c r="J71" i="21"/>
  <c r="K71" i="21"/>
  <c r="L71" i="21"/>
  <c r="H71" i="21"/>
  <c r="D12" i="21"/>
  <c r="E12" i="21"/>
  <c r="F12" i="21"/>
  <c r="G12" i="21"/>
  <c r="H12" i="21"/>
  <c r="I12" i="21"/>
  <c r="J12" i="21"/>
  <c r="K12" i="21"/>
  <c r="L12" i="21"/>
  <c r="C12" i="21"/>
  <c r="C69" i="21"/>
  <c r="C61" i="21"/>
  <c r="C44" i="21"/>
  <c r="C33" i="21"/>
  <c r="C39" i="21"/>
  <c r="B57" i="21"/>
  <c r="B58" i="21"/>
  <c r="B59" i="21"/>
  <c r="B63" i="21"/>
  <c r="B64" i="21"/>
  <c r="B65" i="21"/>
  <c r="B66" i="21"/>
  <c r="B67" i="21"/>
  <c r="B71" i="21"/>
  <c r="B31" i="21"/>
  <c r="B35" i="21"/>
  <c r="B36" i="21"/>
  <c r="B37" i="21"/>
  <c r="B41" i="21"/>
  <c r="B42" i="21"/>
  <c r="B46" i="21"/>
  <c r="B50" i="21"/>
  <c r="B51" i="21"/>
  <c r="B52" i="21"/>
  <c r="B53" i="21"/>
  <c r="B54" i="21"/>
  <c r="B55" i="21"/>
  <c r="B56" i="21"/>
  <c r="B30" i="21"/>
  <c r="D13" i="21"/>
  <c r="E13" i="21"/>
  <c r="F13" i="21"/>
  <c r="G13" i="21"/>
  <c r="H13" i="21"/>
  <c r="I13" i="21"/>
  <c r="J13" i="21"/>
  <c r="K13" i="21"/>
  <c r="L13" i="21"/>
  <c r="D14" i="21"/>
  <c r="E14" i="21"/>
  <c r="F14" i="21"/>
  <c r="G14" i="21"/>
  <c r="H14" i="21"/>
  <c r="I14" i="21"/>
  <c r="J14" i="21"/>
  <c r="K14" i="21"/>
  <c r="L14" i="21"/>
  <c r="D15" i="21"/>
  <c r="E15" i="21"/>
  <c r="F15" i="21"/>
  <c r="G15" i="21"/>
  <c r="H15" i="21"/>
  <c r="I15" i="21"/>
  <c r="J15" i="21"/>
  <c r="K15" i="21"/>
  <c r="L15" i="21"/>
  <c r="D16" i="21"/>
  <c r="E16" i="21"/>
  <c r="F16" i="21"/>
  <c r="G16" i="21"/>
  <c r="H16" i="21"/>
  <c r="I16" i="21"/>
  <c r="J16" i="21"/>
  <c r="K16" i="21"/>
  <c r="L16" i="21"/>
  <c r="D17" i="21"/>
  <c r="E17" i="21"/>
  <c r="F17" i="21"/>
  <c r="G17" i="21"/>
  <c r="H17" i="21"/>
  <c r="I17" i="21"/>
  <c r="J17" i="21"/>
  <c r="K17" i="21"/>
  <c r="L17" i="21"/>
  <c r="D18" i="21"/>
  <c r="E18" i="21"/>
  <c r="F18" i="21"/>
  <c r="G18" i="21"/>
  <c r="H18" i="21"/>
  <c r="I18" i="21"/>
  <c r="J18" i="21"/>
  <c r="K18" i="21"/>
  <c r="L18" i="21"/>
  <c r="D19" i="21"/>
  <c r="E19" i="21"/>
  <c r="F19" i="21"/>
  <c r="G19" i="21"/>
  <c r="H19" i="21"/>
  <c r="I19" i="21"/>
  <c r="J19" i="21"/>
  <c r="K19" i="21"/>
  <c r="L19" i="21"/>
  <c r="D20" i="21"/>
  <c r="E20" i="21"/>
  <c r="F20" i="21"/>
  <c r="G20" i="21"/>
  <c r="H20" i="21"/>
  <c r="I20" i="21"/>
  <c r="J20" i="21"/>
  <c r="K20" i="21"/>
  <c r="L20" i="21"/>
  <c r="D21" i="21"/>
  <c r="E21" i="21"/>
  <c r="F21" i="21"/>
  <c r="G21" i="21"/>
  <c r="H21" i="21"/>
  <c r="I21" i="21"/>
  <c r="J21" i="21"/>
  <c r="K21" i="21"/>
  <c r="L21" i="21"/>
  <c r="D22" i="21"/>
  <c r="E22" i="21"/>
  <c r="F22" i="21"/>
  <c r="G22" i="21"/>
  <c r="H22" i="21"/>
  <c r="I22" i="21"/>
  <c r="J22" i="21"/>
  <c r="K22" i="21"/>
  <c r="L22" i="21"/>
  <c r="D23" i="21"/>
  <c r="E23" i="21"/>
  <c r="F23" i="21"/>
  <c r="G23" i="21"/>
  <c r="H23" i="21"/>
  <c r="I23" i="21"/>
  <c r="J23" i="21"/>
  <c r="K23" i="21"/>
  <c r="L23" i="21"/>
  <c r="D24" i="21"/>
  <c r="E24" i="21"/>
  <c r="F24" i="21"/>
  <c r="G24" i="21"/>
  <c r="H24" i="21"/>
  <c r="I24" i="21"/>
  <c r="J24" i="21"/>
  <c r="K24" i="21"/>
  <c r="L24" i="21"/>
  <c r="D25" i="21"/>
  <c r="E25" i="21"/>
  <c r="F25" i="21"/>
  <c r="G25" i="21"/>
  <c r="H25" i="21"/>
  <c r="I25" i="21"/>
  <c r="J25" i="21"/>
  <c r="K25" i="21"/>
  <c r="L25" i="21"/>
  <c r="D26" i="21"/>
  <c r="E26" i="21"/>
  <c r="F26" i="21"/>
  <c r="G26" i="21"/>
  <c r="H26" i="21"/>
  <c r="I26" i="21"/>
  <c r="J26" i="21"/>
  <c r="K26" i="21"/>
  <c r="L26" i="21"/>
  <c r="C26" i="21"/>
  <c r="B26" i="21"/>
  <c r="C25" i="21"/>
  <c r="C24" i="21"/>
  <c r="C23" i="21"/>
  <c r="C22" i="21"/>
  <c r="C21" i="21"/>
  <c r="C20" i="21"/>
  <c r="C19" i="21"/>
  <c r="C18" i="21"/>
  <c r="C17" i="21"/>
  <c r="C16" i="21"/>
  <c r="C15" i="21"/>
  <c r="C13" i="21"/>
  <c r="C14" i="21"/>
  <c r="B24" i="21"/>
  <c r="B25" i="21"/>
  <c r="B13" i="21"/>
  <c r="B14" i="21"/>
  <c r="B15" i="21"/>
  <c r="B16" i="21"/>
  <c r="B17" i="21"/>
  <c r="B18" i="21"/>
  <c r="B19" i="21"/>
  <c r="B20" i="21"/>
  <c r="B21" i="21"/>
  <c r="B22" i="21"/>
  <c r="B23" i="21"/>
  <c r="B12" i="21"/>
  <c r="D8" i="21"/>
  <c r="E8" i="21" s="1"/>
  <c r="I40" i="23" l="1"/>
  <c r="I46" i="23" s="1"/>
  <c r="I28" i="23"/>
  <c r="I48" i="23" s="1"/>
  <c r="I34" i="23"/>
  <c r="I38" i="23"/>
  <c r="J34" i="23"/>
  <c r="J38" i="23"/>
  <c r="G28" i="23"/>
  <c r="G40" i="23"/>
  <c r="G46" i="23" s="1"/>
  <c r="H28" i="23"/>
  <c r="H40" i="23"/>
  <c r="H46" i="23" s="1"/>
  <c r="J40" i="23"/>
  <c r="J46" i="23" s="1"/>
  <c r="J28" i="23"/>
  <c r="J48" i="23" s="1"/>
  <c r="K34" i="23"/>
  <c r="K38" i="23"/>
  <c r="K40" i="23"/>
  <c r="K46" i="23" s="1"/>
  <c r="K28" i="23"/>
  <c r="K48" i="23" s="1"/>
  <c r="H34" i="23"/>
  <c r="H38" i="23"/>
  <c r="C71" i="21"/>
  <c r="C48" i="21"/>
  <c r="C46" i="21"/>
  <c r="F8" i="21"/>
  <c r="G8" i="21" s="1"/>
  <c r="H8" i="21" s="1"/>
  <c r="I8" i="21" s="1"/>
  <c r="J8" i="21" s="1"/>
  <c r="K8" i="21" s="1"/>
  <c r="L8" i="21" s="1"/>
  <c r="O34" i="20"/>
  <c r="N34" i="20"/>
  <c r="M34" i="20"/>
  <c r="O31" i="20"/>
  <c r="O30" i="20"/>
  <c r="N30" i="20"/>
  <c r="N29" i="20"/>
  <c r="N32" i="20"/>
  <c r="O32" i="20"/>
  <c r="M32" i="20"/>
  <c r="M30" i="20"/>
  <c r="M29" i="20"/>
  <c r="O13" i="20"/>
  <c r="O14" i="20"/>
  <c r="O15" i="20"/>
  <c r="O16" i="20"/>
  <c r="O17" i="20"/>
  <c r="O18" i="20"/>
  <c r="O12" i="20"/>
  <c r="N13" i="20"/>
  <c r="N14" i="20"/>
  <c r="N15" i="20"/>
  <c r="N16" i="20"/>
  <c r="N17" i="20"/>
  <c r="N18" i="20"/>
  <c r="N12" i="20"/>
  <c r="M13" i="20"/>
  <c r="M14" i="20"/>
  <c r="M15" i="20"/>
  <c r="M16" i="20"/>
  <c r="M17" i="20"/>
  <c r="M18" i="20"/>
  <c r="M12" i="20"/>
  <c r="J13" i="20"/>
  <c r="J14" i="20"/>
  <c r="J15" i="20"/>
  <c r="J16" i="20"/>
  <c r="J17" i="20"/>
  <c r="J18" i="20"/>
  <c r="J12" i="20"/>
  <c r="Q4" i="19"/>
  <c r="Q5" i="19"/>
  <c r="Q6" i="19"/>
  <c r="Q7" i="19"/>
  <c r="Q8" i="19"/>
  <c r="Q9" i="19"/>
  <c r="Q3" i="19"/>
  <c r="K13" i="20"/>
  <c r="K14" i="20"/>
  <c r="K15" i="20"/>
  <c r="K16" i="20"/>
  <c r="K17" i="20"/>
  <c r="K18" i="20"/>
  <c r="K12" i="20"/>
  <c r="I13" i="20"/>
  <c r="I14" i="20"/>
  <c r="I15" i="20"/>
  <c r="I16" i="20"/>
  <c r="I17" i="20"/>
  <c r="I18" i="20"/>
  <c r="I12" i="20"/>
  <c r="G13" i="20"/>
  <c r="G14" i="20"/>
  <c r="G15" i="20"/>
  <c r="G16" i="20"/>
  <c r="G17" i="20"/>
  <c r="G18" i="20"/>
  <c r="G12" i="20"/>
  <c r="F13" i="20"/>
  <c r="F14" i="20"/>
  <c r="F15" i="20"/>
  <c r="F16" i="20"/>
  <c r="F17" i="20"/>
  <c r="F18" i="20"/>
  <c r="F12" i="20"/>
  <c r="E13" i="20"/>
  <c r="E14" i="20"/>
  <c r="E15" i="20"/>
  <c r="E16" i="20"/>
  <c r="E17" i="20"/>
  <c r="E18" i="20"/>
  <c r="E12" i="20"/>
  <c r="D13" i="20"/>
  <c r="D14" i="20"/>
  <c r="D15" i="20"/>
  <c r="D16" i="20"/>
  <c r="D17" i="20"/>
  <c r="D18" i="20"/>
  <c r="D12" i="20"/>
  <c r="C13" i="20"/>
  <c r="C14" i="20"/>
  <c r="C15" i="20"/>
  <c r="C16" i="20"/>
  <c r="C17" i="20"/>
  <c r="C18" i="20"/>
  <c r="C12" i="20"/>
  <c r="O27" i="20"/>
  <c r="N27" i="20"/>
  <c r="M27" i="20"/>
  <c r="G48" i="23" l="1"/>
  <c r="H48" i="23"/>
  <c r="M25" i="20"/>
  <c r="O24" i="20"/>
  <c r="N24" i="20"/>
  <c r="N21" i="20"/>
  <c r="N23" i="20"/>
  <c r="O22" i="20"/>
  <c r="O25" i="20"/>
  <c r="N22" i="20"/>
  <c r="O20" i="20"/>
  <c r="O23" i="20"/>
  <c r="M24" i="20"/>
  <c r="O21" i="20"/>
  <c r="N25" i="20" l="1"/>
  <c r="N20" i="20"/>
  <c r="M23" i="20"/>
  <c r="M22" i="20"/>
  <c r="M20" i="20"/>
  <c r="M21" i="20"/>
  <c r="O33" i="20"/>
  <c r="O29" i="20"/>
  <c r="M31" i="20"/>
  <c r="M33" i="20" s="1"/>
  <c r="N31" i="20"/>
  <c r="N33" i="20" s="1"/>
  <c r="E30" i="14"/>
  <c r="E31" i="14"/>
  <c r="K43" i="14"/>
  <c r="G47" i="12"/>
  <c r="H47" i="12"/>
  <c r="I47" i="12"/>
  <c r="J47" i="12"/>
  <c r="F47" i="12"/>
  <c r="E42" i="14"/>
  <c r="E41" i="14"/>
  <c r="G36" i="12"/>
  <c r="H36" i="12"/>
  <c r="I36" i="12"/>
  <c r="J36" i="12"/>
  <c r="F36" i="12"/>
  <c r="G35" i="12"/>
  <c r="G37" i="12" s="1"/>
  <c r="H35" i="12"/>
  <c r="I35" i="12"/>
  <c r="J35" i="12"/>
  <c r="F35" i="12"/>
  <c r="G26" i="12"/>
  <c r="H26" i="12"/>
  <c r="I26" i="12"/>
  <c r="J26" i="12"/>
  <c r="G27" i="12"/>
  <c r="H27" i="12"/>
  <c r="I27" i="12"/>
  <c r="J27" i="12"/>
  <c r="G28" i="12"/>
  <c r="H28" i="12"/>
  <c r="I28" i="12"/>
  <c r="J28" i="12"/>
  <c r="G29" i="12"/>
  <c r="H29" i="12"/>
  <c r="I29" i="12"/>
  <c r="J29" i="12"/>
  <c r="G30" i="12"/>
  <c r="H30" i="12"/>
  <c r="I30" i="12"/>
  <c r="J30" i="12"/>
  <c r="G31" i="12"/>
  <c r="H31" i="12"/>
  <c r="I31" i="12"/>
  <c r="J31" i="12"/>
  <c r="G32" i="12"/>
  <c r="H32" i="12"/>
  <c r="I32" i="12"/>
  <c r="J32" i="12"/>
  <c r="G33" i="12"/>
  <c r="H33" i="12"/>
  <c r="I33" i="12"/>
  <c r="J33" i="12"/>
  <c r="F33" i="12"/>
  <c r="F32" i="12"/>
  <c r="F31" i="12"/>
  <c r="F30" i="12"/>
  <c r="F29" i="12"/>
  <c r="F28" i="12"/>
  <c r="F27" i="12"/>
  <c r="F26" i="12"/>
  <c r="G18" i="12"/>
  <c r="H18" i="12"/>
  <c r="I18" i="12"/>
  <c r="J18" i="12"/>
  <c r="G19" i="12"/>
  <c r="H19" i="12"/>
  <c r="I19" i="12"/>
  <c r="J19" i="12"/>
  <c r="G20" i="12"/>
  <c r="H20" i="12"/>
  <c r="I20" i="12"/>
  <c r="J20" i="12"/>
  <c r="F20" i="12"/>
  <c r="F19" i="12"/>
  <c r="F18" i="12"/>
  <c r="G11" i="12"/>
  <c r="H11" i="12"/>
  <c r="I11" i="12"/>
  <c r="J11" i="12"/>
  <c r="G12" i="12"/>
  <c r="H12" i="12"/>
  <c r="I12" i="12"/>
  <c r="J12" i="12"/>
  <c r="G13" i="12"/>
  <c r="H13" i="12"/>
  <c r="I13" i="12"/>
  <c r="J13" i="12"/>
  <c r="G14" i="12"/>
  <c r="H14" i="12"/>
  <c r="I14" i="12"/>
  <c r="J14" i="12"/>
  <c r="F14" i="12"/>
  <c r="F13" i="12"/>
  <c r="F12" i="12"/>
  <c r="F11" i="12"/>
  <c r="F8" i="12"/>
  <c r="G8" i="12"/>
  <c r="H8" i="12"/>
  <c r="I8" i="12"/>
  <c r="J8" i="12"/>
  <c r="F37" i="12" l="1"/>
  <c r="J37" i="12"/>
  <c r="I37" i="12"/>
  <c r="H37" i="12"/>
  <c r="C35" i="11"/>
  <c r="C34" i="11"/>
  <c r="I96" i="8" l="1"/>
  <c r="J96" i="8"/>
  <c r="K96" i="8"/>
  <c r="L96" i="8"/>
  <c r="I97" i="8"/>
  <c r="J97" i="8"/>
  <c r="K97" i="8"/>
  <c r="L97" i="8"/>
  <c r="I98" i="8"/>
  <c r="J98" i="8"/>
  <c r="K98" i="8"/>
  <c r="L98" i="8"/>
  <c r="I99" i="8"/>
  <c r="J99" i="8"/>
  <c r="K99" i="8"/>
  <c r="L99" i="8"/>
  <c r="I100" i="8"/>
  <c r="J100" i="8"/>
  <c r="K100" i="8"/>
  <c r="L100" i="8"/>
  <c r="I101" i="8"/>
  <c r="J101" i="8"/>
  <c r="K101" i="8"/>
  <c r="L101" i="8"/>
  <c r="I102" i="8"/>
  <c r="J102" i="8"/>
  <c r="K102" i="8"/>
  <c r="L102" i="8"/>
  <c r="I103" i="8"/>
  <c r="J103" i="8"/>
  <c r="K103" i="8"/>
  <c r="L103" i="8"/>
  <c r="H103" i="8"/>
  <c r="H102" i="8"/>
  <c r="H101" i="8"/>
  <c r="H100" i="8"/>
  <c r="H99" i="8"/>
  <c r="H98" i="8"/>
  <c r="H97" i="8"/>
  <c r="H96" i="8"/>
  <c r="I85" i="8"/>
  <c r="J85" i="8"/>
  <c r="K85" i="8"/>
  <c r="L85" i="8"/>
  <c r="I86" i="8"/>
  <c r="J86" i="8"/>
  <c r="K86" i="8"/>
  <c r="L86" i="8"/>
  <c r="I87" i="8"/>
  <c r="J87" i="8"/>
  <c r="K87" i="8"/>
  <c r="L87" i="8"/>
  <c r="I88" i="8"/>
  <c r="J88" i="8"/>
  <c r="K88" i="8"/>
  <c r="L88" i="8"/>
  <c r="I89" i="8"/>
  <c r="J89" i="8"/>
  <c r="K89" i="8"/>
  <c r="L89" i="8"/>
  <c r="I90" i="8"/>
  <c r="J90" i="8"/>
  <c r="K90" i="8"/>
  <c r="L90" i="8"/>
  <c r="I91" i="8"/>
  <c r="J91" i="8"/>
  <c r="K91" i="8"/>
  <c r="L91" i="8"/>
  <c r="H91" i="8"/>
  <c r="H90" i="8"/>
  <c r="H89" i="8"/>
  <c r="H88" i="8"/>
  <c r="H87" i="8"/>
  <c r="H86" i="8"/>
  <c r="H85" i="8"/>
  <c r="I74" i="8"/>
  <c r="J74" i="8"/>
  <c r="K74" i="8"/>
  <c r="L74" i="8"/>
  <c r="I75" i="8"/>
  <c r="J75" i="8"/>
  <c r="K75" i="8"/>
  <c r="L75" i="8"/>
  <c r="I76" i="8"/>
  <c r="J76" i="8"/>
  <c r="K76" i="8"/>
  <c r="L76" i="8"/>
  <c r="I77" i="8"/>
  <c r="J77" i="8"/>
  <c r="K77" i="8"/>
  <c r="L77" i="8"/>
  <c r="I78" i="8"/>
  <c r="J78" i="8"/>
  <c r="K78" i="8"/>
  <c r="L78" i="8"/>
  <c r="I79" i="8"/>
  <c r="J79" i="8"/>
  <c r="K79" i="8"/>
  <c r="L79" i="8"/>
  <c r="I80" i="8"/>
  <c r="J80" i="8"/>
  <c r="K80" i="8"/>
  <c r="L80" i="8"/>
  <c r="H80" i="8"/>
  <c r="H79" i="8"/>
  <c r="H78" i="8"/>
  <c r="H77" i="8"/>
  <c r="H76" i="8"/>
  <c r="H75" i="8"/>
  <c r="H74" i="8"/>
  <c r="L93" i="8" l="1"/>
  <c r="K93" i="8"/>
  <c r="H93" i="8"/>
  <c r="K82" i="8"/>
  <c r="J93" i="8"/>
  <c r="L82" i="8"/>
  <c r="I93" i="8"/>
  <c r="J82" i="8"/>
  <c r="I82" i="8"/>
  <c r="H6" i="16"/>
  <c r="H8" i="16" s="1"/>
  <c r="H12" i="14"/>
  <c r="I12" i="14"/>
  <c r="J12" i="14"/>
  <c r="K12" i="14"/>
  <c r="L12" i="14"/>
  <c r="G12" i="14"/>
  <c r="G8" i="14"/>
  <c r="H8" i="14" s="1"/>
  <c r="I8" i="14" s="1"/>
  <c r="J8" i="14" s="1"/>
  <c r="K8" i="14" s="1"/>
  <c r="L8" i="14" s="1"/>
  <c r="F62" i="12"/>
  <c r="J21" i="12"/>
  <c r="F21" i="12"/>
  <c r="J15" i="12"/>
  <c r="F15" i="12"/>
  <c r="H68" i="12"/>
  <c r="H67" i="12"/>
  <c r="J45" i="12"/>
  <c r="J60" i="12" s="1"/>
  <c r="I45" i="12"/>
  <c r="I60" i="12" s="1"/>
  <c r="H45" i="12"/>
  <c r="H60" i="12" s="1"/>
  <c r="G45" i="12"/>
  <c r="G60" i="12" s="1"/>
  <c r="F45" i="12"/>
  <c r="F60" i="12" s="1"/>
  <c r="D35" i="11"/>
  <c r="J13" i="11"/>
  <c r="J14" i="11"/>
  <c r="J15" i="11"/>
  <c r="J16" i="11"/>
  <c r="J17" i="11"/>
  <c r="I20" i="11"/>
  <c r="G20" i="11"/>
  <c r="F20" i="11"/>
  <c r="E26" i="11" s="1"/>
  <c r="I19" i="11"/>
  <c r="G19" i="11"/>
  <c r="F19" i="11"/>
  <c r="H14" i="11"/>
  <c r="H15" i="11"/>
  <c r="H16" i="11"/>
  <c r="H17" i="11"/>
  <c r="H13" i="11"/>
  <c r="F23" i="12" l="1"/>
  <c r="F39" i="12" s="1"/>
  <c r="H20" i="11"/>
  <c r="E34" i="11" s="1"/>
  <c r="J34" i="11" s="1"/>
  <c r="H19" i="11"/>
  <c r="I21" i="12"/>
  <c r="H21" i="12"/>
  <c r="G15" i="12"/>
  <c r="I15" i="12"/>
  <c r="G21" i="12"/>
  <c r="J35" i="11"/>
  <c r="H15" i="12"/>
  <c r="J26" i="11"/>
  <c r="J23" i="12"/>
  <c r="D34" i="11"/>
  <c r="D38" i="11"/>
  <c r="C36" i="11"/>
  <c r="J19" i="11"/>
  <c r="J20" i="11"/>
  <c r="J33" i="11" s="1"/>
  <c r="J44" i="11" l="1"/>
  <c r="I23" i="12"/>
  <c r="J48" i="12" s="1"/>
  <c r="J54" i="12" s="1"/>
  <c r="H23" i="12"/>
  <c r="G23" i="12"/>
  <c r="J39" i="12"/>
  <c r="D36" i="11"/>
  <c r="E36" i="11" s="1"/>
  <c r="E35" i="11" s="1"/>
  <c r="I39" i="12" l="1"/>
  <c r="I48" i="12"/>
  <c r="I54" i="12" s="1"/>
  <c r="H39" i="12"/>
  <c r="G48" i="12"/>
  <c r="G54" i="12" s="1"/>
  <c r="G39" i="12"/>
  <c r="H48" i="12"/>
  <c r="H54" i="12" s="1"/>
  <c r="J41" i="11"/>
  <c r="E38" i="11"/>
  <c r="J36" i="11" l="1"/>
  <c r="J27" i="11" s="1"/>
  <c r="D85" i="8" l="1"/>
  <c r="E85" i="8"/>
  <c r="F85" i="8"/>
  <c r="G85" i="8"/>
  <c r="D86" i="8"/>
  <c r="E86" i="8"/>
  <c r="F86" i="8"/>
  <c r="G86" i="8"/>
  <c r="D87" i="8"/>
  <c r="E87" i="8"/>
  <c r="F87" i="8"/>
  <c r="G87" i="8"/>
  <c r="D88" i="8"/>
  <c r="E88" i="8"/>
  <c r="F88" i="8"/>
  <c r="G88" i="8"/>
  <c r="D89" i="8"/>
  <c r="E89" i="8"/>
  <c r="F89" i="8"/>
  <c r="G89" i="8"/>
  <c r="D90" i="8"/>
  <c r="E90" i="8"/>
  <c r="F90" i="8"/>
  <c r="G90" i="8"/>
  <c r="D91" i="8"/>
  <c r="E91" i="8"/>
  <c r="F91" i="8"/>
  <c r="G91" i="8"/>
  <c r="D92" i="8"/>
  <c r="E92" i="8"/>
  <c r="F92" i="8"/>
  <c r="G92" i="8"/>
  <c r="C86" i="8"/>
  <c r="C87" i="8"/>
  <c r="C88" i="8"/>
  <c r="C89" i="8"/>
  <c r="C90" i="8"/>
  <c r="C91" i="8"/>
  <c r="C92" i="8"/>
  <c r="C85" i="8"/>
  <c r="D60" i="8"/>
  <c r="E60" i="8"/>
  <c r="F60" i="8"/>
  <c r="G60" i="8"/>
  <c r="H60" i="8"/>
  <c r="I60" i="8"/>
  <c r="J60" i="8"/>
  <c r="K60" i="8"/>
  <c r="L60" i="8"/>
  <c r="C60" i="8"/>
  <c r="D63" i="8"/>
  <c r="E63" i="8"/>
  <c r="F63" i="8"/>
  <c r="G63" i="8"/>
  <c r="H63" i="8"/>
  <c r="I63" i="8"/>
  <c r="J63" i="8"/>
  <c r="K63" i="8"/>
  <c r="L63" i="8"/>
  <c r="D64" i="8"/>
  <c r="E64" i="8"/>
  <c r="F64" i="8"/>
  <c r="G64" i="8"/>
  <c r="H64" i="8"/>
  <c r="I64" i="8"/>
  <c r="J64" i="8"/>
  <c r="K64" i="8"/>
  <c r="L64" i="8"/>
  <c r="D65" i="8"/>
  <c r="E65" i="8"/>
  <c r="F65" i="8"/>
  <c r="G65" i="8"/>
  <c r="H65" i="8"/>
  <c r="I65" i="8"/>
  <c r="J65" i="8"/>
  <c r="K65" i="8"/>
  <c r="L65" i="8"/>
  <c r="C64" i="8"/>
  <c r="C65" i="8"/>
  <c r="C63" i="8"/>
  <c r="D57" i="8"/>
  <c r="E57" i="8"/>
  <c r="F57" i="8"/>
  <c r="G57" i="8"/>
  <c r="H57" i="8"/>
  <c r="I57" i="8"/>
  <c r="J57" i="8"/>
  <c r="K57" i="8"/>
  <c r="L57" i="8"/>
  <c r="D58" i="8"/>
  <c r="E58" i="8"/>
  <c r="F58" i="8"/>
  <c r="G58" i="8"/>
  <c r="H58" i="8"/>
  <c r="I58" i="8"/>
  <c r="J58" i="8"/>
  <c r="K58" i="8"/>
  <c r="L58" i="8"/>
  <c r="D59" i="8"/>
  <c r="E59" i="8"/>
  <c r="F59" i="8"/>
  <c r="G59" i="8"/>
  <c r="H59" i="8"/>
  <c r="I59" i="8"/>
  <c r="J59" i="8"/>
  <c r="K59" i="8"/>
  <c r="L59" i="8"/>
  <c r="C58" i="8"/>
  <c r="C59" i="8"/>
  <c r="C57" i="8"/>
  <c r="C52" i="8"/>
  <c r="D52" i="8"/>
  <c r="E52" i="8"/>
  <c r="F52" i="8"/>
  <c r="G52" i="8"/>
  <c r="H52" i="8"/>
  <c r="I52" i="8"/>
  <c r="J52" i="8"/>
  <c r="K52" i="8"/>
  <c r="L52" i="8"/>
  <c r="C53" i="8"/>
  <c r="D53" i="8"/>
  <c r="E53" i="8"/>
  <c r="F53" i="8"/>
  <c r="G53" i="8"/>
  <c r="H53" i="8"/>
  <c r="I53" i="8"/>
  <c r="J53" i="8"/>
  <c r="K53" i="8"/>
  <c r="L53" i="8"/>
  <c r="C54" i="8"/>
  <c r="D54" i="8"/>
  <c r="E54" i="8"/>
  <c r="F54" i="8"/>
  <c r="G54" i="8"/>
  <c r="H54" i="8"/>
  <c r="I54" i="8"/>
  <c r="J54" i="8"/>
  <c r="K54" i="8"/>
  <c r="L54" i="8"/>
  <c r="C55" i="8"/>
  <c r="D55" i="8"/>
  <c r="E55" i="8"/>
  <c r="F55" i="8"/>
  <c r="G55" i="8"/>
  <c r="H55" i="8"/>
  <c r="I55" i="8"/>
  <c r="J55" i="8"/>
  <c r="K55" i="8"/>
  <c r="L55" i="8"/>
  <c r="D51" i="8"/>
  <c r="E51" i="8"/>
  <c r="F51" i="8"/>
  <c r="G51" i="8"/>
  <c r="H51" i="8"/>
  <c r="I51" i="8"/>
  <c r="J51" i="8"/>
  <c r="K51" i="8"/>
  <c r="L51" i="8"/>
  <c r="C51" i="8"/>
  <c r="D40" i="8"/>
  <c r="D45" i="8" s="1"/>
  <c r="D46" i="8" s="1"/>
  <c r="D48" i="8" s="1"/>
  <c r="E40" i="8"/>
  <c r="E45" i="8" s="1"/>
  <c r="E46" i="8" s="1"/>
  <c r="E48" i="8" s="1"/>
  <c r="F40" i="8"/>
  <c r="F45" i="8" s="1"/>
  <c r="F46" i="8" s="1"/>
  <c r="F48" i="8" s="1"/>
  <c r="G40" i="8"/>
  <c r="G45" i="8" s="1"/>
  <c r="G46" i="8" s="1"/>
  <c r="G48" i="8" s="1"/>
  <c r="H40" i="8"/>
  <c r="H45" i="8" s="1"/>
  <c r="H46" i="8" s="1"/>
  <c r="H48" i="8" s="1"/>
  <c r="I40" i="8"/>
  <c r="I45" i="8" s="1"/>
  <c r="I46" i="8" s="1"/>
  <c r="I48" i="8" s="1"/>
  <c r="J40" i="8"/>
  <c r="J45" i="8" s="1"/>
  <c r="J46" i="8" s="1"/>
  <c r="J48" i="8" s="1"/>
  <c r="K40" i="8"/>
  <c r="K45" i="8" s="1"/>
  <c r="K46" i="8" s="1"/>
  <c r="K48" i="8" s="1"/>
  <c r="L40" i="8"/>
  <c r="L45" i="8" s="1"/>
  <c r="L46" i="8" s="1"/>
  <c r="M40" i="8"/>
  <c r="M45" i="8" s="1"/>
  <c r="C40" i="8"/>
  <c r="C45" i="8" s="1"/>
  <c r="C46" i="8" s="1"/>
  <c r="C48" i="8" s="1"/>
  <c r="E66" i="8" l="1"/>
  <c r="F93" i="8"/>
  <c r="L104" i="8"/>
  <c r="D104" i="8"/>
  <c r="E82" i="8"/>
  <c r="E93" i="8"/>
  <c r="K104" i="8"/>
  <c r="D82" i="8"/>
  <c r="C82" i="8"/>
  <c r="C93" i="8"/>
  <c r="C104" i="8"/>
  <c r="I104" i="8"/>
  <c r="F82" i="8"/>
  <c r="G82" i="8"/>
  <c r="H82" i="8"/>
  <c r="H104" i="8"/>
  <c r="H66" i="8"/>
  <c r="C61" i="8"/>
  <c r="G61" i="8"/>
  <c r="G66" i="8"/>
  <c r="G104" i="8"/>
  <c r="D93" i="8"/>
  <c r="F66" i="8"/>
  <c r="F104" i="8"/>
  <c r="J104" i="8"/>
  <c r="G93" i="8"/>
  <c r="E104" i="8"/>
  <c r="H61" i="8"/>
  <c r="F61" i="8"/>
  <c r="K66" i="8"/>
  <c r="L66" i="8"/>
  <c r="D66" i="8"/>
  <c r="E61" i="8"/>
  <c r="E68" i="8" s="1"/>
  <c r="E70" i="8" s="1"/>
  <c r="J66" i="8"/>
  <c r="L61" i="8"/>
  <c r="D61" i="8"/>
  <c r="I61" i="8"/>
  <c r="J61" i="8"/>
  <c r="K61" i="8"/>
  <c r="C66" i="8"/>
  <c r="C68" i="8" s="1"/>
  <c r="C70" i="8" s="1"/>
  <c r="I66" i="8"/>
  <c r="M31" i="8"/>
  <c r="M37" i="8"/>
  <c r="M42" i="8" s="1"/>
  <c r="D37" i="8"/>
  <c r="D42" i="8" s="1"/>
  <c r="E37" i="8"/>
  <c r="E42" i="8" s="1"/>
  <c r="F37" i="8"/>
  <c r="F42" i="8" s="1"/>
  <c r="G37" i="8"/>
  <c r="G42" i="8" s="1"/>
  <c r="H37" i="8"/>
  <c r="H42" i="8" s="1"/>
  <c r="I37" i="8"/>
  <c r="I42" i="8" s="1"/>
  <c r="J37" i="8"/>
  <c r="J42" i="8" s="1"/>
  <c r="K37" i="8"/>
  <c r="K42" i="8" s="1"/>
  <c r="L37" i="8"/>
  <c r="L42" i="8" s="1"/>
  <c r="C37" i="8"/>
  <c r="C42" i="8" s="1"/>
  <c r="M34" i="8"/>
  <c r="D34" i="8"/>
  <c r="E34" i="8"/>
  <c r="F34" i="8"/>
  <c r="G34" i="8"/>
  <c r="H34" i="8"/>
  <c r="I34" i="8"/>
  <c r="J34" i="8"/>
  <c r="K34" i="8"/>
  <c r="L34" i="8"/>
  <c r="C34" i="8"/>
  <c r="M28" i="8"/>
  <c r="D28" i="8"/>
  <c r="E28" i="8"/>
  <c r="F28" i="8"/>
  <c r="G28" i="8"/>
  <c r="H28" i="8"/>
  <c r="I28" i="8"/>
  <c r="J28" i="8"/>
  <c r="K28" i="8"/>
  <c r="L28" i="8"/>
  <c r="C28" i="8"/>
  <c r="M25" i="8"/>
  <c r="D25" i="8"/>
  <c r="E25" i="8"/>
  <c r="F25" i="8"/>
  <c r="G25" i="8"/>
  <c r="H25" i="8"/>
  <c r="I25" i="8"/>
  <c r="J25" i="8"/>
  <c r="K25" i="8"/>
  <c r="L25" i="8"/>
  <c r="C25" i="8"/>
  <c r="D19" i="8"/>
  <c r="E19" i="8"/>
  <c r="F19" i="8"/>
  <c r="G19" i="8"/>
  <c r="H19" i="8"/>
  <c r="I19" i="8"/>
  <c r="J19" i="8"/>
  <c r="K19" i="8"/>
  <c r="L19" i="8"/>
  <c r="C19" i="8"/>
  <c r="M13" i="8"/>
  <c r="D13" i="8"/>
  <c r="E13" i="8"/>
  <c r="F13" i="8"/>
  <c r="G13" i="8"/>
  <c r="H13" i="8"/>
  <c r="I13" i="8"/>
  <c r="J13" i="8"/>
  <c r="K13" i="8"/>
  <c r="L13" i="8"/>
  <c r="C13" i="8"/>
  <c r="M10" i="8"/>
  <c r="D10" i="8"/>
  <c r="E10" i="8"/>
  <c r="F10" i="8"/>
  <c r="G10" i="8"/>
  <c r="H10" i="8"/>
  <c r="I10" i="8"/>
  <c r="J10" i="8"/>
  <c r="K10" i="8"/>
  <c r="L10" i="8"/>
  <c r="C10" i="8"/>
  <c r="B6" i="8"/>
  <c r="L7" i="8"/>
  <c r="I7" i="8"/>
  <c r="J7" i="8"/>
  <c r="K7" i="8"/>
  <c r="D7" i="8"/>
  <c r="E7" i="8"/>
  <c r="F7" i="8"/>
  <c r="G7" i="8"/>
  <c r="H7" i="8"/>
  <c r="C7" i="8"/>
  <c r="E25" i="11" l="1"/>
  <c r="E27" i="11" s="1"/>
  <c r="J43" i="11" s="1"/>
  <c r="G68" i="8"/>
  <c r="G70" i="8" s="1"/>
  <c r="M38" i="8"/>
  <c r="L43" i="8"/>
  <c r="D68" i="8"/>
  <c r="D70" i="8" s="1"/>
  <c r="L68" i="8"/>
  <c r="L70" i="8" s="1"/>
  <c r="I43" i="8"/>
  <c r="K106" i="8"/>
  <c r="F106" i="8"/>
  <c r="H68" i="8"/>
  <c r="H70" i="8" s="1"/>
  <c r="J106" i="8"/>
  <c r="J68" i="8"/>
  <c r="J70" i="8" s="1"/>
  <c r="I106" i="8"/>
  <c r="H106" i="8"/>
  <c r="K68" i="8"/>
  <c r="K70" i="8" s="1"/>
  <c r="F11" i="8"/>
  <c r="G43" i="8"/>
  <c r="C106" i="8"/>
  <c r="D106" i="8"/>
  <c r="L106" i="8"/>
  <c r="G106" i="8"/>
  <c r="K43" i="8"/>
  <c r="F68" i="8"/>
  <c r="F70" i="8" s="1"/>
  <c r="E106" i="8"/>
  <c r="I68" i="8"/>
  <c r="I70" i="8" s="1"/>
  <c r="E43" i="8"/>
  <c r="J14" i="8"/>
  <c r="G29" i="8"/>
  <c r="F43" i="8"/>
  <c r="H11" i="8"/>
  <c r="F14" i="8"/>
  <c r="C29" i="8"/>
  <c r="E29" i="8"/>
  <c r="I20" i="8"/>
  <c r="J43" i="8"/>
  <c r="F20" i="8"/>
  <c r="H26" i="8"/>
  <c r="G20" i="8"/>
  <c r="E16" i="8"/>
  <c r="I14" i="8"/>
  <c r="C20" i="8"/>
  <c r="E20" i="8"/>
  <c r="G26" i="8"/>
  <c r="I38" i="8"/>
  <c r="L16" i="8"/>
  <c r="L22" i="8" s="1"/>
  <c r="D16" i="8"/>
  <c r="D22" i="8" s="1"/>
  <c r="D23" i="8" s="1"/>
  <c r="F38" i="8"/>
  <c r="H14" i="8"/>
  <c r="D43" i="8"/>
  <c r="C16" i="8"/>
  <c r="C22" i="8" s="1"/>
  <c r="G14" i="8"/>
  <c r="E26" i="8"/>
  <c r="H29" i="8"/>
  <c r="H43" i="8"/>
  <c r="H38" i="8"/>
  <c r="L26" i="8"/>
  <c r="J11" i="8"/>
  <c r="D11" i="8"/>
  <c r="D26" i="8"/>
  <c r="F29" i="8"/>
  <c r="G38" i="8"/>
  <c r="L11" i="8"/>
  <c r="D20" i="8"/>
  <c r="C38" i="8"/>
  <c r="K20" i="8"/>
  <c r="H20" i="8"/>
  <c r="L29" i="8"/>
  <c r="D29" i="8"/>
  <c r="E38" i="8"/>
  <c r="G11" i="8"/>
  <c r="C14" i="8"/>
  <c r="E14" i="8"/>
  <c r="F26" i="8"/>
  <c r="M29" i="8"/>
  <c r="L38" i="8"/>
  <c r="D38" i="8"/>
  <c r="M26" i="8"/>
  <c r="L20" i="8"/>
  <c r="E11" i="8"/>
  <c r="F16" i="8"/>
  <c r="D14" i="8"/>
  <c r="C26" i="8"/>
  <c r="K38" i="8"/>
  <c r="M32" i="8"/>
  <c r="L14" i="8"/>
  <c r="K14" i="8"/>
  <c r="J38" i="8"/>
  <c r="M35" i="8"/>
  <c r="J29" i="8"/>
  <c r="I16" i="8"/>
  <c r="J26" i="8"/>
  <c r="I29" i="8"/>
  <c r="M14" i="8"/>
  <c r="K29" i="8"/>
  <c r="K11" i="8"/>
  <c r="H16" i="8"/>
  <c r="I26" i="8"/>
  <c r="K16" i="8"/>
  <c r="G16" i="8"/>
  <c r="J16" i="8"/>
  <c r="K26" i="8"/>
  <c r="I11" i="8"/>
  <c r="M20" i="8"/>
  <c r="J20" i="8"/>
  <c r="M16" i="8"/>
  <c r="B6" i="6"/>
  <c r="E44" i="14" s="1"/>
  <c r="E1" i="6"/>
  <c r="A1" i="4"/>
  <c r="L23" i="8" l="1"/>
  <c r="J40" i="12"/>
  <c r="D17" i="8"/>
  <c r="L17" i="8"/>
  <c r="D31" i="8"/>
  <c r="D32" i="8" s="1"/>
  <c r="L31" i="8"/>
  <c r="L32" i="8" s="1"/>
  <c r="C17" i="8"/>
  <c r="E22" i="8"/>
  <c r="E17" i="8"/>
  <c r="H22" i="8"/>
  <c r="F40" i="12" s="1"/>
  <c r="H17" i="8"/>
  <c r="K22" i="8"/>
  <c r="I40" i="12" s="1"/>
  <c r="K17" i="8"/>
  <c r="I22" i="8"/>
  <c r="G40" i="12" s="1"/>
  <c r="I17" i="8"/>
  <c r="M22" i="8"/>
  <c r="M17" i="8"/>
  <c r="J22" i="8"/>
  <c r="H40" i="12" s="1"/>
  <c r="J17" i="8"/>
  <c r="F22" i="8"/>
  <c r="F17" i="8"/>
  <c r="G22" i="8"/>
  <c r="G17" i="8"/>
  <c r="C1" i="4"/>
  <c r="G42" i="12" l="1"/>
  <c r="G63" i="12" s="1"/>
  <c r="G50" i="12"/>
  <c r="G52" i="12" s="1"/>
  <c r="G55" i="12" s="1"/>
  <c r="I42" i="12"/>
  <c r="I63" i="12" s="1"/>
  <c r="I50" i="12"/>
  <c r="I52" i="12" s="1"/>
  <c r="I55" i="12" s="1"/>
  <c r="I62" i="12" s="1"/>
  <c r="F42" i="12"/>
  <c r="F63" i="12" s="1"/>
  <c r="F50" i="12"/>
  <c r="F52" i="12" s="1"/>
  <c r="H42" i="12"/>
  <c r="H63" i="12" s="1"/>
  <c r="H50" i="12"/>
  <c r="H52" i="12" s="1"/>
  <c r="H55" i="12" s="1"/>
  <c r="H62" i="12" s="1"/>
  <c r="J50" i="12"/>
  <c r="G10" i="14" s="1"/>
  <c r="J42" i="12"/>
  <c r="J63" i="12" s="1"/>
  <c r="L35" i="8"/>
  <c r="D35" i="8"/>
  <c r="E23" i="8"/>
  <c r="E31" i="8"/>
  <c r="G23" i="8"/>
  <c r="G31" i="8"/>
  <c r="I23" i="8"/>
  <c r="I31" i="8"/>
  <c r="F23" i="8"/>
  <c r="F31" i="8"/>
  <c r="K23" i="8"/>
  <c r="K31" i="8"/>
  <c r="J23" i="8"/>
  <c r="J31" i="8"/>
  <c r="H23" i="8"/>
  <c r="H31" i="8"/>
  <c r="H65" i="12" l="1"/>
  <c r="I65" i="12"/>
  <c r="G62" i="12"/>
  <c r="G65" i="12" s="1"/>
  <c r="J52" i="12"/>
  <c r="E32" i="8"/>
  <c r="E35" i="8"/>
  <c r="K35" i="8"/>
  <c r="K32" i="8"/>
  <c r="H32" i="8"/>
  <c r="H35" i="8"/>
  <c r="J32" i="8"/>
  <c r="J35" i="8"/>
  <c r="F32" i="8"/>
  <c r="F35" i="8"/>
  <c r="I32" i="8"/>
  <c r="I35" i="8"/>
  <c r="G35" i="8"/>
  <c r="G32" i="8"/>
  <c r="G14" i="14" l="1"/>
  <c r="J55" i="12"/>
  <c r="C31" i="8"/>
  <c r="C35" i="8" s="1"/>
  <c r="C23" i="8"/>
  <c r="G16" i="14" l="1"/>
  <c r="G18" i="14" s="1"/>
  <c r="J62" i="12"/>
  <c r="J65" i="12" s="1"/>
  <c r="J57" i="12"/>
  <c r="J58" i="12"/>
  <c r="C32" i="8"/>
  <c r="I16" i="14" l="1"/>
  <c r="J16" i="14"/>
  <c r="L16" i="14"/>
  <c r="K16" i="14"/>
  <c r="H16" i="14"/>
  <c r="J67" i="12"/>
  <c r="J68" i="12"/>
  <c r="E24" i="14" s="1"/>
  <c r="H10" i="14" s="1"/>
  <c r="J28" i="11"/>
  <c r="J40" i="11" s="1"/>
  <c r="I10" i="14" l="1"/>
  <c r="H14" i="14"/>
  <c r="H18" i="14" s="1"/>
  <c r="J46" i="11"/>
  <c r="H20" i="14" l="1"/>
  <c r="I20" i="14"/>
  <c r="K20" i="14"/>
  <c r="G20" i="14"/>
  <c r="G22" i="14" s="1"/>
  <c r="J20" i="14"/>
  <c r="L20" i="14"/>
  <c r="J10" i="14"/>
  <c r="I14" i="14"/>
  <c r="I18" i="14" s="1"/>
  <c r="K10" i="14" l="1"/>
  <c r="J14" i="14"/>
  <c r="J18" i="14" s="1"/>
  <c r="H22" i="14"/>
  <c r="I22" i="14"/>
  <c r="J22" i="14" l="1"/>
  <c r="L10" i="14"/>
  <c r="L14" i="14" s="1"/>
  <c r="L18" i="14" s="1"/>
  <c r="E29" i="14" s="1"/>
  <c r="E33" i="14" s="1"/>
  <c r="K14" i="14"/>
  <c r="K18" i="14" s="1"/>
  <c r="K22" i="14" s="1"/>
  <c r="E38" i="14" l="1"/>
  <c r="G26" i="14"/>
  <c r="L22" i="14"/>
  <c r="E37" i="14" s="1"/>
  <c r="E39" i="14" l="1"/>
  <c r="E43" i="14" s="1"/>
  <c r="E45" i="14" s="1"/>
  <c r="G35" i="14" l="1"/>
  <c r="K44" i="14"/>
</calcChain>
</file>

<file path=xl/sharedStrings.xml><?xml version="1.0" encoding="utf-8"?>
<sst xmlns="http://schemas.openxmlformats.org/spreadsheetml/2006/main" count="710" uniqueCount="460">
  <si>
    <t>COMPANY NAME</t>
  </si>
  <si>
    <t>SCREENER.IN</t>
  </si>
  <si>
    <t>Sales</t>
  </si>
  <si>
    <t>Expenses</t>
  </si>
  <si>
    <t>Operating Profit</t>
  </si>
  <si>
    <t>Other Income</t>
  </si>
  <si>
    <t>Depreciation</t>
  </si>
  <si>
    <t>Interest</t>
  </si>
  <si>
    <t>Profit before tax</t>
  </si>
  <si>
    <t>Tax</t>
  </si>
  <si>
    <t>Net profit</t>
  </si>
  <si>
    <t>Sales Growth</t>
  </si>
  <si>
    <t>Equity Share Capital</t>
  </si>
  <si>
    <t>Reserves</t>
  </si>
  <si>
    <t>Total</t>
  </si>
  <si>
    <t>Net Block</t>
  </si>
  <si>
    <t>Capital Work in Progress</t>
  </si>
  <si>
    <t>Investments</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</si>
  <si>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</si>
  <si>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</si>
  <si>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</si>
  <si>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</si>
  <si>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</si>
  <si>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</si>
  <si>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</si>
  <si>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</si>
  <si>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</si>
  <si>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</si>
  <si>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</si>
  <si>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</si>
  <si>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</si>
  <si>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Inventory</t>
  </si>
  <si>
    <t>LATEST VERSION</t>
  </si>
  <si>
    <t>CURRENT VERSION</t>
  </si>
  <si>
    <t>MRF LTD</t>
  </si>
  <si>
    <t>META</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</si>
  <si>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</si>
  <si>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</si>
  <si>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</si>
  <si>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</si>
  <si>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</si>
  <si>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</si>
  <si>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</si>
  <si>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</si>
  <si>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</si>
  <si>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</si>
  <si>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</si>
  <si>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</si>
  <si>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</si>
  <si>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</si>
  <si>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</si>
  <si>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</si>
  <si>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</si>
  <si>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</si>
  <si>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</si>
  <si>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</si>
  <si>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Years</t>
  </si>
  <si>
    <t xml:space="preserve">         LTM </t>
  </si>
  <si>
    <t>Income Statement</t>
  </si>
  <si>
    <t>#</t>
  </si>
  <si>
    <t>-</t>
  </si>
  <si>
    <t>COGS</t>
  </si>
  <si>
    <t>COGS % Sales</t>
  </si>
  <si>
    <t>Gross Profit</t>
  </si>
  <si>
    <t>S&amp;G Expences %Sales</t>
  </si>
  <si>
    <t>EBITDA</t>
  </si>
  <si>
    <t>EBITDA Margin</t>
  </si>
  <si>
    <t>Interest %Sales</t>
  </si>
  <si>
    <t>Depreciation %Sales</t>
  </si>
  <si>
    <t>Gross Margin</t>
  </si>
  <si>
    <t>EBT</t>
  </si>
  <si>
    <t>EBT %Sales</t>
  </si>
  <si>
    <t>Effective Tax Rate</t>
  </si>
  <si>
    <t>Net Profit</t>
  </si>
  <si>
    <t>Net Margin</t>
  </si>
  <si>
    <t>No of Equity Shares</t>
  </si>
  <si>
    <t>Earning per Share</t>
  </si>
  <si>
    <t>Dividend per share</t>
  </si>
  <si>
    <t>EPS Growth %</t>
  </si>
  <si>
    <t xml:space="preserve"> -</t>
  </si>
  <si>
    <t>Dividend Payout Ratio</t>
  </si>
  <si>
    <t>Retained Earnings</t>
  </si>
  <si>
    <t>Balance Sheet</t>
  </si>
  <si>
    <t>Total Liabilities</t>
  </si>
  <si>
    <t>Fixed Assets Net Block</t>
  </si>
  <si>
    <t>Total  Non Current Assets</t>
  </si>
  <si>
    <t>Total Current Assets</t>
  </si>
  <si>
    <t>Total Assets</t>
  </si>
  <si>
    <t>Check</t>
  </si>
  <si>
    <t>Profit from operations</t>
  </si>
  <si>
    <t>Payables</t>
  </si>
  <si>
    <t>Loans Advances</t>
  </si>
  <si>
    <t>Other WC items</t>
  </si>
  <si>
    <t>Working capital changes</t>
  </si>
  <si>
    <t>Direct taxes</t>
  </si>
  <si>
    <t>Fixed assets purchased</t>
  </si>
  <si>
    <t>Fixed assets sold</t>
  </si>
  <si>
    <t>Investments purchased</t>
  </si>
  <si>
    <t>Investments sold</t>
  </si>
  <si>
    <t>Interest received</t>
  </si>
  <si>
    <t>Other investing items</t>
  </si>
  <si>
    <t>Proceeds from borrowings</t>
  </si>
  <si>
    <t>Repayment of borrowings</t>
  </si>
  <si>
    <t>Interest paid fin</t>
  </si>
  <si>
    <t>Dividends paid</t>
  </si>
  <si>
    <t>Financial liabilities</t>
  </si>
  <si>
    <t>Other financing items</t>
  </si>
  <si>
    <t>Cash Flow Statements</t>
  </si>
  <si>
    <t>Operating Activities</t>
  </si>
  <si>
    <t>Cash From Operating Activities</t>
  </si>
  <si>
    <t>Investing Activities</t>
  </si>
  <si>
    <t>Cash From Investing Activities</t>
  </si>
  <si>
    <t>Financial Activities</t>
  </si>
  <si>
    <t>Cash From Financial Activities</t>
  </si>
  <si>
    <t>Net CashFlow</t>
  </si>
  <si>
    <t>S &amp; G Expenses</t>
  </si>
  <si>
    <t>All figures are in INR  in crores unless stated otherwise</t>
  </si>
  <si>
    <t>Peer Comps</t>
  </si>
  <si>
    <t>Name</t>
  </si>
  <si>
    <t>Country</t>
  </si>
  <si>
    <t>Total Debt</t>
  </si>
  <si>
    <t>Total Equity</t>
  </si>
  <si>
    <t xml:space="preserve">Tax Rate </t>
  </si>
  <si>
    <t>Debt /</t>
  </si>
  <si>
    <t xml:space="preserve">Levered </t>
  </si>
  <si>
    <t>UnLevered</t>
  </si>
  <si>
    <t>Equity</t>
  </si>
  <si>
    <t>Capital</t>
  </si>
  <si>
    <t>India</t>
  </si>
  <si>
    <t>Average</t>
  </si>
  <si>
    <t>Median</t>
  </si>
  <si>
    <t>Cost Of Debt</t>
  </si>
  <si>
    <t>Cost of Equity</t>
  </si>
  <si>
    <t>Pre Tax Cost of Debt</t>
  </si>
  <si>
    <t>Risk Free Rate</t>
  </si>
  <si>
    <t>Tax Rate</t>
  </si>
  <si>
    <t>Equity Risk Premium</t>
  </si>
  <si>
    <t>After Tax Cost of Debt</t>
  </si>
  <si>
    <t>Capital Structure</t>
  </si>
  <si>
    <t>Levered Beta</t>
  </si>
  <si>
    <t>Current</t>
  </si>
  <si>
    <t>Target</t>
  </si>
  <si>
    <t>Comps Median Unlevered Beta</t>
  </si>
  <si>
    <t>Target Debt/Equity</t>
  </si>
  <si>
    <t>Market Capitalisation</t>
  </si>
  <si>
    <t>Total Capitalisation</t>
  </si>
  <si>
    <t>Debt/Equity</t>
  </si>
  <si>
    <t>Weighted Average Cost of Capital</t>
  </si>
  <si>
    <t>Equity Weight</t>
  </si>
  <si>
    <t>Cost of Debt</t>
  </si>
  <si>
    <t>Debt Weight</t>
  </si>
  <si>
    <t>WACC</t>
  </si>
  <si>
    <t>Calculation of ROIC</t>
  </si>
  <si>
    <t>Current Assets</t>
  </si>
  <si>
    <t>Inventories</t>
  </si>
  <si>
    <t>Trade Recievables</t>
  </si>
  <si>
    <t>Loans &amp; Advances</t>
  </si>
  <si>
    <t>Other Asset Items</t>
  </si>
  <si>
    <t>Current Liabilities</t>
  </si>
  <si>
    <t>Trade Payables</t>
  </si>
  <si>
    <t>Advance from Customers</t>
  </si>
  <si>
    <t>Other Liability Items</t>
  </si>
  <si>
    <t>Total Current Liabilities</t>
  </si>
  <si>
    <t>Net Working Capital</t>
  </si>
  <si>
    <t>Non Current Assets</t>
  </si>
  <si>
    <t>Land</t>
  </si>
  <si>
    <t>Building</t>
  </si>
  <si>
    <t>Plant and Machinery</t>
  </si>
  <si>
    <t>Equipments</t>
  </si>
  <si>
    <t>Furniture and Fittings</t>
  </si>
  <si>
    <t>Computers</t>
  </si>
  <si>
    <t>Vehicles</t>
  </si>
  <si>
    <t>Other Fixed Assets</t>
  </si>
  <si>
    <t>Gross Block</t>
  </si>
  <si>
    <t>Accumulated Depreciation</t>
  </si>
  <si>
    <t>Non Net Current Assets</t>
  </si>
  <si>
    <t>Invested Capital</t>
  </si>
  <si>
    <t>EBIT</t>
  </si>
  <si>
    <t>ROIC</t>
  </si>
  <si>
    <t>Calculation of Reinvestment Rate</t>
  </si>
  <si>
    <t>Net Capex</t>
  </si>
  <si>
    <t>Change in Working Capital</t>
  </si>
  <si>
    <t>Marginal tax Rate</t>
  </si>
  <si>
    <t>EBIT(1-Tax)</t>
  </si>
  <si>
    <t>Reinvestment</t>
  </si>
  <si>
    <t>Reinvestment Rate</t>
  </si>
  <si>
    <t>4 Years Average</t>
  </si>
  <si>
    <t>4 Years Median</t>
  </si>
  <si>
    <t>Calculation of Growth Rate</t>
  </si>
  <si>
    <t>Intrensic Growth</t>
  </si>
  <si>
    <t>Equity Capital</t>
  </si>
  <si>
    <t>Long term Borrowings</t>
  </si>
  <si>
    <t>Short term Borrowings</t>
  </si>
  <si>
    <t>Lease Liabilities</t>
  </si>
  <si>
    <t>Other Borrowings</t>
  </si>
  <si>
    <t>Non controlling int</t>
  </si>
  <si>
    <t>Other liability items</t>
  </si>
  <si>
    <t>Plant Machinery</t>
  </si>
  <si>
    <t>Furniture n fittings</t>
  </si>
  <si>
    <t>Other fixed assets</t>
  </si>
  <si>
    <t>CWIP</t>
  </si>
  <si>
    <t>Cash Equivalents</t>
  </si>
  <si>
    <t>Loans n Advances</t>
  </si>
  <si>
    <t>Other asset items</t>
  </si>
  <si>
    <t>Calculation of Present Value of FCFF</t>
  </si>
  <si>
    <t>EBIT(1-T)</t>
  </si>
  <si>
    <t>Less: Reinvestment Rate</t>
  </si>
  <si>
    <t>Free Cash Flow to Firm</t>
  </si>
  <si>
    <t>Discounting Factor</t>
  </si>
  <si>
    <t>PV of FCFF</t>
  </si>
  <si>
    <t>Expected GrowthRate</t>
  </si>
  <si>
    <t>Terminal Growth</t>
  </si>
  <si>
    <t>Calculation of Terminal Value</t>
  </si>
  <si>
    <t>FCFF (n+1)</t>
  </si>
  <si>
    <t>Terminal Growth Rate</t>
  </si>
  <si>
    <t>Terminal Value</t>
  </si>
  <si>
    <t>Calculation of Enterprise Value</t>
  </si>
  <si>
    <t>PV of Terminal Value</t>
  </si>
  <si>
    <t>Value of Operating Asset</t>
  </si>
  <si>
    <t>ADD: CASH</t>
  </si>
  <si>
    <t>Less: Debt</t>
  </si>
  <si>
    <t>Value of Equity</t>
  </si>
  <si>
    <t>No Of Share</t>
  </si>
  <si>
    <t>Value per Share</t>
  </si>
  <si>
    <t>Total Market Return</t>
  </si>
  <si>
    <t>Dividend Yield</t>
  </si>
  <si>
    <t>Average Return</t>
  </si>
  <si>
    <t>Annual</t>
  </si>
  <si>
    <t>Year</t>
  </si>
  <si>
    <t>Return on Markets</t>
  </si>
  <si>
    <t>MRF Case Study: From Balloons to Billion-Dollar Tyres — How MRF Earned the Highest Share Price in Indian Markets</t>
  </si>
  <si>
    <r>
      <rPr>
        <b/>
        <sz val="11"/>
        <color theme="1"/>
        <rFont val="Calibri"/>
        <family val="2"/>
        <scheme val="minor"/>
      </rPr>
      <t>Company Overview</t>
    </r>
    <r>
      <rPr>
        <b/>
        <sz val="12"/>
        <color theme="1"/>
        <rFont val="Calibri"/>
        <family val="2"/>
        <scheme val="minor"/>
      </rPr>
      <t xml:space="preserve">
</t>
    </r>
    <r>
      <rPr>
        <sz val="12"/>
        <color theme="1"/>
        <rFont val="Calibri"/>
        <family val="2"/>
        <scheme val="minor"/>
      </rPr>
      <t>MRF (Madras Rubber Factory) is India's largest tyre manufacturer and a global exporter with operations in over 65 countries. Founded by K.M. Mammen Mappillai, the company began as a small balloon-selling venture and evolved into a multinational tyre and rubber product conglomerate. MRF is recognized today not only for its industrial dominance but also for holding the highest share price on the Indian stock exchange, currently exceeding ₹100,000 per share.</t>
    </r>
  </si>
  <si>
    <t>Business Evolution &amp; Market Expansion</t>
  </si>
  <si>
    <t>MRF’s growth story is rooted in strategic diversification, vertical integration, and relentless product innovation. Starting in 1946 with balloon manufacturing, the company pivoted to retread rubber by 1952, and full tyre production by 1956. Through technical collaborations with international players like Mansfield Tire &amp; Rubber and later B.F. Goodrich, MRF developed in-house R&amp;D capabilities, leading to the establishment of its own Rubber Research Centre in 1963.</t>
  </si>
  <si>
    <t>MRF quickly expanded beyond commercial vehicle tyres into passenger cars, motorcycles, SUVs, and defence aviation (e.g., Sukhoi-30 tyres). The 2000s saw further diversification into industrial paints, conveyor belts, and toy manufacturing through partnerships with global brands such as Hasbro and Italian industrial firms.</t>
  </si>
  <si>
    <t>Financial Growth &amp; Share Price Performance</t>
  </si>
  <si>
    <t>MRF’s financial trajectory is a textbook example of value creation through long-term strategy, conservative financial management, and disciplined capital allocation. Notably:</t>
  </si>
  <si>
    <t>Strategic Pillars of Growth</t>
  </si>
  <si>
    <t>MRF’s strategic framework in 2025 continues to reflect long-term vision and operational focus across key domains:</t>
  </si>
  <si>
    <t>Conclusion</t>
  </si>
  <si>
    <t>MRF’s ascent from a modest balloon business to a ₹3 lakh crore industrial powerhouse is driven by visionary leadership, disciplined financial management, strategic diversification, and global market expansion. Its distinctive no-split, no-bonus pricing strategy has preserved long-term share value, positioning MRF as the highest-priced stock in India. With FY 2024–25 revenues exceeding ₹28,500 crore and exports contributing ₹2,321 crore, MRF demonstrates how consistent financial prudence, product innovation, and brand credibility converge to deliver sustainable shareholder value in 2025 and beyond.</t>
  </si>
  <si>
    <r>
      <t>Product-Market Fit:</t>
    </r>
    <r>
      <rPr>
        <sz val="11"/>
        <color theme="1"/>
        <rFont val="Calibri"/>
        <family val="2"/>
        <scheme val="minor"/>
      </rPr>
      <t xml:space="preserve"> Developed tyres specifically suited to Indian terrain and road conditions, with 2025 product extensions into EV-compatible and off-highway tyres addressing new-age mobility needs.</t>
    </r>
  </si>
  <si>
    <r>
      <t>Branding &amp; Marketing:</t>
    </r>
    <r>
      <rPr>
        <sz val="11"/>
        <color theme="1"/>
        <rFont val="Calibri"/>
        <family val="2"/>
        <scheme val="minor"/>
      </rPr>
      <t xml:space="preserve"> Maintains iconic brand presence through long-term associations with Sachin Tendulkar and Virat Kohli; reinforced in 2025 through the "Muscle in Motion" campaign and engagement in motorsports and mobility expos.</t>
    </r>
  </si>
  <si>
    <r>
      <t>Export Leadership:</t>
    </r>
    <r>
      <rPr>
        <sz val="11"/>
        <color theme="1"/>
        <rFont val="Calibri"/>
        <family val="2"/>
        <scheme val="minor"/>
      </rPr>
      <t xml:space="preserve"> First Indian tyre company to export to the US (since 1967); by FY 2024–25, exports reached ₹2,321 crore across 65+ countries, with 23% YoY growth.</t>
    </r>
  </si>
  <si>
    <r>
      <t>R&amp;D &amp; Quality:</t>
    </r>
    <r>
      <rPr>
        <sz val="11"/>
        <color theme="1"/>
        <rFont val="Calibri"/>
        <family val="2"/>
        <scheme val="minor"/>
      </rPr>
      <t xml:space="preserve"> Pioneered nylon tyres in India; continuous innovation through its in-house Rubber Research Centre, now focused on EV tyres, advanced treads, and lightweight performance compounds.</t>
    </r>
  </si>
  <si>
    <r>
      <t>Diversification:</t>
    </r>
    <r>
      <rPr>
        <sz val="11"/>
        <color theme="1"/>
        <rFont val="Calibri"/>
        <family val="2"/>
        <scheme val="minor"/>
      </rPr>
      <t xml:space="preserve"> Reduced dependency on tyres by expanding into industrial paints, conveyor belts, and toys via international collaborations, adding product-level resilience and revenue diversification.</t>
    </r>
  </si>
  <si>
    <r>
      <t>Share price growth:</t>
    </r>
    <r>
      <rPr>
        <sz val="11"/>
        <color theme="1"/>
        <rFont val="Calibri"/>
        <family val="2"/>
        <scheme val="minor"/>
      </rPr>
      <t xml:space="preserve"> From </t>
    </r>
    <r>
      <rPr>
        <b/>
        <sz val="11"/>
        <color theme="1"/>
        <rFont val="Calibri"/>
        <family val="2"/>
        <scheme val="minor"/>
      </rPr>
      <t>₹11 at IPO in April 1961</t>
    </r>
    <r>
      <rPr>
        <sz val="11"/>
        <color theme="1"/>
        <rFont val="Calibri"/>
        <family val="2"/>
        <scheme val="minor"/>
      </rPr>
      <t xml:space="preserve"> to </t>
    </r>
    <r>
      <rPr>
        <b/>
        <sz val="11"/>
        <color theme="1"/>
        <rFont val="Calibri"/>
        <family val="2"/>
        <scheme val="minor"/>
      </rPr>
      <t>₹148,240 in 2025</t>
    </r>
    <r>
      <rPr>
        <sz val="11"/>
        <color theme="1"/>
        <rFont val="Calibri"/>
        <family val="2"/>
        <scheme val="minor"/>
      </rPr>
      <t xml:space="preserve">, delivering a </t>
    </r>
    <r>
      <rPr>
        <b/>
        <sz val="11"/>
        <color theme="1"/>
        <rFont val="Calibri"/>
        <family val="2"/>
        <scheme val="minor"/>
      </rPr>
      <t>~13,476× return</t>
    </r>
    <r>
      <rPr>
        <sz val="11"/>
        <color theme="1"/>
        <rFont val="Calibri"/>
        <family val="2"/>
        <scheme val="minor"/>
      </rPr>
      <t xml:space="preserve"> since listing.</t>
    </r>
  </si>
  <si>
    <r>
      <t>Bonus history:</t>
    </r>
    <r>
      <rPr>
        <sz val="11"/>
        <color theme="1"/>
        <rFont val="Calibri"/>
        <family val="2"/>
        <scheme val="minor"/>
      </rPr>
      <t xml:space="preserve"> Only </t>
    </r>
    <r>
      <rPr>
        <b/>
        <sz val="11"/>
        <color theme="1"/>
        <rFont val="Calibri"/>
        <family val="2"/>
        <scheme val="minor"/>
      </rPr>
      <t>two bonus issues ever (1970, 1975)</t>
    </r>
    <r>
      <rPr>
        <sz val="11"/>
        <color theme="1"/>
        <rFont val="Calibri"/>
        <family val="2"/>
        <scheme val="minor"/>
      </rPr>
      <t xml:space="preserve">, with </t>
    </r>
    <r>
      <rPr>
        <b/>
        <sz val="11"/>
        <color theme="1"/>
        <rFont val="Calibri"/>
        <family val="2"/>
        <scheme val="minor"/>
      </rPr>
      <t>no stock splits</t>
    </r>
    <r>
      <rPr>
        <sz val="11"/>
        <color theme="1"/>
        <rFont val="Calibri"/>
        <family val="2"/>
        <scheme val="minor"/>
      </rPr>
      <t xml:space="preserve"> since inception—leading to the </t>
    </r>
    <r>
      <rPr>
        <b/>
        <sz val="11"/>
        <color theme="1"/>
        <rFont val="Calibri"/>
        <family val="2"/>
        <scheme val="minor"/>
      </rPr>
      <t>highest per-share valuation</t>
    </r>
    <r>
      <rPr>
        <sz val="11"/>
        <color theme="1"/>
        <rFont val="Calibri"/>
        <family val="2"/>
        <scheme val="minor"/>
      </rPr>
      <t xml:space="preserve"> in Indian markets.</t>
    </r>
  </si>
  <si>
    <r>
      <t>Export revenue:</t>
    </r>
    <r>
      <rPr>
        <sz val="11"/>
        <color theme="1"/>
        <rFont val="Calibri"/>
        <family val="2"/>
        <scheme val="minor"/>
      </rPr>
      <t xml:space="preserve"> Generates </t>
    </r>
    <r>
      <rPr>
        <b/>
        <sz val="11"/>
        <color theme="1"/>
        <rFont val="Calibri"/>
        <family val="2"/>
        <scheme val="minor"/>
      </rPr>
      <t>₹2,321 crore (~ $280 million)</t>
    </r>
    <r>
      <rPr>
        <sz val="11"/>
        <color theme="1"/>
        <rFont val="Calibri"/>
        <family val="2"/>
        <scheme val="minor"/>
      </rPr>
      <t xml:space="preserve"> in export revenue in FY 2024–25, marking a </t>
    </r>
    <r>
      <rPr>
        <b/>
        <sz val="11"/>
        <color theme="1"/>
        <rFont val="Calibri"/>
        <family val="2"/>
        <scheme val="minor"/>
      </rPr>
      <t>23% YoY increase</t>
    </r>
    <r>
      <rPr>
        <sz val="11"/>
        <color theme="1"/>
        <rFont val="Calibri"/>
        <family val="2"/>
        <scheme val="minor"/>
      </rPr>
      <t xml:space="preserve">, with exports to </t>
    </r>
    <r>
      <rPr>
        <b/>
        <sz val="11"/>
        <color theme="1"/>
        <rFont val="Calibri"/>
        <family val="2"/>
        <scheme val="minor"/>
      </rPr>
      <t>65+ countries</t>
    </r>
    <r>
      <rPr>
        <sz val="11"/>
        <color theme="1"/>
        <rFont val="Calibri"/>
        <family val="2"/>
        <scheme val="minor"/>
      </rPr>
      <t>.</t>
    </r>
  </si>
  <si>
    <r>
      <t>Market share:</t>
    </r>
    <r>
      <rPr>
        <sz val="11"/>
        <color theme="1"/>
        <rFont val="Calibri"/>
        <family val="2"/>
        <scheme val="minor"/>
      </rPr>
      <t xml:space="preserve"> Holds an estimated </t>
    </r>
    <r>
      <rPr>
        <b/>
        <sz val="11"/>
        <color theme="1"/>
        <rFont val="Calibri"/>
        <family val="2"/>
        <scheme val="minor"/>
      </rPr>
      <t>~25% share</t>
    </r>
    <r>
      <rPr>
        <sz val="11"/>
        <color theme="1"/>
        <rFont val="Calibri"/>
        <family val="2"/>
        <scheme val="minor"/>
      </rPr>
      <t xml:space="preserve"> in India’s </t>
    </r>
    <r>
      <rPr>
        <b/>
        <sz val="11"/>
        <color theme="1"/>
        <rFont val="Calibri"/>
        <family val="2"/>
        <scheme val="minor"/>
      </rPr>
      <t>₹1.4 trillion</t>
    </r>
    <r>
      <rPr>
        <sz val="11"/>
        <color theme="1"/>
        <rFont val="Calibri"/>
        <family val="2"/>
        <scheme val="minor"/>
      </rPr>
      <t xml:space="preserve"> tyre market; ranks </t>
    </r>
    <r>
      <rPr>
        <b/>
        <sz val="11"/>
        <color theme="1"/>
        <rFont val="Calibri"/>
        <family val="2"/>
        <scheme val="minor"/>
      </rPr>
      <t>2nd</t>
    </r>
    <r>
      <rPr>
        <sz val="11"/>
        <color theme="1"/>
        <rFont val="Calibri"/>
        <family val="2"/>
        <scheme val="minor"/>
      </rPr>
      <t xml:space="preserve"> in domestic tyre sales with </t>
    </r>
    <r>
      <rPr>
        <b/>
        <sz val="11"/>
        <color theme="1"/>
        <rFont val="Calibri"/>
        <family val="2"/>
        <scheme val="minor"/>
      </rPr>
      <t>₹23,500–24,000 crore</t>
    </r>
    <r>
      <rPr>
        <sz val="11"/>
        <color theme="1"/>
        <rFont val="Calibri"/>
        <family val="2"/>
        <scheme val="minor"/>
      </rPr>
      <t xml:space="preserve"> in FY 2024–25 revenue.</t>
    </r>
  </si>
  <si>
    <r>
      <t>Valuation:</t>
    </r>
    <r>
      <rPr>
        <sz val="11"/>
        <color theme="1"/>
        <rFont val="Calibri"/>
        <family val="2"/>
        <scheme val="minor"/>
      </rPr>
      <t xml:space="preserve"> Share price exceeding </t>
    </r>
    <r>
      <rPr>
        <b/>
        <sz val="11"/>
        <color theme="1"/>
        <rFont val="Calibri"/>
        <family val="2"/>
        <scheme val="minor"/>
      </rPr>
      <t>₹1.48 lakh</t>
    </r>
    <r>
      <rPr>
        <sz val="11"/>
        <color theme="1"/>
        <rFont val="Calibri"/>
        <family val="2"/>
        <scheme val="minor"/>
      </rPr>
      <t xml:space="preserve"> places MRF’s </t>
    </r>
    <r>
      <rPr>
        <b/>
        <sz val="11"/>
        <color theme="1"/>
        <rFont val="Calibri"/>
        <family val="2"/>
        <scheme val="minor"/>
      </rPr>
      <t>market capitalization above ₹3 lakh crore</t>
    </r>
    <r>
      <rPr>
        <sz val="11"/>
        <color theme="1"/>
        <rFont val="Calibri"/>
        <family val="2"/>
        <scheme val="minor"/>
      </rPr>
      <t>, reinforcing its brand strength and pricing power despite low trading volumes.</t>
    </r>
  </si>
  <si>
    <t>Cash Flow</t>
  </si>
  <si>
    <r>
      <t>Cash from Operating Activity </t>
    </r>
    <r>
      <rPr>
        <sz val="11"/>
        <color rgb="FF665EFD"/>
        <rFont val="Arial"/>
        <family val="2"/>
      </rPr>
      <t>-</t>
    </r>
  </si>
  <si>
    <r>
      <t>Cash from Investing Activity </t>
    </r>
    <r>
      <rPr>
        <sz val="11"/>
        <color rgb="FF665EFD"/>
        <rFont val="Arial"/>
        <family val="2"/>
      </rPr>
      <t>-</t>
    </r>
  </si>
  <si>
    <t>Dividends received</t>
  </si>
  <si>
    <r>
      <t>Cash from Financing Activity </t>
    </r>
    <r>
      <rPr>
        <sz val="11"/>
        <color rgb="FF665EFD"/>
        <rFont val="Arial"/>
        <family val="2"/>
      </rPr>
      <t>-</t>
    </r>
  </si>
  <si>
    <t>Proceeds from debentures</t>
  </si>
  <si>
    <t>Redemption of debentures</t>
  </si>
  <si>
    <t>Balkrishna Industries LTD</t>
  </si>
  <si>
    <t>Appollo Tyres</t>
  </si>
  <si>
    <t>CEAT</t>
  </si>
  <si>
    <t>JK Tyre and Industries LTD</t>
  </si>
  <si>
    <t>Corporate actions</t>
  </si>
  <si>
    <r>
      <t>Borrowings </t>
    </r>
    <r>
      <rPr>
        <sz val="11"/>
        <color rgb="FF665EFD"/>
        <rFont val="Arial"/>
        <family val="2"/>
      </rPr>
      <t>-</t>
    </r>
  </si>
  <si>
    <r>
      <t>Other Liabilities </t>
    </r>
    <r>
      <rPr>
        <sz val="11"/>
        <color rgb="FF665EFD"/>
        <rFont val="Arial"/>
        <family val="2"/>
      </rPr>
      <t>-</t>
    </r>
  </si>
  <si>
    <r>
      <t>Fixed Assets </t>
    </r>
    <r>
      <rPr>
        <sz val="11"/>
        <color rgb="FF665EFD"/>
        <rFont val="Arial"/>
        <family val="2"/>
      </rPr>
      <t>-</t>
    </r>
  </si>
  <si>
    <r>
      <t>Other Assets </t>
    </r>
    <r>
      <rPr>
        <sz val="11"/>
        <color rgb="FF665EFD"/>
        <rFont val="Arial"/>
        <family val="2"/>
      </rPr>
      <t>-</t>
    </r>
  </si>
  <si>
    <t>Trade receivables</t>
  </si>
  <si>
    <t>Raw Balance Sheet</t>
  </si>
  <si>
    <t>Sensitivity Analysis  (Enterprise value)</t>
  </si>
  <si>
    <t>Sensitivity Analysis  ( Value of Share)</t>
  </si>
  <si>
    <t>Current Share Price</t>
  </si>
  <si>
    <t>Traded at Premium</t>
  </si>
  <si>
    <t>DCF - Valuation of MRF Ltd</t>
  </si>
  <si>
    <t>Assumptions</t>
  </si>
  <si>
    <t>1. The reinvestment rate and growth rate are taken from the intrensic growth report, updated during mid July 2025</t>
  </si>
  <si>
    <t>2. The Terminal Growth Rate is based on India long term GDP growth rate</t>
  </si>
  <si>
    <t>Intrensic Growth of MRF Ltd</t>
  </si>
  <si>
    <t>WACC of MRF Ltd</t>
  </si>
  <si>
    <r>
      <t xml:space="preserve">Beta </t>
    </r>
    <r>
      <rPr>
        <b/>
        <vertAlign val="superscript"/>
        <sz val="10"/>
        <color theme="1"/>
        <rFont val="Calibri"/>
        <family val="2"/>
        <scheme val="minor"/>
      </rPr>
      <t>2</t>
    </r>
  </si>
  <si>
    <r>
      <t xml:space="preserve">Beta </t>
    </r>
    <r>
      <rPr>
        <b/>
        <vertAlign val="superscript"/>
        <sz val="10"/>
        <color theme="1"/>
        <rFont val="Calibri"/>
        <family val="2"/>
        <scheme val="minor"/>
      </rPr>
      <t>3</t>
    </r>
  </si>
  <si>
    <r>
      <t xml:space="preserve">Levered Beta </t>
    </r>
    <r>
      <rPr>
        <vertAlign val="superscript"/>
        <sz val="10"/>
        <color theme="1"/>
        <rFont val="Calibri"/>
        <family val="2"/>
        <scheme val="minor"/>
      </rPr>
      <t>4</t>
    </r>
  </si>
  <si>
    <t>Note:</t>
  </si>
  <si>
    <t>1. The Risk Free Rate used in this valuation is 6.31% based on the yield of 10 year India Treasury Bill as of Mid July 2025</t>
  </si>
  <si>
    <t>2. The figures for Company Total Debt, Total Equity, Levered Beta, and Marginal tax Rate are sourced from Screener,Top Stock Research and Google.</t>
  </si>
  <si>
    <t>S.No.</t>
  </si>
  <si>
    <r>
      <t>CMP </t>
    </r>
    <r>
      <rPr>
        <sz val="11"/>
        <color rgb="FF737373"/>
        <rFont val="Arial"/>
        <family val="2"/>
      </rPr>
      <t>Rs.</t>
    </r>
  </si>
  <si>
    <r>
      <t>Mar Cap </t>
    </r>
    <r>
      <rPr>
        <sz val="11"/>
        <color rgb="FF737373"/>
        <rFont val="Arial"/>
        <family val="2"/>
      </rPr>
      <t>Rs.Cr.</t>
    </r>
  </si>
  <si>
    <r>
      <t>Debt </t>
    </r>
    <r>
      <rPr>
        <sz val="11"/>
        <color rgb="FF737373"/>
        <rFont val="Arial"/>
        <family val="2"/>
      </rPr>
      <t>Rs.Cr.</t>
    </r>
  </si>
  <si>
    <t>Debt / Eq</t>
  </si>
  <si>
    <t>P/E</t>
  </si>
  <si>
    <t>CMP / BV</t>
  </si>
  <si>
    <r>
      <t>No. Eq. Shares </t>
    </r>
    <r>
      <rPr>
        <sz val="11"/>
        <color rgb="FF737373"/>
        <rFont val="Arial"/>
        <family val="2"/>
      </rPr>
      <t>Cr.</t>
    </r>
  </si>
  <si>
    <r>
      <t>EV </t>
    </r>
    <r>
      <rPr>
        <sz val="11"/>
        <color rgb="FF737373"/>
        <rFont val="Arial"/>
        <family val="2"/>
      </rPr>
      <t>Rs.Cr.</t>
    </r>
  </si>
  <si>
    <r>
      <t>Cash End </t>
    </r>
    <r>
      <rPr>
        <sz val="11"/>
        <color rgb="FF737373"/>
        <rFont val="Arial"/>
        <family val="2"/>
      </rPr>
      <t>Rs.Cr.</t>
    </r>
  </si>
  <si>
    <r>
      <t>Sales </t>
    </r>
    <r>
      <rPr>
        <sz val="11"/>
        <color rgb="FF737373"/>
        <rFont val="Arial"/>
        <family val="2"/>
      </rPr>
      <t>Rs.Cr.</t>
    </r>
  </si>
  <si>
    <r>
      <t>EBIT Ann </t>
    </r>
    <r>
      <rPr>
        <sz val="11"/>
        <color rgb="FF737373"/>
        <rFont val="Arial"/>
        <family val="2"/>
      </rPr>
      <t>Rs.Cr.</t>
    </r>
  </si>
  <si>
    <r>
      <t>Dep 12M </t>
    </r>
    <r>
      <rPr>
        <sz val="11"/>
        <color rgb="FF737373"/>
        <rFont val="Arial"/>
        <family val="2"/>
      </rPr>
      <t>Rs.Cr.</t>
    </r>
  </si>
  <si>
    <r>
      <t>NP 12M </t>
    </r>
    <r>
      <rPr>
        <sz val="11"/>
        <color rgb="FF737373"/>
        <rFont val="Arial"/>
        <family val="2"/>
      </rPr>
      <t>Rs.Cr.</t>
    </r>
  </si>
  <si>
    <t>MRF</t>
  </si>
  <si>
    <t>Balkrishna Inds</t>
  </si>
  <si>
    <t>Apollo Tyres</t>
  </si>
  <si>
    <t>JK Tyre &amp; Indust</t>
  </si>
  <si>
    <t>TVS Srichakra</t>
  </si>
  <si>
    <t>Goodyear India</t>
  </si>
  <si>
    <t>Market Data</t>
  </si>
  <si>
    <t>Financials</t>
  </si>
  <si>
    <t>Valuation</t>
  </si>
  <si>
    <t>Share</t>
  </si>
  <si>
    <t xml:space="preserve">Shares </t>
  </si>
  <si>
    <t>Enterprise</t>
  </si>
  <si>
    <t>Company</t>
  </si>
  <si>
    <t>Price</t>
  </si>
  <si>
    <t>Outstanding</t>
  </si>
  <si>
    <t>Value</t>
  </si>
  <si>
    <t>Net Debt</t>
  </si>
  <si>
    <t>Revenue</t>
  </si>
  <si>
    <t>EBIDTA</t>
  </si>
  <si>
    <t>Net Income</t>
  </si>
  <si>
    <t>EV/Revenue</t>
  </si>
  <si>
    <t>EV/EBITDA</t>
  </si>
  <si>
    <t xml:space="preserve"> MRF Ltd</t>
  </si>
  <si>
    <t>Balkrishna industries Ltd</t>
  </si>
  <si>
    <t>JK Tyre &amp; Industries Ltd</t>
  </si>
  <si>
    <t>Good Year India</t>
  </si>
  <si>
    <t>High</t>
  </si>
  <si>
    <t>75th Percentile</t>
  </si>
  <si>
    <t>25th Percentile</t>
  </si>
  <si>
    <t>Low</t>
  </si>
  <si>
    <t>Implied Enterprise Value</t>
  </si>
  <si>
    <t>Implied Market Value</t>
  </si>
  <si>
    <t>Shares Outstanding</t>
  </si>
  <si>
    <t>Implied Value Per Share</t>
  </si>
  <si>
    <t>Data Source: Screener</t>
  </si>
  <si>
    <t>MRF Ltd Comparable Valuation</t>
  </si>
  <si>
    <t>Relative Valuation - MRF Ltd</t>
  </si>
  <si>
    <t>in cr</t>
  </si>
  <si>
    <t>Common size Statements - MRF Ltd</t>
  </si>
  <si>
    <t>Total non-current Liabilities</t>
  </si>
  <si>
    <t>Total Non-Current Assets</t>
  </si>
  <si>
    <t>Total Liabilities and Equity</t>
  </si>
  <si>
    <t>Dupont Analysis - MRF Ltd</t>
  </si>
  <si>
    <t>Return on Equity</t>
  </si>
  <si>
    <t>Average Shareholder Equity</t>
  </si>
  <si>
    <t>Return on Equity (ROE)</t>
  </si>
  <si>
    <t>ROE - Dupont Equation</t>
  </si>
  <si>
    <t>Net Profit Margin</t>
  </si>
  <si>
    <t>Average Total Asset</t>
  </si>
  <si>
    <t>Asset Turnover Ratio</t>
  </si>
  <si>
    <t>Equity Multiplier</t>
  </si>
  <si>
    <t>Return on Asset (ROA)</t>
  </si>
  <si>
    <t>Return on Asset</t>
  </si>
  <si>
    <t>Financial Stability</t>
  </si>
  <si>
    <t>Dupont Interpretation - MRF Ltd</t>
  </si>
  <si>
    <t>1. ROE Performance Overview (2021–2025)</t>
  </si>
  <si>
    <t>2. DuPont Breakdown of ROE</t>
  </si>
  <si>
    <t>3. Efficiency and Leverage Effects on ROE</t>
  </si>
  <si>
    <t>4. ROA Growth and Operational Gains</t>
  </si>
  <si>
    <t>5. Internal Strategies Driving Profitability</t>
  </si>
  <si>
    <t>MRF’s FY24 profit surge was attributed to improved capacity utilization, raw material cost stabilization, and disciplined pricing. The annual report also highlights higher export volumes and a focus on premium product segments as growth drivers. These internal measures significantly enhanced operating leverage and profitability.</t>
  </si>
  <si>
    <t>6. Concerns Regarding Financial Stability</t>
  </si>
  <si>
    <t>7. Liquidity and Capital Structure Considerations</t>
  </si>
  <si>
    <t>8. Strategic Recommendations &amp; Long-Term Outlook</t>
  </si>
  <si>
    <t>Additional Sources</t>
  </si>
  <si>
    <t>Moneycontrol – MRF Financial Ratios</t>
  </si>
  <si>
    <t>Screener – MRF Ltd</t>
  </si>
  <si>
    <t>MRF Annual Report 2024 (PDF)</t>
  </si>
  <si>
    <t>Equitymaster – MRF Annual Report Analysis 2023–24</t>
  </si>
  <si>
    <r>
      <t xml:space="preserve">MRF’s Return on Equity (ROE) showed a dip and recovery trend over the five years. It declined from </t>
    </r>
    <r>
      <rPr>
        <b/>
        <sz val="12"/>
        <color theme="1"/>
        <rFont val="Calibri"/>
        <family val="2"/>
        <scheme val="minor"/>
      </rPr>
      <t>9.97% in FY21</t>
    </r>
    <r>
      <rPr>
        <sz val="12"/>
        <color theme="1"/>
        <rFont val="Calibri"/>
        <family val="2"/>
        <scheme val="minor"/>
      </rPr>
      <t xml:space="preserve"> to </t>
    </r>
    <r>
      <rPr>
        <b/>
        <sz val="12"/>
        <color theme="1"/>
        <rFont val="Calibri"/>
        <family val="2"/>
        <scheme val="minor"/>
      </rPr>
      <t>4.88% in FY22</t>
    </r>
    <r>
      <rPr>
        <sz val="12"/>
        <color theme="1"/>
        <rFont val="Calibri"/>
        <family val="2"/>
        <scheme val="minor"/>
      </rPr>
      <t xml:space="preserve">, slightly improved to </t>
    </r>
    <r>
      <rPr>
        <b/>
        <sz val="12"/>
        <color theme="1"/>
        <rFont val="Calibri"/>
        <family val="2"/>
        <scheme val="minor"/>
      </rPr>
      <t>5.35% in FY23</t>
    </r>
    <r>
      <rPr>
        <sz val="12"/>
        <color theme="1"/>
        <rFont val="Calibri"/>
        <family val="2"/>
        <scheme val="minor"/>
      </rPr>
      <t xml:space="preserve">, and rebounded strongly to </t>
    </r>
    <r>
      <rPr>
        <b/>
        <sz val="12"/>
        <color theme="1"/>
        <rFont val="Calibri"/>
        <family val="2"/>
        <scheme val="minor"/>
      </rPr>
      <t>13.25% in FY24</t>
    </r>
    <r>
      <rPr>
        <sz val="12"/>
        <color theme="1"/>
        <rFont val="Calibri"/>
        <family val="2"/>
        <scheme val="minor"/>
      </rPr>
      <t xml:space="preserve"> before settling at a still-strong </t>
    </r>
    <r>
      <rPr>
        <b/>
        <sz val="12"/>
        <color theme="1"/>
        <rFont val="Calibri"/>
        <family val="2"/>
        <scheme val="minor"/>
      </rPr>
      <t>10.62% in FY25</t>
    </r>
    <r>
      <rPr>
        <sz val="12"/>
        <color theme="1"/>
        <rFont val="Calibri"/>
        <family val="2"/>
        <scheme val="minor"/>
      </rPr>
      <t>. The turnaround reflects strong post-pandemic recovery and margin expansion in FY24 based on increased demand and pricing power.</t>
    </r>
  </si>
  <si>
    <r>
      <t xml:space="preserve">MRF’s ROE was primarily driven by </t>
    </r>
    <r>
      <rPr>
        <b/>
        <sz val="12"/>
        <color theme="1"/>
        <rFont val="Calibri"/>
        <family val="2"/>
        <scheme val="minor"/>
      </rPr>
      <t>profit margin fluctuations</t>
    </r>
    <r>
      <rPr>
        <sz val="12"/>
        <color theme="1"/>
        <rFont val="Calibri"/>
        <family val="2"/>
        <scheme val="minor"/>
      </rPr>
      <t xml:space="preserve">, while </t>
    </r>
    <r>
      <rPr>
        <b/>
        <sz val="12"/>
        <color theme="1"/>
        <rFont val="Calibri"/>
        <family val="2"/>
        <scheme val="minor"/>
      </rPr>
      <t>asset turnover</t>
    </r>
    <r>
      <rPr>
        <sz val="12"/>
        <color theme="1"/>
        <rFont val="Calibri"/>
        <family val="2"/>
        <scheme val="minor"/>
      </rPr>
      <t xml:space="preserve"> improved and </t>
    </r>
    <r>
      <rPr>
        <b/>
        <sz val="12"/>
        <color theme="1"/>
        <rFont val="Calibri"/>
        <family val="2"/>
        <scheme val="minor"/>
      </rPr>
      <t>leverage remained low</t>
    </r>
    <r>
      <rPr>
        <sz val="12"/>
        <color theme="1"/>
        <rFont val="Calibri"/>
        <family val="2"/>
        <scheme val="minor"/>
      </rPr>
      <t>. In FY21, ROE of 9.97% was backed by a 7.90% margin and 0.77x turnover. Margins dropped below 3.5% in FY22–23, pulling ROE down to around 5%. The strong FY24 recovery was driven by an 8.27% margin and 0.98x turnover, yielding a 13.25% ROE. FY25 maintained efficiency but saw slightly lower margins, with ROE at 10.62%.</t>
    </r>
  </si>
  <si>
    <r>
      <t xml:space="preserve">MRF steadily improved </t>
    </r>
    <r>
      <rPr>
        <b/>
        <sz val="12"/>
        <color theme="1"/>
        <rFont val="Calibri"/>
        <family val="2"/>
        <scheme val="minor"/>
      </rPr>
      <t>asset turnover</t>
    </r>
    <r>
      <rPr>
        <sz val="12"/>
        <color theme="1"/>
        <rFont val="Calibri"/>
        <family val="2"/>
        <scheme val="minor"/>
      </rPr>
      <t xml:space="preserve"> from </t>
    </r>
    <r>
      <rPr>
        <b/>
        <sz val="12"/>
        <color theme="1"/>
        <rFont val="Calibri"/>
        <family val="2"/>
        <scheme val="minor"/>
      </rPr>
      <t>0.77x in FY21 to nearly 1.00x by FY25</t>
    </r>
    <r>
      <rPr>
        <sz val="12"/>
        <color theme="1"/>
        <rFont val="Calibri"/>
        <family val="2"/>
        <scheme val="minor"/>
      </rPr>
      <t xml:space="preserve">, indicating stronger operational efficiency. Meanwhile, its </t>
    </r>
    <r>
      <rPr>
        <b/>
        <sz val="12"/>
        <color theme="1"/>
        <rFont val="Calibri"/>
        <family val="2"/>
        <scheme val="minor"/>
      </rPr>
      <t>equity multiplier</t>
    </r>
    <r>
      <rPr>
        <sz val="12"/>
        <color theme="1"/>
        <rFont val="Calibri"/>
        <family val="2"/>
        <scheme val="minor"/>
      </rPr>
      <t xml:space="preserve"> remained between </t>
    </r>
    <r>
      <rPr>
        <b/>
        <sz val="12"/>
        <color theme="1"/>
        <rFont val="Calibri"/>
        <family val="2"/>
        <scheme val="minor"/>
      </rPr>
      <t>1.60x and 1.66x</t>
    </r>
    <r>
      <rPr>
        <sz val="12"/>
        <color theme="1"/>
        <rFont val="Calibri"/>
        <family val="2"/>
        <scheme val="minor"/>
      </rPr>
      <t>, reflecting minimal use of debt. This conservative financial structure stabilized risk but limited ROE expansion via financial leverage.</t>
    </r>
  </si>
  <si>
    <r>
      <t xml:space="preserve">Return on Assets (ROA) followed a similar pattern to ROE. It declined to </t>
    </r>
    <r>
      <rPr>
        <b/>
        <sz val="12"/>
        <color theme="1"/>
        <rFont val="Calibri"/>
        <family val="2"/>
        <scheme val="minor"/>
      </rPr>
      <t>2.93% in FY22</t>
    </r>
    <r>
      <rPr>
        <sz val="12"/>
        <color theme="1"/>
        <rFont val="Calibri"/>
        <family val="2"/>
        <scheme val="minor"/>
      </rPr>
      <t xml:space="preserve">, but improved sharply to </t>
    </r>
    <r>
      <rPr>
        <b/>
        <sz val="12"/>
        <color theme="1"/>
        <rFont val="Calibri"/>
        <family val="2"/>
        <scheme val="minor"/>
      </rPr>
      <t>8.13% in FY24</t>
    </r>
    <r>
      <rPr>
        <sz val="12"/>
        <color theme="1"/>
        <rFont val="Calibri"/>
        <family val="2"/>
        <scheme val="minor"/>
      </rPr>
      <t xml:space="preserve">, before moderating to </t>
    </r>
    <r>
      <rPr>
        <b/>
        <sz val="12"/>
        <color theme="1"/>
        <rFont val="Calibri"/>
        <family val="2"/>
        <scheme val="minor"/>
      </rPr>
      <t>6.63% in FY25</t>
    </r>
    <r>
      <rPr>
        <sz val="12"/>
        <color theme="1"/>
        <rFont val="Calibri"/>
        <family val="2"/>
        <scheme val="minor"/>
      </rPr>
      <t>. This growth in ROA was driven by better asset utilization and profit margins, supported by post-pandemic demand recovery and improved cost management.</t>
    </r>
  </si>
  <si>
    <r>
      <t xml:space="preserve">From FY22 to FY23, MRF experienced </t>
    </r>
    <r>
      <rPr>
        <b/>
        <sz val="12"/>
        <color theme="1"/>
        <rFont val="Calibri"/>
        <family val="2"/>
        <scheme val="minor"/>
      </rPr>
      <t>financial distress</t>
    </r>
    <r>
      <rPr>
        <sz val="12"/>
        <color theme="1"/>
        <rFont val="Calibri"/>
        <family val="2"/>
        <scheme val="minor"/>
      </rPr>
      <t xml:space="preserve">, with ROE and ROA dropping below acceptable benchmarks. However, the strong recovery in FY24 and FY25 marked a transition to a </t>
    </r>
    <r>
      <rPr>
        <b/>
        <sz val="12"/>
        <color theme="1"/>
        <rFont val="Calibri"/>
        <family val="2"/>
        <scheme val="minor"/>
      </rPr>
      <t>healthy</t>
    </r>
    <r>
      <rPr>
        <sz val="12"/>
        <color theme="1"/>
        <rFont val="Calibri"/>
        <family val="2"/>
        <scheme val="minor"/>
      </rPr>
      <t xml:space="preserve"> financial position. Stability improved alongside profitability and asset utilization, backed by zero major debt exposure.</t>
    </r>
  </si>
  <si>
    <r>
      <t xml:space="preserve">MRF maintained a </t>
    </r>
    <r>
      <rPr>
        <b/>
        <sz val="12"/>
        <color theme="1"/>
        <rFont val="Calibri"/>
        <family val="2"/>
        <scheme val="minor"/>
      </rPr>
      <t>strong liquidity position</t>
    </r>
    <r>
      <rPr>
        <sz val="12"/>
        <color theme="1"/>
        <rFont val="Calibri"/>
        <family val="2"/>
        <scheme val="minor"/>
      </rPr>
      <t xml:space="preserve">, with estimated </t>
    </r>
    <r>
      <rPr>
        <b/>
        <sz val="12"/>
        <color theme="1"/>
        <rFont val="Calibri"/>
        <family val="2"/>
        <scheme val="minor"/>
      </rPr>
      <t>current ratios above 1.3</t>
    </r>
    <r>
      <rPr>
        <sz val="12"/>
        <color theme="1"/>
        <rFont val="Calibri"/>
        <family val="2"/>
        <scheme val="minor"/>
      </rPr>
      <t xml:space="preserve"> and </t>
    </r>
    <r>
      <rPr>
        <b/>
        <sz val="12"/>
        <color theme="1"/>
        <rFont val="Calibri"/>
        <family val="2"/>
        <scheme val="minor"/>
      </rPr>
      <t>low debt-to-equity (~0.06x–0.15x)</t>
    </r>
    <r>
      <rPr>
        <sz val="12"/>
        <color theme="1"/>
        <rFont val="Calibri"/>
        <family val="2"/>
        <scheme val="minor"/>
      </rPr>
      <t xml:space="preserve">. The </t>
    </r>
    <r>
      <rPr>
        <b/>
        <sz val="12"/>
        <color theme="1"/>
        <rFont val="Calibri"/>
        <family val="2"/>
        <scheme val="minor"/>
      </rPr>
      <t>stable equity multiplier</t>
    </r>
    <r>
      <rPr>
        <sz val="12"/>
        <color theme="1"/>
        <rFont val="Calibri"/>
        <family val="2"/>
        <scheme val="minor"/>
      </rPr>
      <t xml:space="preserve"> indicates restrained use of leverage. This conservative capital structure supports resilience but slightly caps return-enhancing opportunities from debt.</t>
    </r>
  </si>
  <si>
    <r>
      <t xml:space="preserve">To maintain strong ROE, MRF should focus on </t>
    </r>
    <r>
      <rPr>
        <b/>
        <sz val="12"/>
        <color theme="1"/>
        <rFont val="Calibri"/>
        <family val="2"/>
        <scheme val="minor"/>
      </rPr>
      <t>sustaining margins</t>
    </r>
    <r>
      <rPr>
        <sz val="12"/>
        <color theme="1"/>
        <rFont val="Calibri"/>
        <family val="2"/>
        <scheme val="minor"/>
      </rPr>
      <t xml:space="preserve">, pushing </t>
    </r>
    <r>
      <rPr>
        <b/>
        <sz val="12"/>
        <color theme="1"/>
        <rFont val="Calibri"/>
        <family val="2"/>
        <scheme val="minor"/>
      </rPr>
      <t>asset efficiency</t>
    </r>
    <r>
      <rPr>
        <sz val="12"/>
        <color theme="1"/>
        <rFont val="Calibri"/>
        <family val="2"/>
        <scheme val="minor"/>
      </rPr>
      <t xml:space="preserve">, and cautiously using </t>
    </r>
    <r>
      <rPr>
        <b/>
        <sz val="12"/>
        <color theme="1"/>
        <rFont val="Calibri"/>
        <family val="2"/>
        <scheme val="minor"/>
      </rPr>
      <t>moderate leverage</t>
    </r>
    <r>
      <rPr>
        <sz val="12"/>
        <color theme="1"/>
        <rFont val="Calibri"/>
        <family val="2"/>
        <scheme val="minor"/>
      </rPr>
      <t xml:space="preserve"> to enhance returns without compromising stability. With strong fundamentals, brand strength, and operational consistency, MRF is positioned for </t>
    </r>
    <r>
      <rPr>
        <b/>
        <sz val="12"/>
        <color theme="1"/>
        <rFont val="Calibri"/>
        <family val="2"/>
        <scheme val="minor"/>
      </rPr>
      <t>long-term value creation</t>
    </r>
    <r>
      <rPr>
        <sz val="12"/>
        <color theme="1"/>
        <rFont val="Calibri"/>
        <family val="2"/>
        <scheme val="minor"/>
      </rPr>
      <t>.</t>
    </r>
  </si>
  <si>
    <t>Altmans's Z Score Analysis - MRF Ltd</t>
  </si>
  <si>
    <t>Working Capital / Total Assets</t>
  </si>
  <si>
    <t>Working Capital</t>
  </si>
  <si>
    <t>Working Capital/ Total Assets</t>
  </si>
  <si>
    <t>Retained Earnings / Total Assets</t>
  </si>
  <si>
    <t>EBIT / Total Assets</t>
  </si>
  <si>
    <t>Market Cap / Long Term Liabilities</t>
  </si>
  <si>
    <t>Sales / Total Assets</t>
  </si>
  <si>
    <t>Altman's Z Score</t>
  </si>
  <si>
    <t>Retained Earnings/Total Assets</t>
  </si>
  <si>
    <t>EBIT/ Total Assets</t>
  </si>
  <si>
    <t>Market Cap</t>
  </si>
  <si>
    <t>Longterm Liabilities</t>
  </si>
  <si>
    <t>Market Cap/ Longterm Liabilities</t>
  </si>
  <si>
    <t>Final Score</t>
  </si>
  <si>
    <t>Sales/ Total Assets</t>
  </si>
  <si>
    <t>Altmans's Z Score Analysis Interpretation - MRF Ltd</t>
  </si>
  <si>
    <t>In-depth Analysis of MRF Ltd’s Altman’s Z-Score Report and Strategic Implications</t>
  </si>
  <si>
    <t>MRF Ltd has maintained a consistently strong Altman's Z-score above 8 over the last five years, peaking at 13.26 in FY24 before a modest decline to 11.45 in FY25. These values remain well within the "safe zone" (above 2.99), reflecting MRF’s solid financial standing, minimal bankruptcy risk, and capacity for strategic expansion. The score affirms its resilience, backed by operational strength and conservative leverage.</t>
  </si>
  <si>
    <t>Understanding MRF’s Altman’s Z-Score Trajectory</t>
  </si>
  <si>
    <t>MRF’s Z-score trajectory shows a positive long-term trend, jumping from 8.07 in FY22 to 13.26 in FY24, primarily due to EBIT growth and asset efficiency. The slight softening to 11.45 in FY25, while still safe, may indicate plateauing profitability or rising liabilities, signaling the need for vigilant financial and operational control.</t>
  </si>
  <si>
    <t>How MRF Ltd Compares Within the Industry</t>
  </si>
  <si>
    <t>Compared to peers like Apollo Tyres and JK Tyre, whose Altman scores generally range between 3–5, MRF’s consistently high scores highlight its superior solvency and performance metrics. Its brand equity, strong export presence, and low debt levels place it at the top tier of the Indian tyre industry.</t>
  </si>
  <si>
    <t>Detailed Breakdown of MRF Ltd Key Financial Ratios within the Z Score</t>
  </si>
  <si>
    <t>Market Capitalization / Long-Term Liabilities</t>
  </si>
  <si>
    <t>What MRF Ltd Should Do to Further Improve Its Z Score</t>
  </si>
  <si>
    <t>MRF should aim to reduce its negative retained earnings and optimize its debt-equity mix. Channeling profits into reserve buildup and reducing dependency on debt-financing will further secure its financial foundation. Improving return metrics and reinvesting in higher-margin areas will also enhance overall scores.</t>
  </si>
  <si>
    <t>Focus on Asset Efficiency</t>
  </si>
  <si>
    <t>With Sales/Total Assets above 95%, MRF showcases elite asset utilization. To maintain this, the company should invest in supply chain automation, better capacity planning, and inventory optimization. Asset-heavy sectors like manufacturing benefit immensely from continued operational fine-tuning.</t>
  </si>
  <si>
    <t>Innovation and Strategic Growth</t>
  </si>
  <si>
    <t>Sustaining leadership requires bold, forward-thinking moves. MRF should invest more aggressively in R&amp;D—especially in areas like EV tyres, sustainable materials, and AI-integrated tyre diagnostics. Strategic alliances and geographic expansion will also hedge against domestic slowdowns and broaden revenue streams.</t>
  </si>
  <si>
    <t>MRF Ltd's consistently high Altman’s Z-scores signify a financially sound enterprise with ample room to innovate and grow. With solid fundamentals, efficient operations, and low financial risk, the company is positioned not only to sustain its industry dominance but also to explore next-gen opportunities with confidence.</t>
  </si>
  <si>
    <t>External Sources Considered</t>
  </si>
  <si>
    <t>MRF Ltd Peer Comparison – Data from financial market platforms (Screener, Trendlyne, Tickertape).</t>
  </si>
  <si>
    <t>Altman Z-Score Methodology and Benchmarks – Referenced from standard finance literature and analysis portals.</t>
  </si>
  <si>
    <t>Industry Insights on Tyre Sector Players (Apollo, CEAT, JK Tyre) – Based on public financial disclosures.</t>
  </si>
  <si>
    <r>
      <t xml:space="preserve">Improved significantly from </t>
    </r>
    <r>
      <rPr>
        <b/>
        <sz val="12"/>
        <color theme="1"/>
        <rFont val="Calibri"/>
        <family val="2"/>
        <scheme val="minor"/>
      </rPr>
      <t>-2.28% in FY21</t>
    </r>
    <r>
      <rPr>
        <sz val="12"/>
        <color theme="1"/>
        <rFont val="Calibri"/>
        <family val="2"/>
        <scheme val="minor"/>
      </rPr>
      <t xml:space="preserve"> to </t>
    </r>
    <r>
      <rPr>
        <b/>
        <sz val="12"/>
        <color theme="1"/>
        <rFont val="Calibri"/>
        <family val="2"/>
        <scheme val="minor"/>
      </rPr>
      <t>11.24% in FY25</t>
    </r>
    <r>
      <rPr>
        <sz val="12"/>
        <color theme="1"/>
        <rFont val="Calibri"/>
        <family val="2"/>
        <scheme val="minor"/>
      </rPr>
      <t>, indicating strong improvements in liquidity and short-term financial strength.</t>
    </r>
  </si>
  <si>
    <r>
      <t xml:space="preserve">Persistently negative, ranging from </t>
    </r>
    <r>
      <rPr>
        <b/>
        <sz val="12"/>
        <color theme="1"/>
        <rFont val="Calibri"/>
        <family val="2"/>
        <scheme val="minor"/>
      </rPr>
      <t>-0.63% in FY21 to -1.22% in FY25</t>
    </r>
    <r>
      <rPr>
        <sz val="12"/>
        <color theme="1"/>
        <rFont val="Calibri"/>
        <family val="2"/>
        <scheme val="minor"/>
      </rPr>
      <t>, showing historical dividend outflows or earlier accumulated losses, but offset by strength in other areas.</t>
    </r>
  </si>
  <si>
    <r>
      <t xml:space="preserve">Peaked at </t>
    </r>
    <r>
      <rPr>
        <b/>
        <sz val="12"/>
        <color theme="1"/>
        <rFont val="Calibri"/>
        <family val="2"/>
        <scheme val="minor"/>
      </rPr>
      <t>10.59% in FY24</t>
    </r>
    <r>
      <rPr>
        <sz val="12"/>
        <color theme="1"/>
        <rFont val="Calibri"/>
        <family val="2"/>
        <scheme val="minor"/>
      </rPr>
      <t xml:space="preserve">, and stood at </t>
    </r>
    <r>
      <rPr>
        <b/>
        <sz val="12"/>
        <color theme="1"/>
        <rFont val="Calibri"/>
        <family val="2"/>
        <scheme val="minor"/>
      </rPr>
      <t>8.26% in FY25</t>
    </r>
    <r>
      <rPr>
        <sz val="12"/>
        <color theme="1"/>
        <rFont val="Calibri"/>
        <family val="2"/>
        <scheme val="minor"/>
      </rPr>
      <t>, representing robust asset-based profitability and strong operating margins.</t>
    </r>
  </si>
  <si>
    <r>
      <t xml:space="preserve">Remained high throughout, from </t>
    </r>
    <r>
      <rPr>
        <b/>
        <sz val="12"/>
        <color theme="1"/>
        <rFont val="Calibri"/>
        <family val="2"/>
        <scheme val="minor"/>
      </rPr>
      <t>13.02x in FY21 to 16.86x in FY25</t>
    </r>
    <r>
      <rPr>
        <sz val="12"/>
        <color theme="1"/>
        <rFont val="Calibri"/>
        <family val="2"/>
        <scheme val="minor"/>
      </rPr>
      <t>, indicating strong investor trust and very low financial leverage.</t>
    </r>
  </si>
  <si>
    <r>
      <t xml:space="preserve">Reached </t>
    </r>
    <r>
      <rPr>
        <b/>
        <sz val="12"/>
        <color theme="1"/>
        <rFont val="Calibri"/>
        <family val="2"/>
        <scheme val="minor"/>
      </rPr>
      <t>95.22% in FY25</t>
    </r>
    <r>
      <rPr>
        <sz val="12"/>
        <color theme="1"/>
        <rFont val="Calibri"/>
        <family val="2"/>
        <scheme val="minor"/>
      </rPr>
      <t>, suggesting that MRF has achieved excellent asset utilization and revenue efficiency.</t>
    </r>
  </si>
  <si>
    <t>Inventory Turnover Ratio</t>
  </si>
  <si>
    <t>Mean</t>
  </si>
  <si>
    <t>Current Ratio</t>
  </si>
  <si>
    <t>Graph</t>
  </si>
  <si>
    <t>Quick Ratio</t>
  </si>
  <si>
    <t>Cash Ratio</t>
  </si>
  <si>
    <t>Operating Cashflow</t>
  </si>
  <si>
    <t>Ratio Analysis - MRF Ltd</t>
  </si>
  <si>
    <t>Liquidity Ratios</t>
  </si>
  <si>
    <t>Solvency Ratios</t>
  </si>
  <si>
    <t>Debt to Equity Ratio</t>
  </si>
  <si>
    <t>Debt Ratio</t>
  </si>
  <si>
    <t>Intrest Coverage Ratio</t>
  </si>
  <si>
    <t>Equity Ratio</t>
  </si>
  <si>
    <t>Debt to Capital Ratio</t>
  </si>
  <si>
    <t>Profitability Ratios</t>
  </si>
  <si>
    <t>Gross Profit Margin</t>
  </si>
  <si>
    <t>Operating Margin</t>
  </si>
  <si>
    <t>Return on Assets</t>
  </si>
  <si>
    <t>Return on Capital Employed</t>
  </si>
  <si>
    <t>Efficiency Ratios</t>
  </si>
  <si>
    <t>Recievables Turnover Ratio</t>
  </si>
  <si>
    <t>Payables Turnover Ratio</t>
  </si>
  <si>
    <t xml:space="preserve">Working Capital Turnover </t>
  </si>
  <si>
    <t>Market Value Ratios</t>
  </si>
  <si>
    <t>Earnings per Share</t>
  </si>
  <si>
    <t>Price to Earnings (in cr)</t>
  </si>
  <si>
    <r>
      <t xml:space="preserve">Over the five‑year period, MRF Ltd. has shown stable liquidity with the </t>
    </r>
    <r>
      <rPr>
        <i/>
        <sz val="11"/>
        <color theme="1"/>
        <rFont val="Calibri"/>
        <family val="2"/>
        <scheme val="minor"/>
      </rPr>
      <t>Current Ratio</t>
    </r>
    <r>
      <rPr>
        <sz val="11"/>
        <color theme="1"/>
        <rFont val="Calibri"/>
        <family val="2"/>
        <scheme val="minor"/>
      </rPr>
      <t xml:space="preserve"> averaging 1.06x and a moderate improvement in FY25 to 1.28x, indicating better short‑term solvency. However, the </t>
    </r>
    <r>
      <rPr>
        <i/>
        <sz val="11"/>
        <color theme="1"/>
        <rFont val="Calibri"/>
        <family val="2"/>
        <scheme val="minor"/>
      </rPr>
      <t>Quick Ratio</t>
    </r>
    <r>
      <rPr>
        <sz val="11"/>
        <color theme="1"/>
        <rFont val="Calibri"/>
        <family val="2"/>
        <scheme val="minor"/>
      </rPr>
      <t xml:space="preserve"> (0.43x average) and </t>
    </r>
    <r>
      <rPr>
        <i/>
        <sz val="11"/>
        <color theme="1"/>
        <rFont val="Calibri"/>
        <family val="2"/>
        <scheme val="minor"/>
      </rPr>
      <t>Cash Ratio</t>
    </r>
    <r>
      <rPr>
        <sz val="11"/>
        <color theme="1"/>
        <rFont val="Calibri"/>
        <family val="2"/>
        <scheme val="minor"/>
      </rPr>
      <t xml:space="preserve"> (0.04x) suggest limited immediate liquid assets relative to liabilities, which could pose working capital pressure if cash inflows slow down.</t>
    </r>
  </si>
  <si>
    <r>
      <t xml:space="preserve">On the solvency side, the </t>
    </r>
    <r>
      <rPr>
        <i/>
        <sz val="11"/>
        <color theme="1"/>
        <rFont val="Calibri"/>
        <family val="2"/>
        <scheme val="minor"/>
      </rPr>
      <t>Debt‑to‑Equity Ratio</t>
    </r>
    <r>
      <rPr>
        <sz val="11"/>
        <color theme="1"/>
        <rFont val="Calibri"/>
        <family val="2"/>
        <scheme val="minor"/>
      </rPr>
      <t xml:space="preserve"> remained conservative at an average of 0.20x, reflecting a low reliance on debt financing. </t>
    </r>
    <r>
      <rPr>
        <i/>
        <sz val="11"/>
        <color theme="1"/>
        <rFont val="Calibri"/>
        <family val="2"/>
        <scheme val="minor"/>
      </rPr>
      <t>Interest Coverage</t>
    </r>
    <r>
      <rPr>
        <sz val="11"/>
        <color theme="1"/>
        <rFont val="Calibri"/>
        <family val="2"/>
        <scheme val="minor"/>
      </rPr>
      <t xml:space="preserve"> improved significantly in FY24–25 (7.87x and 6.64x), pointing to comfortable debt‑servicing capacity. The </t>
    </r>
    <r>
      <rPr>
        <i/>
        <sz val="11"/>
        <color theme="1"/>
        <rFont val="Calibri"/>
        <family val="2"/>
        <scheme val="minor"/>
      </rPr>
      <t>Equity Ratio</t>
    </r>
    <r>
      <rPr>
        <sz val="11"/>
        <color theme="1"/>
        <rFont val="Calibri"/>
        <family val="2"/>
        <scheme val="minor"/>
      </rPr>
      <t xml:space="preserve"> at ~0.61x further supports strong capitalization.</t>
    </r>
  </si>
  <si>
    <r>
      <t xml:space="preserve">Profitability margins have been resilient. The </t>
    </r>
    <r>
      <rPr>
        <i/>
        <sz val="11"/>
        <color theme="1"/>
        <rFont val="Calibri"/>
        <family val="2"/>
        <scheme val="minor"/>
      </rPr>
      <t>Net Profit Margin</t>
    </r>
    <r>
      <rPr>
        <sz val="11"/>
        <color theme="1"/>
        <rFont val="Calibri"/>
        <family val="2"/>
        <scheme val="minor"/>
      </rPr>
      <t xml:space="preserve"> averaged 27%, peaking at 34% in FY24 and FY25, while </t>
    </r>
    <r>
      <rPr>
        <i/>
        <sz val="11"/>
        <color theme="1"/>
        <rFont val="Calibri"/>
        <family val="2"/>
        <scheme val="minor"/>
      </rPr>
      <t>Operating Margins</t>
    </r>
    <r>
      <rPr>
        <sz val="11"/>
        <color theme="1"/>
        <rFont val="Calibri"/>
        <family val="2"/>
        <scheme val="minor"/>
      </rPr>
      <t xml:space="preserve"> averaged 38%. </t>
    </r>
    <r>
      <rPr>
        <i/>
        <sz val="11"/>
        <color theme="1"/>
        <rFont val="Calibri"/>
        <family val="2"/>
        <scheme val="minor"/>
      </rPr>
      <t>Return on Assets</t>
    </r>
    <r>
      <rPr>
        <sz val="11"/>
        <color theme="1"/>
        <rFont val="Calibri"/>
        <family val="2"/>
        <scheme val="minor"/>
      </rPr>
      <t xml:space="preserve"> (0.05x) and </t>
    </r>
    <r>
      <rPr>
        <i/>
        <sz val="11"/>
        <color theme="1"/>
        <rFont val="Calibri"/>
        <family val="2"/>
        <scheme val="minor"/>
      </rPr>
      <t>Return on Equity</t>
    </r>
    <r>
      <rPr>
        <sz val="11"/>
        <color theme="1"/>
        <rFont val="Calibri"/>
        <family val="2"/>
        <scheme val="minor"/>
      </rPr>
      <t xml:space="preserve"> (0.02x) remain modest, suggesting scope for better asset utilization and shareholder returns.</t>
    </r>
  </si>
  <si>
    <r>
      <t xml:space="preserve">Efficiency ratios depict stable operations with </t>
    </r>
    <r>
      <rPr>
        <i/>
        <sz val="11"/>
        <color theme="1"/>
        <rFont val="Calibri"/>
        <family val="2"/>
        <scheme val="minor"/>
      </rPr>
      <t>Inventory Turnover</t>
    </r>
    <r>
      <rPr>
        <sz val="11"/>
        <color theme="1"/>
        <rFont val="Calibri"/>
        <family val="2"/>
        <scheme val="minor"/>
      </rPr>
      <t xml:space="preserve"> around 4.4x and </t>
    </r>
    <r>
      <rPr>
        <i/>
        <sz val="11"/>
        <color theme="1"/>
        <rFont val="Calibri"/>
        <family val="2"/>
        <scheme val="minor"/>
      </rPr>
      <t>Receivables Turnover</t>
    </r>
    <r>
      <rPr>
        <sz val="11"/>
        <color theme="1"/>
        <rFont val="Calibri"/>
        <family val="2"/>
        <scheme val="minor"/>
      </rPr>
      <t xml:space="preserve"> ~8.4x. </t>
    </r>
    <r>
      <rPr>
        <i/>
        <sz val="11"/>
        <color theme="1"/>
        <rFont val="Calibri"/>
        <family val="2"/>
        <scheme val="minor"/>
      </rPr>
      <t>Asset Turnover</t>
    </r>
    <r>
      <rPr>
        <sz val="11"/>
        <color theme="1"/>
        <rFont val="Calibri"/>
        <family val="2"/>
        <scheme val="minor"/>
      </rPr>
      <t xml:space="preserve"> improved from 0.77x in FY21 to 1.00x in FY25, signaling better revenue generation per asset unit.</t>
    </r>
  </si>
  <si>
    <r>
      <t xml:space="preserve">From a market perspective, </t>
    </r>
    <r>
      <rPr>
        <i/>
        <sz val="11"/>
        <color theme="1"/>
        <rFont val="Calibri"/>
        <family val="2"/>
        <scheme val="minor"/>
      </rPr>
      <t>Price‑to‑Earnings</t>
    </r>
    <r>
      <rPr>
        <sz val="11"/>
        <color theme="1"/>
        <rFont val="Calibri"/>
        <family val="2"/>
        <scheme val="minor"/>
      </rPr>
      <t xml:space="preserve"> (in ₹ crores) showed volatility, peaking at 62.86 in FY23 before easing to 25.57 in FY25, possibly reflecting improved earnings or moderated investor expectations. </t>
    </r>
    <r>
      <rPr>
        <i/>
        <sz val="11"/>
        <color theme="1"/>
        <rFont val="Calibri"/>
        <family val="2"/>
        <scheme val="minor"/>
      </rPr>
      <t>Dividend Yield</t>
    </r>
    <r>
      <rPr>
        <sz val="11"/>
        <color theme="1"/>
        <rFont val="Calibri"/>
        <family val="2"/>
        <scheme val="minor"/>
      </rPr>
      <t xml:space="preserve"> stayed modest (0.17% average), aligning with a reinvestment‑focused approach.</t>
    </r>
  </si>
  <si>
    <t>Overall, MRF has maintained strong solvency and operational efficiency, with improved liquidity in FY25. The steady profitability and prudent leverage position the company for sustainable growth, though returns on equity could be enhanced through improved asset productivity and strategic capital allocation.</t>
  </si>
  <si>
    <t>Table of contents:</t>
  </si>
  <si>
    <t xml:space="preserve">About </t>
  </si>
  <si>
    <t>Financial Statements Analysis</t>
  </si>
  <si>
    <t>Common Size Statements Analysis</t>
  </si>
  <si>
    <t>Ratio Analysis</t>
  </si>
  <si>
    <t>Relative Valuation</t>
  </si>
  <si>
    <t>Discounted Cash Flow Analysis</t>
  </si>
  <si>
    <t>Dupont Analysis</t>
  </si>
  <si>
    <t>Dupont Interpretation</t>
  </si>
  <si>
    <t>Altman Z Score Analysis</t>
  </si>
  <si>
    <t>Altman Z Score Interpretation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</si>
</sst>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3">
    <numFmt numFmtId="43" formatCode="_ * #,##0.00_ ;_ * \-#,##0.00_ ;_ * &quot;-&quot;??_ ;_ @_ "/>
    <numFmt numFmtId="164" formatCode="_(* #,##0.00_);_(* \(#,##0.00\);_(* &quot;-&quot;??_);_(@_)"/>
    <numFmt numFmtId="165" formatCode="[$-409]mmm\-yy;@"/>
    <numFmt numFmtId="166" formatCode="[$-409]mmm/yy;@"/>
    <numFmt numFmtId="167" formatCode="&quot;₹&quot;\ #,##0.00"/>
    <numFmt numFmtId="168" formatCode="&quot;₹&quot;\ #,##0.00;&quot;₹&quot;\ \(#,##0.00\);\ \-"/>
    <numFmt numFmtId="169" formatCode="0.00%;\ \(0.00%\)"/>
    <numFmt numFmtId="170" formatCode="#,##0.00;\(#,##0.00\);\ \-"/>
    <numFmt numFmtId="171" formatCode="0.00%;\ \(0.00%\);\ \-"/>
    <numFmt numFmtId="172" formatCode="#,##0.00\x;\(#,##0.00\x\);\ \-"/>
    <numFmt numFmtId="173" formatCode="#,##0.00\ &quot;x&quot;"/>
    <numFmt numFmtId="174" formatCode="mmm/yy\ &quot;F&quot;"/>
    <numFmt numFmtId="175" formatCode="mmm/yy\ "/>
  </numFmts>
  <fonts count="61" x14ac:knownFonts="1">
    <font>
      <sz val="11"/>
      <color theme="1"/>
      <name val="Calibri"/>
      <family val="2"/>
      <scheme val="minor"/>
    </font>
    <font>
      <b/>
      <sz val="11"/>
      <color theme="1"/>
      <name val="Calibri"/>
      <family val="2"/>
      <scheme val="minor"/>
    </font>
    <font>
      <b/>
      <sz val="11"/>
      <color theme="0"/>
      <name val="Calibri"/>
      <family val="2"/>
      <scheme val="minor"/>
    </font>
    <font>
      <sz val="11"/>
      <color theme="1"/>
      <name val="Calibri"/>
      <family val="2"/>
      <scheme val="minor"/>
    </font>
    <font>
      <u/>
      <sz val="11"/>
      <color theme="10"/>
      <name val="Calibri"/>
      <family val="2"/>
    </font>
    <font>
      <sz val="11"/>
      <color theme="0"/>
      <name val="Calibri"/>
      <family val="2"/>
      <scheme val="minor"/>
    </font>
    <font>
      <sz val="11"/>
      <name val="Calibri"/>
      <family val="2"/>
      <scheme val="minor"/>
    </font>
    <font>
      <sz val="11"/>
      <color theme="1" tint="0.34998626667073579"/>
      <name val="Calibri"/>
      <family val="2"/>
      <scheme val="minor"/>
    </font>
    <font>
      <i/>
      <sz val="11"/>
      <color theme="1"/>
      <name val="Calibri"/>
      <family val="2"/>
      <scheme val="minor"/>
    </font>
    <font>
      <sz val="11"/>
      <color rgb="FF606F7B"/>
      <name val="Arial"/>
      <family val="2"/>
    </font>
    <font>
      <sz val="11"/>
      <color rgb="FF22222F"/>
      <name val="Arial"/>
      <family val="2"/>
    </font>
    <font>
      <sz val="11"/>
      <color rgb="FF665EFD"/>
      <name val="Arial"/>
      <family val="2"/>
    </font>
    <font>
      <sz val="11"/>
      <color rgb="FF22222F"/>
      <name val="Arial"/>
      <family val="2"/>
    </font>
    <font>
      <b/>
      <sz val="11"/>
      <color rgb="FF22222F"/>
      <name val="Arial"/>
      <family val="2"/>
    </font>
    <font>
      <sz val="11"/>
      <color rgb="FF22222F"/>
      <name val="Calibri"/>
      <family val="2"/>
      <scheme val="minor"/>
    </font>
    <font>
      <b/>
      <sz val="11"/>
      <color rgb="FF22222F"/>
      <name val="Calibri"/>
      <family val="2"/>
      <scheme val="minor"/>
    </font>
    <font>
      <b/>
      <sz val="10"/>
      <color theme="1"/>
      <name val="Calibri"/>
      <family val="2"/>
      <scheme val="minor"/>
    </font>
    <font>
      <i/>
      <sz val="10"/>
      <color theme="1"/>
      <name val="Calibri"/>
      <family val="2"/>
      <scheme val="minor"/>
    </font>
    <font>
      <sz val="10"/>
      <color theme="1"/>
      <name val="Calibri"/>
      <family val="2"/>
      <scheme val="minor"/>
    </font>
    <font>
      <sz val="11"/>
      <color rgb="FF0000FF"/>
      <name val="Calibri"/>
      <family val="2"/>
      <scheme val="minor"/>
    </font>
    <font>
      <sz val="10"/>
      <color rgb="FF3333FF"/>
      <name val="Calibri"/>
      <family val="2"/>
      <scheme val="minor"/>
    </font>
    <font>
      <b/>
      <sz val="11"/>
      <color rgb="FF00487E"/>
      <name val="Calibri"/>
      <family val="2"/>
      <scheme val="minor"/>
    </font>
    <font>
      <b/>
      <sz val="13.5"/>
      <color theme="1"/>
      <name val="Calibri"/>
      <family val="2"/>
      <scheme val="minor"/>
    </font>
    <font>
      <b/>
      <sz val="12"/>
      <color theme="1"/>
      <name val="Calibri"/>
      <family val="2"/>
      <scheme val="minor"/>
    </font>
    <font>
      <sz val="12"/>
      <color theme="1"/>
      <name val="Calibri"/>
      <family val="2"/>
      <scheme val="minor"/>
    </font>
    <font>
      <sz val="11"/>
      <color rgb="FF606F7B"/>
      <name val="Arial"/>
      <family val="2"/>
    </font>
    <font>
      <sz val="11"/>
      <color rgb="FF22222F"/>
      <name val="Arial"/>
      <family val="2"/>
    </font>
    <font>
      <sz val="10"/>
      <color rgb="FF22222F"/>
      <name val="Arial"/>
      <family val="2"/>
    </font>
    <font>
      <sz val="18"/>
      <color rgb="FF22222F"/>
      <name val="Arial"/>
      <family val="2"/>
    </font>
    <font>
      <sz val="11"/>
      <color rgb="FF606F7B"/>
      <name val="Arial"/>
      <family val="2"/>
    </font>
    <font>
      <sz val="11"/>
      <color theme="1"/>
      <name val="Arial"/>
      <family val="2"/>
    </font>
    <font>
      <sz val="11"/>
      <color theme="1"/>
      <name val="Arial"/>
      <family val="2"/>
    </font>
    <font>
      <b/>
      <sz val="22"/>
      <color rgb="FFED1C24"/>
      <name val="Calibri"/>
      <family val="2"/>
      <scheme val="minor"/>
    </font>
    <font>
      <sz val="11"/>
      <color theme="0" tint="-0.499984740745262"/>
      <name val="Calibri"/>
      <family val="2"/>
      <scheme val="minor"/>
    </font>
    <font>
      <b/>
      <i/>
      <sz val="11"/>
      <color theme="1"/>
      <name val="Calibri"/>
      <family val="2"/>
      <scheme val="minor"/>
    </font>
    <font>
      <b/>
      <vertAlign val="superscript"/>
      <sz val="10"/>
      <color theme="1"/>
      <name val="Calibri"/>
      <family val="2"/>
      <scheme val="minor"/>
    </font>
    <font>
      <vertAlign val="superscript"/>
      <sz val="10"/>
      <color theme="1"/>
      <name val="Calibri"/>
      <family val="2"/>
      <scheme val="minor"/>
    </font>
    <font>
      <b/>
      <sz val="10"/>
      <color rgb="FF000000"/>
      <name val="Calibri"/>
      <family val="2"/>
      <scheme val="minor"/>
    </font>
    <font>
      <sz val="10"/>
      <color theme="0" tint="-0.499984740745262"/>
      <name val="Calibri"/>
      <family val="2"/>
      <scheme val="minor"/>
    </font>
    <font>
      <sz val="11"/>
      <color rgb="FF606F7B"/>
      <name val="Arial"/>
      <family val="2"/>
    </font>
    <font>
      <sz val="11"/>
      <color rgb="FF737373"/>
      <name val="Arial"/>
      <family val="2"/>
    </font>
    <font>
      <sz val="11"/>
      <color rgb="FF22222F"/>
      <name val="Arial"/>
      <family val="2"/>
    </font>
    <font>
      <sz val="11"/>
      <color theme="1"/>
      <name val="Cambria"/>
      <family val="1"/>
      <scheme val="major"/>
    </font>
    <font>
      <b/>
      <sz val="24"/>
      <color rgb="FFED1C24"/>
      <name val="Cambria"/>
      <family val="1"/>
      <scheme val="major"/>
    </font>
    <font>
      <sz val="11"/>
      <color theme="0"/>
      <name val="Cambria"/>
      <family val="1"/>
      <scheme val="major"/>
    </font>
    <font>
      <b/>
      <sz val="11"/>
      <color theme="0"/>
      <name val="Cambria"/>
      <family val="1"/>
      <scheme val="major"/>
    </font>
    <font>
      <b/>
      <sz val="11"/>
      <color theme="1"/>
      <name val="Cambria"/>
      <family val="1"/>
      <scheme val="major"/>
    </font>
    <font>
      <sz val="11"/>
      <color theme="0" tint="-0.34998626667073579"/>
      <name val="Cambria"/>
      <family val="1"/>
      <scheme val="major"/>
    </font>
    <font>
      <b/>
      <sz val="11"/>
      <color rgb="FFED1C24"/>
      <name val="Cambria"/>
      <family val="1"/>
      <scheme val="major"/>
    </font>
    <font>
      <b/>
      <sz val="11"/>
      <color rgb="FF22222F"/>
      <name val="Cambria"/>
      <family val="1"/>
      <scheme val="major"/>
    </font>
    <font>
      <sz val="11"/>
      <color theme="0" tint="-0.499984740745262"/>
      <name val="Cambria"/>
      <family val="1"/>
      <scheme val="major"/>
    </font>
    <font>
      <b/>
      <sz val="22"/>
      <color rgb="FFED1C24"/>
      <name val="Cambria"/>
      <family val="1"/>
      <scheme val="major"/>
    </font>
    <font>
      <sz val="22"/>
      <color theme="1"/>
      <name val="Cambria"/>
      <family val="1"/>
      <scheme val="major"/>
    </font>
    <font>
      <b/>
      <sz val="12"/>
      <color theme="0"/>
      <name val="Calibri"/>
      <family val="2"/>
      <scheme val="minor"/>
    </font>
    <font>
      <sz val="10"/>
      <color rgb="FF0070C0"/>
      <name val="Arial"/>
      <family val="2"/>
    </font>
    <font>
      <sz val="11"/>
      <color rgb="FF0070C0"/>
      <name val="Calibri"/>
      <family val="2"/>
      <scheme val="minor"/>
    </font>
    <font>
      <sz val="12"/>
      <color theme="1"/>
      <name val="Cambria"/>
      <family val="1"/>
      <scheme val="major"/>
    </font>
    <font>
      <b/>
      <sz val="12"/>
      <color rgb="FFED1C24"/>
      <name val="Cambria"/>
      <family val="1"/>
      <scheme val="major"/>
    </font>
    <font>
      <sz val="12"/>
      <color theme="0"/>
      <name val="Cambria"/>
      <family val="1"/>
      <scheme val="major"/>
    </font>
    <font>
      <b/>
      <sz val="26"/>
      <color rgb="FFED1C24"/>
      <name val="Cambria"/>
      <family val="1"/>
      <scheme val="major"/>
    </font>
    <font>
      <b/>
      <sz val="14"/>
      <color theme="1"/>
      <name val="Calibri"/>
      <family val="2"/>
      <scheme val="minor"/>
    </font>
  </fonts>
  <fills count="12">
    <fill>
      <patternFill patternType="none"/>
    </fill>
    <fill>
      <patternFill patternType="gray125"/>
    </fill>
    <fill>
      <patternFill patternType="solid">
        <fgColor theme="9"/>
      </patternFill>
    </fill>
    <fill>
      <patternFill patternType="solid">
        <fgColor rgb="FF0275D8"/>
        <bgColor indexed="64"/>
      </patternFill>
    </fill>
    <fill>
      <patternFill patternType="solid">
        <fgColor rgb="FFFFFFFF"/>
        <bgColor indexed="64"/>
      </patternFill>
    </fill>
    <fill>
      <patternFill patternType="solid">
        <fgColor rgb="FFF8F8FC"/>
        <bgColor indexed="64"/>
      </patternFill>
    </fill>
    <fill>
      <patternFill patternType="solid">
        <fgColor theme="0"/>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rgb="FF002060"/>
        <bgColor indexed="64"/>
      </patternFill>
    </fill>
    <fill>
      <patternFill patternType="solid">
        <fgColor rgb="FFED1C24"/>
        <bgColor indexed="64"/>
      </patternFill>
    </fill>
  </fills>
  <borders count="107">
    <border>
      <left/>
      <right/>
      <top/>
      <bottom/>
      <diagonal/>
    </border>
    <border>
      <left/>
      <right/>
      <top/>
      <bottom style="medium">
        <color rgb="FFDBE4F0"/>
      </bottom>
      <diagonal/>
    </border>
    <border>
      <left/>
      <right/>
      <top style="medium">
        <color rgb="FFDBE4F0"/>
      </top>
      <bottom/>
      <diagonal/>
    </border>
    <border>
      <left/>
      <right/>
      <top style="thin">
        <color auto="1"/>
      </top>
      <bottom/>
      <diagonal/>
    </border>
    <border>
      <left/>
      <right/>
      <top/>
      <bottom style="thin">
        <color auto="1"/>
      </bottom>
      <diagonal/>
    </border>
    <border>
      <left/>
      <right/>
      <top style="hair">
        <color auto="1"/>
      </top>
      <bottom/>
      <diagonal/>
    </border>
    <border>
      <left/>
      <right/>
      <top/>
      <bottom style="hair">
        <color auto="1"/>
      </bottom>
      <diagonal/>
    </border>
    <border>
      <left/>
      <right/>
      <top/>
      <bottom style="hair">
        <color theme="8" tint="-0.499984740745262"/>
      </bottom>
      <diagonal/>
    </border>
    <border>
      <left/>
      <right/>
      <top style="hair">
        <color theme="8" tint="-0.499984740745262"/>
      </top>
      <bottom style="hair">
        <color theme="8" tint="-0.499984740745262"/>
      </bottom>
      <diagonal/>
    </border>
    <border>
      <left/>
      <right/>
      <top style="hair">
        <color theme="8" tint="-0.499984740745262"/>
      </top>
      <bottom style="thin">
        <color theme="8" tint="-0.499984740745262"/>
      </bottom>
      <diagonal/>
    </border>
    <border>
      <left/>
      <right/>
      <top style="hair">
        <color theme="8" tint="-0.499984740745262"/>
      </top>
      <bottom/>
      <diagonal/>
    </border>
    <border>
      <left/>
      <right/>
      <top style="thin">
        <color theme="8" tint="-0.499984740745262"/>
      </top>
      <bottom/>
      <diagonal/>
    </border>
    <border>
      <left/>
      <right/>
      <top style="thin">
        <color auto="1"/>
      </top>
      <bottom style="medium">
        <color theme="8" tint="-0.499984740745262"/>
      </bottom>
      <diagonal/>
    </border>
    <border>
      <left/>
      <right/>
      <top style="medium">
        <color theme="8" tint="-0.499984740745262"/>
      </top>
      <bottom/>
      <diagonal/>
    </border>
    <border>
      <left/>
      <right/>
      <top/>
      <bottom style="thin">
        <color theme="8" tint="-0.499984740745262"/>
      </bottom>
      <diagonal/>
    </border>
    <border>
      <left/>
      <right/>
      <top style="thin">
        <color theme="8" tint="-0.499984740745262"/>
      </top>
      <bottom style="medium">
        <color theme="8" tint="-0.499984740745262"/>
      </bottom>
      <diagonal/>
    </border>
    <border>
      <left/>
      <right/>
      <top/>
      <bottom style="medium">
        <color theme="8" tint="-0.499984740745262"/>
      </bottom>
      <diagonal/>
    </border>
    <border>
      <left/>
      <right/>
      <top style="hair">
        <color auto="1"/>
      </top>
      <bottom style="hair">
        <color auto="1"/>
      </bottom>
      <diagonal/>
    </border>
    <border>
      <left/>
      <right style="thin">
        <color auto="1"/>
      </right>
      <top/>
      <bottom/>
      <diagonal/>
    </border>
    <border>
      <left/>
      <right/>
      <top style="thin">
        <color auto="1"/>
      </top>
      <bottom style="medium">
        <color auto="1"/>
      </bottom>
      <diagonal/>
    </border>
    <border>
      <left style="thin">
        <color auto="1"/>
      </left>
      <right style="thin">
        <color auto="1"/>
      </right>
      <top/>
      <bottom/>
      <diagonal/>
    </border>
    <border>
      <left style="thin">
        <color auto="1"/>
      </left>
      <right style="thin">
        <color auto="1"/>
      </right>
      <top style="thin">
        <color auto="1"/>
      </top>
      <bottom/>
      <diagonal/>
    </border>
    <border>
      <left/>
      <right style="thin">
        <color auto="1"/>
      </right>
      <top style="thin">
        <color auto="1"/>
      </top>
      <bottom/>
      <diagonal/>
    </border>
    <border>
      <left/>
      <right/>
      <top/>
      <bottom style="medium">
        <color rgb="FFED1C24"/>
      </bottom>
      <diagonal/>
    </border>
    <border>
      <left/>
      <right/>
      <top style="thin">
        <color theme="1"/>
      </top>
      <bottom style="medium">
        <color theme="1"/>
      </bottom>
      <diagonal/>
    </border>
    <border>
      <left/>
      <right/>
      <top style="thin">
        <color auto="1"/>
      </top>
      <bottom style="thick">
        <color rgb="FFED1C24"/>
      </bottom>
      <diagonal/>
    </border>
    <border>
      <left/>
      <right/>
      <top style="hair">
        <color auto="1"/>
      </top>
      <bottom style="thin">
        <color auto="1"/>
      </bottom>
      <diagonal/>
    </border>
    <border>
      <left style="thick">
        <color rgb="FFED1C24"/>
      </left>
      <right/>
      <top style="thick">
        <color rgb="FFED1C24"/>
      </top>
      <bottom/>
      <diagonal/>
    </border>
    <border>
      <left/>
      <right/>
      <top style="thick">
        <color rgb="FFED1C24"/>
      </top>
      <bottom/>
      <diagonal/>
    </border>
    <border>
      <left/>
      <right style="thick">
        <color rgb="FFED1C24"/>
      </right>
      <top style="thick">
        <color rgb="FFED1C24"/>
      </top>
      <bottom/>
      <diagonal/>
    </border>
    <border>
      <left style="thick">
        <color rgb="FFED1C24"/>
      </left>
      <right/>
      <top/>
      <bottom/>
      <diagonal/>
    </border>
    <border>
      <left/>
      <right style="thick">
        <color rgb="FFED1C24"/>
      </right>
      <top/>
      <bottom/>
      <diagonal/>
    </border>
    <border>
      <left style="thick">
        <color rgb="FFED1C24"/>
      </left>
      <right/>
      <top style="thin">
        <color auto="1"/>
      </top>
      <bottom style="thick">
        <color rgb="FFED1C24"/>
      </bottom>
      <diagonal/>
    </border>
    <border>
      <left/>
      <right style="thick">
        <color rgb="FFED1C24"/>
      </right>
      <top style="thin">
        <color auto="1"/>
      </top>
      <bottom style="thick">
        <color rgb="FFED1C24"/>
      </bottom>
      <diagonal/>
    </border>
    <border>
      <left/>
      <right style="thick">
        <color rgb="FFED1C24"/>
      </right>
      <top/>
      <bottom style="medium">
        <color rgb="FFED1C24"/>
      </bottom>
      <diagonal/>
    </border>
    <border>
      <left style="thick">
        <color rgb="FFED1C24"/>
      </left>
      <right/>
      <top/>
      <bottom style="thick">
        <color rgb="FFED1C24"/>
      </bottom>
      <diagonal/>
    </border>
    <border>
      <left/>
      <right/>
      <top/>
      <bottom style="thick">
        <color rgb="FFED1C24"/>
      </bottom>
      <diagonal/>
    </border>
    <border>
      <left/>
      <right style="thick">
        <color rgb="FFED1C24"/>
      </right>
      <top/>
      <bottom style="thick">
        <color rgb="FFED1C24"/>
      </bottom>
      <diagonal/>
    </border>
    <border>
      <left style="thick">
        <color rgb="FFED1C24"/>
      </left>
      <right/>
      <top style="thin">
        <color auto="1"/>
      </top>
      <bottom style="medium">
        <color auto="1"/>
      </bottom>
      <diagonal/>
    </border>
    <border>
      <left/>
      <right style="thick">
        <color rgb="FFED1C24"/>
      </right>
      <top style="thin">
        <color auto="1"/>
      </top>
      <bottom style="medium">
        <color auto="1"/>
      </bottom>
      <diagonal/>
    </border>
    <border>
      <left style="thick">
        <color rgb="FFED1C24"/>
      </left>
      <right/>
      <top style="thin">
        <color theme="1"/>
      </top>
      <bottom style="medium">
        <color theme="1"/>
      </bottom>
      <diagonal/>
    </border>
    <border>
      <left/>
      <right style="thick">
        <color rgb="FFED1C24"/>
      </right>
      <top style="thin">
        <color theme="1"/>
      </top>
      <bottom style="medium">
        <color theme="1"/>
      </bottom>
      <diagonal/>
    </border>
    <border>
      <left style="thick">
        <color rgb="FFED1C24"/>
      </left>
      <right/>
      <top style="thick">
        <color rgb="FFED1C24"/>
      </top>
      <bottom style="hair">
        <color auto="1"/>
      </bottom>
      <diagonal/>
    </border>
    <border>
      <left/>
      <right/>
      <top style="thick">
        <color rgb="FFED1C24"/>
      </top>
      <bottom style="hair">
        <color auto="1"/>
      </bottom>
      <diagonal/>
    </border>
    <border>
      <left/>
      <right style="thick">
        <color rgb="FFED1C24"/>
      </right>
      <top style="thick">
        <color rgb="FFED1C24"/>
      </top>
      <bottom style="hair">
        <color auto="1"/>
      </bottom>
      <diagonal/>
    </border>
    <border>
      <left style="thick">
        <color rgb="FFED1C24"/>
      </left>
      <right/>
      <top style="hair">
        <color auto="1"/>
      </top>
      <bottom style="thick">
        <color rgb="FFED1C24"/>
      </bottom>
      <diagonal/>
    </border>
    <border>
      <left/>
      <right/>
      <top style="hair">
        <color auto="1"/>
      </top>
      <bottom style="thick">
        <color rgb="FFED1C24"/>
      </bottom>
      <diagonal/>
    </border>
    <border>
      <left/>
      <right style="thick">
        <color rgb="FFED1C24"/>
      </right>
      <top style="hair">
        <color auto="1"/>
      </top>
      <bottom style="thick">
        <color rgb="FFED1C24"/>
      </bottom>
      <diagonal/>
    </border>
    <border>
      <left style="thick">
        <color rgb="FFED1C24"/>
      </left>
      <right/>
      <top/>
      <bottom style="hair">
        <color auto="1"/>
      </bottom>
      <diagonal/>
    </border>
    <border>
      <left/>
      <right style="thick">
        <color rgb="FFED1C24"/>
      </right>
      <top/>
      <bottom style="hair">
        <color auto="1"/>
      </bottom>
      <diagonal/>
    </border>
    <border>
      <left style="thick">
        <color rgb="FFED1C24"/>
      </left>
      <right/>
      <top style="hair">
        <color auto="1"/>
      </top>
      <bottom style="hair">
        <color auto="1"/>
      </bottom>
      <diagonal/>
    </border>
    <border>
      <left/>
      <right style="thick">
        <color rgb="FFED1C24"/>
      </right>
      <top style="hair">
        <color auto="1"/>
      </top>
      <bottom style="hair">
        <color auto="1"/>
      </bottom>
      <diagonal/>
    </border>
    <border>
      <left style="thick">
        <color rgb="FFED1C24"/>
      </left>
      <right/>
      <top style="hair">
        <color auto="1"/>
      </top>
      <bottom/>
      <diagonal/>
    </border>
    <border>
      <left/>
      <right style="thick">
        <color rgb="FFED1C24"/>
      </right>
      <top style="hair">
        <color auto="1"/>
      </top>
      <bottom/>
      <diagonal/>
    </border>
    <border>
      <left style="thick">
        <color rgb="FFED1C24"/>
      </left>
      <right/>
      <top style="thin">
        <color theme="8" tint="-0.499984740745262"/>
      </top>
      <bottom style="medium">
        <color theme="8" tint="-0.499984740745262"/>
      </bottom>
      <diagonal/>
    </border>
    <border>
      <left/>
      <right style="thick">
        <color rgb="FFED1C24"/>
      </right>
      <top style="thin">
        <color theme="8" tint="-0.499984740745262"/>
      </top>
      <bottom style="medium">
        <color theme="8" tint="-0.499984740745262"/>
      </bottom>
      <diagonal/>
    </border>
    <border>
      <left style="thick">
        <color rgb="FFED1C24"/>
      </left>
      <right style="medium">
        <color rgb="FFED1C24"/>
      </right>
      <top/>
      <bottom style="thick">
        <color rgb="FFED1C24"/>
      </bottom>
      <diagonal/>
    </border>
    <border>
      <left style="thick">
        <color rgb="FFED1C24"/>
      </left>
      <right style="medium">
        <color rgb="FFED1C24"/>
      </right>
      <top/>
      <bottom style="medium">
        <color rgb="FFED1C24"/>
      </bottom>
      <diagonal/>
    </border>
    <border>
      <left style="thick">
        <color rgb="FFED1C24"/>
      </left>
      <right style="medium">
        <color rgb="FFED1C24"/>
      </right>
      <top/>
      <bottom/>
      <diagonal/>
    </border>
    <border>
      <left style="thick">
        <color rgb="FFED1C24"/>
      </left>
      <right/>
      <top/>
      <bottom style="hair">
        <color theme="8" tint="-0.499984740745262"/>
      </bottom>
      <diagonal/>
    </border>
    <border>
      <left/>
      <right style="thick">
        <color rgb="FFED1C24"/>
      </right>
      <top/>
      <bottom style="hair">
        <color theme="8" tint="-0.499984740745262"/>
      </bottom>
      <diagonal/>
    </border>
    <border>
      <left style="thick">
        <color rgb="FFED1C24"/>
      </left>
      <right/>
      <top style="hair">
        <color theme="8" tint="-0.499984740745262"/>
      </top>
      <bottom style="hair">
        <color theme="8" tint="-0.499984740745262"/>
      </bottom>
      <diagonal/>
    </border>
    <border>
      <left/>
      <right style="thick">
        <color rgb="FFED1C24"/>
      </right>
      <top style="hair">
        <color theme="8" tint="-0.499984740745262"/>
      </top>
      <bottom style="hair">
        <color theme="8" tint="-0.499984740745262"/>
      </bottom>
      <diagonal/>
    </border>
    <border>
      <left style="thick">
        <color rgb="FFED1C24"/>
      </left>
      <right/>
      <top style="hair">
        <color theme="8" tint="-0.499984740745262"/>
      </top>
      <bottom style="thin">
        <color theme="8" tint="-0.499984740745262"/>
      </bottom>
      <diagonal/>
    </border>
    <border>
      <left/>
      <right style="thick">
        <color rgb="FFED1C24"/>
      </right>
      <top style="hair">
        <color theme="8" tint="-0.499984740745262"/>
      </top>
      <bottom/>
      <diagonal/>
    </border>
    <border>
      <left style="thick">
        <color rgb="FFED1C24"/>
      </left>
      <right/>
      <top style="thin">
        <color theme="8" tint="-0.499984740745262"/>
      </top>
      <bottom/>
      <diagonal/>
    </border>
    <border>
      <left/>
      <right style="thick">
        <color rgb="FFED1C24"/>
      </right>
      <top style="thin">
        <color theme="8" tint="-0.499984740745262"/>
      </top>
      <bottom/>
      <diagonal/>
    </border>
    <border>
      <left style="thick">
        <color rgb="FFED1C24"/>
      </left>
      <right/>
      <top/>
      <bottom style="thin">
        <color auto="1"/>
      </bottom>
      <diagonal/>
    </border>
    <border>
      <left/>
      <right style="thick">
        <color rgb="FFED1C24"/>
      </right>
      <top/>
      <bottom style="thin">
        <color auto="1"/>
      </bottom>
      <diagonal/>
    </border>
    <border>
      <left/>
      <right style="thick">
        <color rgb="FFED1C24"/>
      </right>
      <top style="thin">
        <color auto="1"/>
      </top>
      <bottom/>
      <diagonal/>
    </border>
    <border>
      <left style="thick">
        <color rgb="FFED1C24"/>
      </left>
      <right/>
      <top style="thin">
        <color auto="1"/>
      </top>
      <bottom/>
      <diagonal/>
    </border>
    <border>
      <left style="thick">
        <color rgb="FFED1C24"/>
      </left>
      <right/>
      <top style="thin">
        <color auto="1"/>
      </top>
      <bottom style="medium">
        <color theme="8" tint="-0.499984740745262"/>
      </bottom>
      <diagonal/>
    </border>
    <border>
      <left style="thick">
        <color rgb="FFED1C24"/>
      </left>
      <right/>
      <top style="medium">
        <color theme="8" tint="-0.499984740745262"/>
      </top>
      <bottom/>
      <diagonal/>
    </border>
    <border>
      <left/>
      <right style="thick">
        <color rgb="FFED1C24"/>
      </right>
      <top style="medium">
        <color theme="8" tint="-0.499984740745262"/>
      </top>
      <bottom/>
      <diagonal/>
    </border>
    <border>
      <left style="thick">
        <color rgb="FFED1C24"/>
      </left>
      <right/>
      <top style="hair">
        <color theme="8" tint="-0.499984740745262"/>
      </top>
      <bottom/>
      <diagonal/>
    </border>
    <border>
      <left style="thick">
        <color rgb="FFED1C24"/>
      </left>
      <right/>
      <top/>
      <bottom style="thin">
        <color theme="8" tint="-0.499984740745262"/>
      </bottom>
      <diagonal/>
    </border>
    <border>
      <left/>
      <right style="thick">
        <color rgb="FFED1C24"/>
      </right>
      <top/>
      <bottom style="thin">
        <color theme="8" tint="-0.499984740745262"/>
      </bottom>
      <diagonal/>
    </border>
    <border>
      <left/>
      <right style="thick">
        <color rgb="FFED1C24"/>
      </right>
      <top/>
      <bottom style="medium">
        <color theme="8" tint="-0.499984740745262"/>
      </bottom>
      <diagonal/>
    </border>
    <border>
      <left style="thick">
        <color rgb="FFED1C24"/>
      </left>
      <right/>
      <top style="thin">
        <color theme="8" tint="-0.499984740745262"/>
      </top>
      <bottom style="thick">
        <color rgb="FFED1C24"/>
      </bottom>
      <diagonal/>
    </border>
    <border>
      <left/>
      <right/>
      <top style="thin">
        <color theme="8" tint="-0.499984740745262"/>
      </top>
      <bottom style="thick">
        <color rgb="FFED1C24"/>
      </bottom>
      <diagonal/>
    </border>
    <border>
      <left/>
      <right style="thick">
        <color rgb="FFED1C24"/>
      </right>
      <top style="thin">
        <color theme="8" tint="-0.499984740745262"/>
      </top>
      <bottom style="thick">
        <color rgb="FFED1C24"/>
      </bottom>
      <diagonal/>
    </border>
    <border>
      <left style="thick">
        <color rgb="FFED1C24"/>
      </left>
      <right/>
      <top/>
      <bottom style="hair">
        <color theme="1"/>
      </bottom>
      <diagonal/>
    </border>
    <border>
      <left/>
      <right/>
      <top/>
      <bottom style="hair">
        <color theme="1"/>
      </bottom>
      <diagonal/>
    </border>
    <border>
      <left/>
      <right style="thick">
        <color rgb="FFED1C24"/>
      </right>
      <top/>
      <bottom style="hair">
        <color theme="1"/>
      </bottom>
      <diagonal/>
    </border>
    <border>
      <left style="thick">
        <color rgb="FFED1C24"/>
      </left>
      <right/>
      <top style="hair">
        <color theme="1"/>
      </top>
      <bottom style="hair">
        <color theme="1"/>
      </bottom>
      <diagonal/>
    </border>
    <border>
      <left/>
      <right/>
      <top style="hair">
        <color theme="1"/>
      </top>
      <bottom style="hair">
        <color theme="1"/>
      </bottom>
      <diagonal/>
    </border>
    <border>
      <left/>
      <right style="thick">
        <color rgb="FFED1C24"/>
      </right>
      <top style="hair">
        <color theme="1"/>
      </top>
      <bottom style="hair">
        <color theme="1"/>
      </bottom>
      <diagonal/>
    </border>
    <border>
      <left style="thick">
        <color rgb="FFED1C24"/>
      </left>
      <right/>
      <top style="hair">
        <color theme="1"/>
      </top>
      <bottom/>
      <diagonal/>
    </border>
    <border>
      <left/>
      <right/>
      <top style="hair">
        <color theme="1"/>
      </top>
      <bottom/>
      <diagonal/>
    </border>
    <border>
      <left/>
      <right style="thick">
        <color rgb="FFED1C24"/>
      </right>
      <top style="hair">
        <color theme="1"/>
      </top>
      <bottom/>
      <diagonal/>
    </border>
    <border>
      <left style="thick">
        <color rgb="FFED1C24"/>
      </left>
      <right/>
      <top style="thick">
        <color rgb="FFED1C24"/>
      </top>
      <bottom style="thin">
        <color auto="1"/>
      </bottom>
      <diagonal/>
    </border>
    <border>
      <left/>
      <right/>
      <top style="thick">
        <color rgb="FFED1C24"/>
      </top>
      <bottom style="thin">
        <color auto="1"/>
      </bottom>
      <diagonal/>
    </border>
    <border>
      <left/>
      <right style="thick">
        <color rgb="FFED1C24"/>
      </right>
      <top style="thick">
        <color rgb="FFED1C24"/>
      </top>
      <bottom style="thin">
        <color auto="1"/>
      </bottom>
      <diagonal/>
    </border>
    <border>
      <left style="thick">
        <color rgb="FFED1C24"/>
      </left>
      <right/>
      <top style="thick">
        <color auto="1"/>
      </top>
      <bottom style="thick">
        <color rgb="FFED1C24"/>
      </bottom>
      <diagonal/>
    </border>
    <border>
      <left/>
      <right/>
      <top style="thick">
        <color auto="1"/>
      </top>
      <bottom style="thick">
        <color rgb="FFED1C24"/>
      </bottom>
      <diagonal/>
    </border>
    <border>
      <left/>
      <right style="thick">
        <color rgb="FFED1C24"/>
      </right>
      <top style="thick">
        <color auto="1"/>
      </top>
      <bottom style="thick">
        <color rgb="FFED1C24"/>
      </bottom>
      <diagonal/>
    </border>
    <border>
      <left style="thick">
        <color rgb="FFED1C24"/>
      </left>
      <right/>
      <top style="medium">
        <color auto="1"/>
      </top>
      <bottom style="medium">
        <color auto="1"/>
      </bottom>
      <diagonal/>
    </border>
    <border>
      <left/>
      <right/>
      <top style="medium">
        <color auto="1"/>
      </top>
      <bottom style="medium">
        <color auto="1"/>
      </bottom>
      <diagonal/>
    </border>
    <border>
      <left/>
      <right style="thick">
        <color rgb="FFED1C24"/>
      </right>
      <top style="medium">
        <color auto="1"/>
      </top>
      <bottom style="medium">
        <color auto="1"/>
      </bottom>
      <diagonal/>
    </border>
    <border>
      <left/>
      <right/>
      <top style="thick">
        <color rgb="FFED1C24"/>
      </top>
      <bottom style="thin">
        <color theme="4"/>
      </bottom>
      <diagonal/>
    </border>
    <border>
      <left/>
      <right style="thick">
        <color rgb="FFED1C24"/>
      </right>
      <top style="thick">
        <color rgb="FFED1C24"/>
      </top>
      <bottom style="thin">
        <color theme="4"/>
      </bottom>
      <diagonal/>
    </border>
    <border>
      <left style="thick">
        <color rgb="FFED1C24"/>
      </left>
      <right/>
      <top/>
      <bottom style="thick">
        <color auto="1"/>
      </bottom>
      <diagonal/>
    </border>
    <border>
      <left/>
      <right/>
      <top/>
      <bottom style="thick">
        <color auto="1"/>
      </bottom>
      <diagonal/>
    </border>
    <border>
      <left/>
      <right style="thick">
        <color rgb="FFED1C24"/>
      </right>
      <top/>
      <bottom style="thick">
        <color auto="1"/>
      </bottom>
      <diagonal/>
    </border>
    <border>
      <left style="thick">
        <color rgb="FFED1C24"/>
      </left>
      <right/>
      <top style="thick">
        <color rgb="FFED1C24"/>
      </top>
      <bottom style="thick">
        <color rgb="FFED1C24"/>
      </bottom>
      <diagonal/>
    </border>
    <border>
      <left/>
      <right/>
      <top style="thick">
        <color rgb="FFED1C24"/>
      </top>
      <bottom style="thick">
        <color rgb="FFED1C24"/>
      </bottom>
      <diagonal/>
    </border>
    <border>
      <left/>
      <right style="thick">
        <color rgb="FFED1C24"/>
      </right>
      <top style="thick">
        <color rgb="FFED1C24"/>
      </top>
      <bottom style="thick">
        <color rgb="FFED1C24"/>
      </bottom>
      <diagonal/>
    </border>
  </borders>
  <cellStyleXfs count="5">
    <xf numFmtId="0" fontId="0" fillId="0" borderId="0"/>
    <xf numFmtId="43" fontId="3" fillId="0" borderId="0" applyFont="0" applyFill="0" applyBorder="0" applyAlignment="0" applyProtection="0"/>
    <xf numFmtId="0" fontId="4" fillId="0" borderId="0" applyNumberFormat="0" applyFill="0" applyBorder="0" applyAlignment="0" applyProtection="0">
      <alignment vertical="top"/>
      <protection locked="0"/>
    </xf>
    <xf numFmtId="0" fontId="5" fillId="2" borderId="0" applyNumberFormat="0" applyBorder="0" applyAlignment="0" applyProtection="0"/>
    <xf numFmtId="9" fontId="3" fillId="0" borderId="0" applyFont="0" applyFill="0" applyBorder="0" applyAlignment="0" applyProtection="0"/>
  </cellStyleXfs>
  <cellXfs count="637">
    <xf numFmtId="0" fontId="0" fillId="0" borderId="0" xfId="0"/>
    <xf numFmtId="43" fontId="1" fillId="0" borderId="0" xfId="1" applyFont="1" applyBorder="1"/>
    <xf numFmtId="0" fontId="1" fillId="0" borderId="0" xfId="0" applyFont="1" applyFill="1" applyBorder="1" applyAlignment="1"/>
    <xf numFmtId="43" fontId="0" fillId="0" borderId="0" xfId="1" applyFont="1" applyBorder="1"/>
    <xf numFmtId="0" fontId="0" fillId="0" borderId="0" xfId="0" applyFont="1" applyBorder="1"/>
    <xf numFmtId="0" fontId="1" fillId="0" borderId="0" xfId="0" applyFont="1" applyBorder="1"/>
    <xf numFmtId="43" fontId="3" fillId="0" borderId="0" xfId="1" applyFont="1" applyBorder="1"/>
    <xf numFmtId="165" fontId="2" fillId="3" borderId="0" xfId="0" applyNumberFormat="1" applyFont="1" applyFill="1" applyBorder="1" applyAlignment="1">
      <alignment horizontal="center"/>
    </xf>
    <xf numFmtId="165" fontId="2" fillId="3" borderId="0" xfId="1" applyNumberFormat="1" applyFont="1" applyFill="1" applyBorder="1"/>
    <xf numFmtId="165" fontId="6" fillId="0" borderId="0" xfId="1" applyNumberFormat="1" applyFont="1" applyFill="1" applyBorder="1"/>
    <xf numFmtId="0" fontId="0" fillId="0" borderId="0" xfId="0" applyFont="1" applyFill="1" applyBorder="1"/>
    <xf numFmtId="164" fontId="0" fillId="0" borderId="0" xfId="1" applyNumberFormat="1" applyFont="1" applyBorder="1"/>
    <xf numFmtId="10" fontId="0" fillId="0" borderId="0" xfId="4" applyNumberFormat="1" applyFont="1"/>
    <xf numFmtId="0" fontId="1" fillId="0" borderId="0" xfId="0" applyFont="1"/>
    <xf numFmtId="0" fontId="0" fillId="0" borderId="0" xfId="0" applyFont="1"/>
    <xf numFmtId="0" fontId="8" fillId="0" borderId="0" xfId="0" applyFont="1"/>
    <xf numFmtId="0" fontId="0" fillId="4" borderId="0" xfId="0" applyFill="1"/>
    <xf numFmtId="17" fontId="9" fillId="4" borderId="1" xfId="0" applyNumberFormat="1" applyFont="1" applyFill="1" applyBorder="1" applyAlignment="1">
      <alignment horizontal="right" vertical="center" wrapText="1"/>
    </xf>
    <xf numFmtId="166" fontId="0" fillId="0" borderId="0" xfId="0" applyNumberFormat="1" applyFont="1"/>
    <xf numFmtId="0" fontId="17" fillId="0" borderId="0" xfId="0" applyFont="1"/>
    <xf numFmtId="0" fontId="10" fillId="5" borderId="0" xfId="0" applyFont="1" applyFill="1" applyAlignment="1">
      <alignment horizontal="right" vertical="center" wrapText="1"/>
    </xf>
    <xf numFmtId="0" fontId="0" fillId="6" borderId="0" xfId="0" applyFont="1" applyFill="1"/>
    <xf numFmtId="0" fontId="16" fillId="0" borderId="3" xfId="0" applyFont="1" applyBorder="1" applyAlignment="1">
      <alignment horizontal="left"/>
    </xf>
    <xf numFmtId="0" fontId="16" fillId="0" borderId="4" xfId="0" applyFont="1" applyBorder="1" applyAlignment="1">
      <alignment horizontal="left"/>
    </xf>
    <xf numFmtId="0" fontId="18" fillId="0" borderId="0" xfId="0" applyFont="1" applyAlignment="1">
      <alignment horizontal="right"/>
    </xf>
    <xf numFmtId="9" fontId="18" fillId="0" borderId="5" xfId="4" applyFont="1" applyBorder="1" applyAlignment="1">
      <alignment horizontal="right"/>
    </xf>
    <xf numFmtId="0" fontId="0" fillId="0" borderId="8" xfId="0" applyBorder="1"/>
    <xf numFmtId="0" fontId="0" fillId="0" borderId="13" xfId="0" applyBorder="1"/>
    <xf numFmtId="10" fontId="0" fillId="8" borderId="0" xfId="4" applyNumberFormat="1" applyFont="1" applyFill="1"/>
    <xf numFmtId="10" fontId="0" fillId="0" borderId="7" xfId="0" applyNumberFormat="1" applyBorder="1"/>
    <xf numFmtId="10" fontId="0" fillId="0" borderId="10" xfId="0" applyNumberFormat="1" applyBorder="1"/>
    <xf numFmtId="10" fontId="0" fillId="8" borderId="0" xfId="0" applyNumberFormat="1" applyFill="1"/>
    <xf numFmtId="3" fontId="10" fillId="4" borderId="0" xfId="0" applyNumberFormat="1" applyFont="1" applyFill="1" applyAlignment="1">
      <alignment horizontal="right" vertical="center" wrapText="1"/>
    </xf>
    <xf numFmtId="0" fontId="10" fillId="5" borderId="0" xfId="0" applyFont="1" applyFill="1" applyAlignment="1">
      <alignment horizontal="left" vertical="center"/>
    </xf>
    <xf numFmtId="3" fontId="10" fillId="5" borderId="0" xfId="0" applyNumberFormat="1" applyFont="1" applyFill="1" applyAlignment="1">
      <alignment horizontal="right" vertical="center" wrapText="1"/>
    </xf>
    <xf numFmtId="0" fontId="10" fillId="4" borderId="0" xfId="0" applyFont="1" applyFill="1" applyAlignment="1">
      <alignment horizontal="left" vertical="center"/>
    </xf>
    <xf numFmtId="0" fontId="10" fillId="4" borderId="0" xfId="0" applyFont="1" applyFill="1" applyAlignment="1">
      <alignment horizontal="right" vertical="center" wrapText="1"/>
    </xf>
    <xf numFmtId="3" fontId="0" fillId="0" borderId="7" xfId="0" applyNumberFormat="1" applyBorder="1"/>
    <xf numFmtId="3" fontId="0" fillId="0" borderId="8" xfId="0" applyNumberFormat="1" applyBorder="1"/>
    <xf numFmtId="3" fontId="0" fillId="0" borderId="10" xfId="0" applyNumberFormat="1" applyBorder="1"/>
    <xf numFmtId="3" fontId="1" fillId="0" borderId="11" xfId="0" applyNumberFormat="1" applyFont="1" applyBorder="1"/>
    <xf numFmtId="3" fontId="1" fillId="0" borderId="3" xfId="0" applyNumberFormat="1" applyFont="1" applyBorder="1"/>
    <xf numFmtId="3" fontId="0" fillId="0" borderId="14" xfId="0" applyNumberFormat="1" applyBorder="1"/>
    <xf numFmtId="3" fontId="1" fillId="0" borderId="16" xfId="0" applyNumberFormat="1" applyFont="1" applyBorder="1"/>
    <xf numFmtId="0" fontId="0" fillId="0" borderId="6" xfId="0" applyBorder="1"/>
    <xf numFmtId="0" fontId="0" fillId="0" borderId="17" xfId="0" applyBorder="1"/>
    <xf numFmtId="9" fontId="0" fillId="0" borderId="17" xfId="0" applyNumberFormat="1" applyBorder="1"/>
    <xf numFmtId="0" fontId="0" fillId="0" borderId="5" xfId="0" applyBorder="1"/>
    <xf numFmtId="10" fontId="0" fillId="0" borderId="5" xfId="0" applyNumberFormat="1" applyBorder="1"/>
    <xf numFmtId="10" fontId="0" fillId="0" borderId="0" xfId="0" applyNumberFormat="1"/>
    <xf numFmtId="0" fontId="0" fillId="0" borderId="19" xfId="0" applyBorder="1"/>
    <xf numFmtId="10" fontId="5" fillId="6" borderId="0" xfId="0" applyNumberFormat="1" applyFont="1" applyFill="1"/>
    <xf numFmtId="0" fontId="0" fillId="0" borderId="20" xfId="0" applyBorder="1"/>
    <xf numFmtId="0" fontId="0" fillId="0" borderId="18" xfId="0" applyBorder="1"/>
    <xf numFmtId="10" fontId="1" fillId="0" borderId="0" xfId="0" applyNumberFormat="1" applyFont="1"/>
    <xf numFmtId="0" fontId="0" fillId="0" borderId="21" xfId="0" applyBorder="1"/>
    <xf numFmtId="0" fontId="0" fillId="0" borderId="22" xfId="0" applyBorder="1"/>
    <xf numFmtId="0" fontId="1" fillId="0" borderId="4" xfId="0" applyFont="1" applyBorder="1"/>
    <xf numFmtId="0" fontId="2" fillId="11" borderId="0" xfId="0" applyFont="1" applyFill="1"/>
    <xf numFmtId="166" fontId="2" fillId="11" borderId="0" xfId="0" applyNumberFormat="1" applyFont="1" applyFill="1"/>
    <xf numFmtId="166" fontId="2" fillId="11" borderId="0" xfId="0" applyNumberFormat="1" applyFont="1" applyFill="1" applyAlignment="1">
      <alignment horizontal="right"/>
    </xf>
    <xf numFmtId="0" fontId="0" fillId="8" borderId="0" xfId="0" applyFont="1" applyFill="1"/>
    <xf numFmtId="0" fontId="0" fillId="0" borderId="0" xfId="0" applyAlignment="1">
      <alignment wrapText="1"/>
    </xf>
    <xf numFmtId="0" fontId="1" fillId="0" borderId="0" xfId="0" applyFont="1" applyAlignment="1">
      <alignment vertical="center"/>
    </xf>
    <xf numFmtId="0" fontId="1" fillId="0" borderId="0" xfId="0" applyFont="1" applyAlignment="1">
      <alignment horizontal="left" vertical="center" wrapText="1"/>
    </xf>
    <xf numFmtId="17" fontId="25" fillId="4" borderId="1" xfId="0" applyNumberFormat="1" applyFont="1" applyFill="1" applyBorder="1" applyAlignment="1">
      <alignment horizontal="right" vertical="center" wrapText="1"/>
    </xf>
    <xf numFmtId="0" fontId="26" fillId="5" borderId="2" xfId="0" applyFont="1" applyFill="1" applyBorder="1" applyAlignment="1">
      <alignment horizontal="left" vertical="center" indent="2"/>
    </xf>
    <xf numFmtId="3" fontId="26" fillId="5" borderId="2" xfId="0" applyNumberFormat="1" applyFont="1" applyFill="1" applyBorder="1" applyAlignment="1">
      <alignment horizontal="right" vertical="center" wrapText="1"/>
    </xf>
    <xf numFmtId="0" fontId="26" fillId="5" borderId="2" xfId="0" applyFont="1" applyFill="1" applyBorder="1" applyAlignment="1">
      <alignment horizontal="right" vertical="center" wrapText="1"/>
    </xf>
    <xf numFmtId="0" fontId="26" fillId="5" borderId="2" xfId="0" applyFont="1" applyFill="1" applyBorder="1" applyAlignment="1">
      <alignment horizontal="left" vertical="center"/>
    </xf>
    <xf numFmtId="0" fontId="26" fillId="4" borderId="2" xfId="0" applyFont="1" applyFill="1" applyBorder="1" applyAlignment="1">
      <alignment horizontal="left" vertical="center" indent="2"/>
    </xf>
    <xf numFmtId="0" fontId="26" fillId="4" borderId="2" xfId="0" applyFont="1" applyFill="1" applyBorder="1" applyAlignment="1">
      <alignment horizontal="right" vertical="center" wrapText="1"/>
    </xf>
    <xf numFmtId="3" fontId="26" fillId="4" borderId="2" xfId="0" applyNumberFormat="1" applyFont="1" applyFill="1" applyBorder="1" applyAlignment="1">
      <alignment horizontal="right" vertical="center" wrapText="1"/>
    </xf>
    <xf numFmtId="0" fontId="18" fillId="0" borderId="0" xfId="0" applyFont="1" applyAlignment="1">
      <alignment horizontal="left"/>
    </xf>
    <xf numFmtId="0" fontId="18" fillId="0" borderId="0" xfId="0" applyFont="1"/>
    <xf numFmtId="0" fontId="18" fillId="0" borderId="5" xfId="0" applyFont="1" applyBorder="1"/>
    <xf numFmtId="0" fontId="1" fillId="0" borderId="15" xfId="0" applyFont="1" applyBorder="1"/>
    <xf numFmtId="0" fontId="27" fillId="0" borderId="0" xfId="0" applyFont="1" applyAlignment="1">
      <alignment vertical="center" wrapText="1"/>
    </xf>
    <xf numFmtId="0" fontId="29" fillId="4" borderId="1" xfId="0" applyFont="1" applyFill="1" applyBorder="1" applyAlignment="1">
      <alignment horizontal="left" vertical="center" indent="2"/>
    </xf>
    <xf numFmtId="17" fontId="29" fillId="4" borderId="1" xfId="0" applyNumberFormat="1" applyFont="1" applyFill="1" applyBorder="1" applyAlignment="1">
      <alignment horizontal="right" vertical="center" wrapText="1"/>
    </xf>
    <xf numFmtId="0" fontId="30" fillId="5" borderId="0" xfId="0" applyFont="1" applyFill="1" applyAlignment="1">
      <alignment horizontal="left" vertical="center" indent="2"/>
    </xf>
    <xf numFmtId="0" fontId="30" fillId="5" borderId="0" xfId="0" applyFont="1" applyFill="1" applyAlignment="1">
      <alignment horizontal="right" vertical="center" wrapText="1"/>
    </xf>
    <xf numFmtId="0" fontId="30" fillId="4" borderId="0" xfId="0" applyFont="1" applyFill="1" applyAlignment="1">
      <alignment horizontal="left" vertical="center" indent="2"/>
    </xf>
    <xf numFmtId="3" fontId="30" fillId="4" borderId="0" xfId="0" applyNumberFormat="1" applyFont="1" applyFill="1" applyAlignment="1">
      <alignment horizontal="right" vertical="center" wrapText="1"/>
    </xf>
    <xf numFmtId="0" fontId="31" fillId="5" borderId="2" xfId="0" applyFont="1" applyFill="1" applyBorder="1" applyAlignment="1">
      <alignment horizontal="left" vertical="center" indent="2"/>
    </xf>
    <xf numFmtId="3" fontId="31" fillId="5" borderId="2" xfId="0" applyNumberFormat="1" applyFont="1" applyFill="1" applyBorder="1" applyAlignment="1">
      <alignment horizontal="right" vertical="center" wrapText="1"/>
    </xf>
    <xf numFmtId="0" fontId="30" fillId="5" borderId="0" xfId="0" applyFont="1" applyFill="1" applyAlignment="1">
      <alignment horizontal="left" vertical="center"/>
    </xf>
    <xf numFmtId="3" fontId="30" fillId="5" borderId="0" xfId="0" applyNumberFormat="1" applyFont="1" applyFill="1" applyAlignment="1">
      <alignment horizontal="right" vertical="center" wrapText="1"/>
    </xf>
    <xf numFmtId="0" fontId="31" fillId="4" borderId="2" xfId="0" applyFont="1" applyFill="1" applyBorder="1" applyAlignment="1">
      <alignment horizontal="left" vertical="center" indent="2"/>
    </xf>
    <xf numFmtId="3" fontId="31" fillId="4" borderId="2" xfId="0" applyNumberFormat="1" applyFont="1" applyFill="1" applyBorder="1" applyAlignment="1">
      <alignment horizontal="right" vertical="center" wrapText="1"/>
    </xf>
    <xf numFmtId="0" fontId="30" fillId="4" borderId="0" xfId="0" applyFont="1" applyFill="1" applyAlignment="1">
      <alignment horizontal="left" vertical="center"/>
    </xf>
    <xf numFmtId="0" fontId="30" fillId="4" borderId="0" xfId="0" applyFont="1" applyFill="1" applyAlignment="1">
      <alignment horizontal="right" vertical="center" wrapText="1"/>
    </xf>
    <xf numFmtId="0" fontId="31" fillId="4" borderId="2" xfId="0" applyFont="1" applyFill="1" applyBorder="1" applyAlignment="1">
      <alignment horizontal="left" vertical="center"/>
    </xf>
    <xf numFmtId="0" fontId="28" fillId="0" borderId="0" xfId="0" applyFont="1" applyAlignment="1">
      <alignment horizontal="center" vertical="center" wrapText="1"/>
    </xf>
    <xf numFmtId="0" fontId="5" fillId="11" borderId="0" xfId="0" applyFont="1" applyFill="1"/>
    <xf numFmtId="0" fontId="0" fillId="0" borderId="0" xfId="0" applyBorder="1"/>
    <xf numFmtId="0" fontId="5" fillId="0" borderId="0" xfId="0" applyFont="1"/>
    <xf numFmtId="9" fontId="0" fillId="0" borderId="23" xfId="0" applyNumberFormat="1" applyBorder="1"/>
    <xf numFmtId="0" fontId="0" fillId="0" borderId="24" xfId="0" applyBorder="1"/>
    <xf numFmtId="0" fontId="1" fillId="0" borderId="25" xfId="0" applyFont="1" applyBorder="1"/>
    <xf numFmtId="0" fontId="0" fillId="11" borderId="0" xfId="0" applyFill="1"/>
    <xf numFmtId="0" fontId="0" fillId="6" borderId="0" xfId="0" applyFill="1"/>
    <xf numFmtId="0" fontId="1" fillId="7" borderId="0" xfId="0" applyFont="1" applyFill="1"/>
    <xf numFmtId="0" fontId="0" fillId="7" borderId="0" xfId="0" applyFill="1"/>
    <xf numFmtId="10" fontId="1" fillId="7" borderId="0" xfId="0" applyNumberFormat="1" applyFont="1" applyFill="1"/>
    <xf numFmtId="10" fontId="21" fillId="7" borderId="0" xfId="0" applyNumberFormat="1" applyFont="1" applyFill="1"/>
    <xf numFmtId="0" fontId="32" fillId="0" borderId="0" xfId="0" applyFont="1" applyAlignment="1">
      <alignment horizontal="center"/>
    </xf>
    <xf numFmtId="0" fontId="0" fillId="0" borderId="26" xfId="0" applyBorder="1"/>
    <xf numFmtId="0" fontId="0" fillId="0" borderId="25" xfId="0" applyBorder="1"/>
    <xf numFmtId="43" fontId="1" fillId="0" borderId="0" xfId="0" applyNumberFormat="1" applyFont="1" applyBorder="1"/>
    <xf numFmtId="0" fontId="33" fillId="0" borderId="0" xfId="0" applyFont="1" applyBorder="1"/>
    <xf numFmtId="43" fontId="33" fillId="0" borderId="0" xfId="0" applyNumberFormat="1" applyFont="1" applyBorder="1"/>
    <xf numFmtId="0" fontId="33" fillId="0" borderId="0" xfId="0" applyFont="1"/>
    <xf numFmtId="0" fontId="33" fillId="0" borderId="0" xfId="0" applyFont="1" applyFill="1" applyBorder="1"/>
    <xf numFmtId="0" fontId="34" fillId="0" borderId="0" xfId="0" applyFont="1" applyBorder="1"/>
    <xf numFmtId="0" fontId="2" fillId="11" borderId="27" xfId="0" applyFont="1" applyFill="1" applyBorder="1"/>
    <xf numFmtId="0" fontId="5" fillId="11" borderId="28" xfId="0" applyFont="1" applyFill="1" applyBorder="1"/>
    <xf numFmtId="0" fontId="5" fillId="11" borderId="29" xfId="0" applyFont="1" applyFill="1" applyBorder="1"/>
    <xf numFmtId="0" fontId="1" fillId="0" borderId="30" xfId="0" applyFont="1" applyBorder="1"/>
    <xf numFmtId="0" fontId="0" fillId="0" borderId="31" xfId="0" applyBorder="1"/>
    <xf numFmtId="0" fontId="0" fillId="0" borderId="30" xfId="0" applyBorder="1"/>
    <xf numFmtId="0" fontId="0" fillId="0" borderId="30" xfId="0" applyFont="1" applyBorder="1"/>
    <xf numFmtId="10" fontId="0" fillId="0" borderId="31" xfId="0" applyNumberFormat="1" applyBorder="1"/>
    <xf numFmtId="0" fontId="1" fillId="0" borderId="32" xfId="0" applyFont="1" applyBorder="1"/>
    <xf numFmtId="0" fontId="1" fillId="0" borderId="33" xfId="0" applyFont="1" applyBorder="1"/>
    <xf numFmtId="0" fontId="2" fillId="11" borderId="27" xfId="0" applyFont="1" applyFill="1" applyBorder="1" applyAlignment="1"/>
    <xf numFmtId="0" fontId="2" fillId="11" borderId="28" xfId="0" applyFont="1" applyFill="1" applyBorder="1" applyAlignment="1"/>
    <xf numFmtId="0" fontId="2" fillId="11" borderId="29" xfId="0" applyFont="1" applyFill="1" applyBorder="1" applyAlignment="1"/>
    <xf numFmtId="9" fontId="0" fillId="0" borderId="34" xfId="0" applyNumberFormat="1" applyBorder="1"/>
    <xf numFmtId="0" fontId="0" fillId="0" borderId="36" xfId="0" applyBorder="1"/>
    <xf numFmtId="0" fontId="0" fillId="0" borderId="37" xfId="0" applyBorder="1"/>
    <xf numFmtId="0" fontId="2" fillId="11" borderId="28" xfId="0" applyFont="1" applyFill="1" applyBorder="1"/>
    <xf numFmtId="0" fontId="2" fillId="11" borderId="29" xfId="0" applyFont="1" applyFill="1" applyBorder="1"/>
    <xf numFmtId="0" fontId="1" fillId="0" borderId="38" xfId="0" applyFont="1" applyBorder="1"/>
    <xf numFmtId="0" fontId="0" fillId="0" borderId="39" xfId="0" applyBorder="1"/>
    <xf numFmtId="3" fontId="0" fillId="0" borderId="31" xfId="0" applyNumberFormat="1" applyBorder="1"/>
    <xf numFmtId="0" fontId="1" fillId="0" borderId="40" xfId="0" applyFont="1" applyBorder="1"/>
    <xf numFmtId="3" fontId="0" fillId="0" borderId="41" xfId="0" applyNumberFormat="1" applyBorder="1"/>
    <xf numFmtId="43" fontId="0" fillId="0" borderId="31" xfId="0" applyNumberFormat="1" applyBorder="1"/>
    <xf numFmtId="43" fontId="1" fillId="0" borderId="33" xfId="0" applyNumberFormat="1" applyFont="1" applyBorder="1"/>
    <xf numFmtId="0" fontId="1" fillId="0" borderId="43" xfId="0" applyFont="1" applyBorder="1"/>
    <xf numFmtId="0" fontId="1" fillId="0" borderId="44" xfId="0" applyFont="1" applyBorder="1"/>
    <xf numFmtId="0" fontId="1" fillId="0" borderId="46" xfId="0" applyFont="1" applyBorder="1"/>
    <xf numFmtId="172" fontId="1" fillId="0" borderId="47" xfId="0" applyNumberFormat="1" applyFont="1" applyBorder="1"/>
    <xf numFmtId="0" fontId="0" fillId="11" borderId="28" xfId="0" applyFill="1" applyBorder="1"/>
    <xf numFmtId="17" fontId="2" fillId="11" borderId="28" xfId="0" applyNumberFormat="1" applyFont="1" applyFill="1" applyBorder="1"/>
    <xf numFmtId="17" fontId="2" fillId="11" borderId="29" xfId="0" applyNumberFormat="1" applyFont="1" applyFill="1" applyBorder="1"/>
    <xf numFmtId="0" fontId="0" fillId="0" borderId="48" xfId="0" applyBorder="1"/>
    <xf numFmtId="0" fontId="0" fillId="0" borderId="49" xfId="0" applyBorder="1"/>
    <xf numFmtId="0" fontId="0" fillId="0" borderId="50" xfId="0" applyBorder="1"/>
    <xf numFmtId="0" fontId="0" fillId="0" borderId="51" xfId="0" applyBorder="1"/>
    <xf numFmtId="9" fontId="0" fillId="0" borderId="51" xfId="0" applyNumberFormat="1" applyBorder="1"/>
    <xf numFmtId="0" fontId="0" fillId="0" borderId="52" xfId="0" applyBorder="1"/>
    <xf numFmtId="10" fontId="0" fillId="0" borderId="53" xfId="0" applyNumberFormat="1" applyBorder="1"/>
    <xf numFmtId="0" fontId="1" fillId="0" borderId="54" xfId="0" applyFont="1" applyBorder="1"/>
    <xf numFmtId="0" fontId="1" fillId="0" borderId="55" xfId="0" applyFont="1" applyBorder="1"/>
    <xf numFmtId="0" fontId="5" fillId="6" borderId="57" xfId="0" applyFont="1" applyFill="1" applyBorder="1"/>
    <xf numFmtId="9" fontId="0" fillId="0" borderId="58" xfId="0" applyNumberFormat="1" applyBorder="1"/>
    <xf numFmtId="9" fontId="0" fillId="0" borderId="56" xfId="0" applyNumberFormat="1" applyBorder="1"/>
    <xf numFmtId="43" fontId="5" fillId="6" borderId="57" xfId="0" applyNumberFormat="1" applyFont="1" applyFill="1" applyBorder="1"/>
    <xf numFmtId="0" fontId="5" fillId="6" borderId="0" xfId="0" applyFont="1" applyFill="1"/>
    <xf numFmtId="0" fontId="5" fillId="11" borderId="27" xfId="0" applyFont="1" applyFill="1" applyBorder="1"/>
    <xf numFmtId="166" fontId="5" fillId="11" borderId="28" xfId="0" applyNumberFormat="1" applyFont="1" applyFill="1" applyBorder="1"/>
    <xf numFmtId="166" fontId="5" fillId="11" borderId="29" xfId="0" applyNumberFormat="1" applyFont="1" applyFill="1" applyBorder="1"/>
    <xf numFmtId="3" fontId="0" fillId="0" borderId="60" xfId="0" applyNumberFormat="1" applyBorder="1"/>
    <xf numFmtId="3" fontId="0" fillId="0" borderId="62" xfId="0" applyNumberFormat="1" applyBorder="1"/>
    <xf numFmtId="3" fontId="0" fillId="0" borderId="64" xfId="0" applyNumberFormat="1" applyBorder="1"/>
    <xf numFmtId="3" fontId="1" fillId="0" borderId="66" xfId="0" applyNumberFormat="1" applyFont="1" applyBorder="1"/>
    <xf numFmtId="3" fontId="1" fillId="0" borderId="69" xfId="0" applyNumberFormat="1" applyFont="1" applyBorder="1"/>
    <xf numFmtId="0" fontId="0" fillId="0" borderId="72" xfId="0" applyBorder="1"/>
    <xf numFmtId="0" fontId="0" fillId="0" borderId="73" xfId="0" applyBorder="1"/>
    <xf numFmtId="0" fontId="0" fillId="0" borderId="62" xfId="0" applyBorder="1"/>
    <xf numFmtId="3" fontId="0" fillId="0" borderId="76" xfId="0" applyNumberFormat="1" applyBorder="1"/>
    <xf numFmtId="3" fontId="1" fillId="0" borderId="77" xfId="0" applyNumberFormat="1" applyFont="1" applyBorder="1"/>
    <xf numFmtId="0" fontId="1" fillId="0" borderId="78" xfId="0" applyFont="1" applyBorder="1" applyAlignment="1"/>
    <xf numFmtId="0" fontId="1" fillId="0" borderId="79" xfId="0" applyFont="1" applyBorder="1" applyAlignment="1"/>
    <xf numFmtId="10" fontId="1" fillId="0" borderId="79" xfId="4" applyNumberFormat="1" applyFont="1" applyBorder="1"/>
    <xf numFmtId="10" fontId="1" fillId="0" borderId="80" xfId="4" applyNumberFormat="1" applyFont="1" applyBorder="1"/>
    <xf numFmtId="166" fontId="2" fillId="11" borderId="28" xfId="0" applyNumberFormat="1" applyFont="1" applyFill="1" applyBorder="1"/>
    <xf numFmtId="166" fontId="2" fillId="11" borderId="29" xfId="0" applyNumberFormat="1" applyFont="1" applyFill="1" applyBorder="1"/>
    <xf numFmtId="10" fontId="1" fillId="0" borderId="36" xfId="4" applyNumberFormat="1" applyFont="1" applyBorder="1"/>
    <xf numFmtId="10" fontId="1" fillId="0" borderId="37" xfId="4" applyNumberFormat="1" applyFont="1" applyBorder="1"/>
    <xf numFmtId="10" fontId="0" fillId="0" borderId="60" xfId="0" applyNumberFormat="1" applyBorder="1"/>
    <xf numFmtId="10" fontId="0" fillId="0" borderId="64" xfId="0" applyNumberFormat="1" applyBorder="1"/>
    <xf numFmtId="10" fontId="1" fillId="0" borderId="79" xfId="0" applyNumberFormat="1" applyFont="1" applyBorder="1"/>
    <xf numFmtId="10" fontId="1" fillId="0" borderId="80" xfId="0" applyNumberFormat="1" applyFont="1" applyBorder="1"/>
    <xf numFmtId="0" fontId="0" fillId="0" borderId="82" xfId="0" applyBorder="1"/>
    <xf numFmtId="0" fontId="0" fillId="0" borderId="83" xfId="0" applyBorder="1"/>
    <xf numFmtId="9" fontId="19" fillId="0" borderId="85" xfId="0" applyNumberFormat="1" applyFont="1" applyBorder="1"/>
    <xf numFmtId="9" fontId="19" fillId="0" borderId="86" xfId="0" applyNumberFormat="1" applyFont="1" applyBorder="1"/>
    <xf numFmtId="0" fontId="0" fillId="0" borderId="88" xfId="0" applyBorder="1"/>
    <xf numFmtId="0" fontId="0" fillId="0" borderId="89" xfId="0" applyBorder="1"/>
    <xf numFmtId="170" fontId="0" fillId="0" borderId="82" xfId="0" applyNumberFormat="1" applyBorder="1"/>
    <xf numFmtId="170" fontId="0" fillId="0" borderId="83" xfId="0" applyNumberFormat="1" applyBorder="1"/>
    <xf numFmtId="3" fontId="0" fillId="0" borderId="88" xfId="0" applyNumberFormat="1" applyBorder="1"/>
    <xf numFmtId="3" fontId="0" fillId="0" borderId="89" xfId="0" applyNumberFormat="1" applyBorder="1"/>
    <xf numFmtId="3" fontId="0" fillId="0" borderId="6" xfId="0" applyNumberFormat="1" applyBorder="1"/>
    <xf numFmtId="3" fontId="0" fillId="0" borderId="49" xfId="0" applyNumberFormat="1" applyBorder="1"/>
    <xf numFmtId="3" fontId="0" fillId="0" borderId="17" xfId="0" applyNumberFormat="1" applyBorder="1"/>
    <xf numFmtId="3" fontId="0" fillId="0" borderId="51" xfId="0" applyNumberFormat="1" applyBorder="1"/>
    <xf numFmtId="3" fontId="0" fillId="0" borderId="5" xfId="0" applyNumberFormat="1" applyBorder="1"/>
    <xf numFmtId="3" fontId="0" fillId="0" borderId="53" xfId="0" applyNumberFormat="1" applyBorder="1"/>
    <xf numFmtId="3" fontId="1" fillId="0" borderId="6" xfId="0" applyNumberFormat="1" applyFont="1" applyBorder="1"/>
    <xf numFmtId="3" fontId="1" fillId="0" borderId="49" xfId="0" applyNumberFormat="1" applyFont="1" applyBorder="1"/>
    <xf numFmtId="0" fontId="1" fillId="0" borderId="5" xfId="0" applyFont="1" applyBorder="1"/>
    <xf numFmtId="0" fontId="1" fillId="0" borderId="53" xfId="0" applyFont="1" applyBorder="1"/>
    <xf numFmtId="0" fontId="16" fillId="0" borderId="27" xfId="0" applyFont="1" applyBorder="1"/>
    <xf numFmtId="0" fontId="18" fillId="0" borderId="28" xfId="0" applyFont="1" applyBorder="1"/>
    <xf numFmtId="0" fontId="18" fillId="0" borderId="29" xfId="0" applyFont="1" applyBorder="1"/>
    <xf numFmtId="0" fontId="16" fillId="0" borderId="69" xfId="0" applyFont="1" applyBorder="1" applyAlignment="1">
      <alignment horizontal="left"/>
    </xf>
    <xf numFmtId="0" fontId="16" fillId="0" borderId="68" xfId="0" applyFont="1" applyBorder="1" applyAlignment="1">
      <alignment horizontal="left"/>
    </xf>
    <xf numFmtId="0" fontId="0" fillId="6" borderId="30" xfId="0" applyFont="1" applyFill="1" applyBorder="1"/>
    <xf numFmtId="0" fontId="0" fillId="6" borderId="0" xfId="0" applyFont="1" applyFill="1" applyBorder="1"/>
    <xf numFmtId="0" fontId="0" fillId="6" borderId="31" xfId="0" applyFont="1" applyFill="1" applyBorder="1"/>
    <xf numFmtId="0" fontId="19" fillId="6" borderId="30" xfId="0" applyFont="1" applyFill="1" applyBorder="1"/>
    <xf numFmtId="0" fontId="19" fillId="6" borderId="0" xfId="0" applyFont="1" applyFill="1" applyBorder="1"/>
    <xf numFmtId="9" fontId="19" fillId="6" borderId="0" xfId="0" applyNumberFormat="1" applyFont="1" applyFill="1" applyBorder="1"/>
    <xf numFmtId="10" fontId="0" fillId="7" borderId="0" xfId="4" applyNumberFormat="1" applyFont="1" applyFill="1" applyBorder="1"/>
    <xf numFmtId="2" fontId="0" fillId="6" borderId="31" xfId="0" applyNumberFormat="1" applyFont="1" applyFill="1" applyBorder="1"/>
    <xf numFmtId="0" fontId="19" fillId="6" borderId="35" xfId="0" applyFont="1" applyFill="1" applyBorder="1"/>
    <xf numFmtId="0" fontId="19" fillId="6" borderId="36" xfId="0" applyFont="1" applyFill="1" applyBorder="1"/>
    <xf numFmtId="9" fontId="19" fillId="6" borderId="36" xfId="0" applyNumberFormat="1" applyFont="1" applyFill="1" applyBorder="1"/>
    <xf numFmtId="10" fontId="0" fillId="7" borderId="36" xfId="4" applyNumberFormat="1" applyFont="1" applyFill="1" applyBorder="1"/>
    <xf numFmtId="2" fontId="0" fillId="6" borderId="37" xfId="0" applyNumberFormat="1" applyFont="1" applyFill="1" applyBorder="1"/>
    <xf numFmtId="0" fontId="16" fillId="0" borderId="27" xfId="0" applyFont="1" applyBorder="1" applyAlignment="1">
      <alignment horizontal="left"/>
    </xf>
    <xf numFmtId="171" fontId="18" fillId="0" borderId="28" xfId="0" applyNumberFormat="1" applyFont="1" applyBorder="1" applyAlignment="1">
      <alignment horizontal="right"/>
    </xf>
    <xf numFmtId="170" fontId="18" fillId="0" borderId="28" xfId="0" applyNumberFormat="1" applyFont="1" applyBorder="1" applyAlignment="1">
      <alignment horizontal="right"/>
    </xf>
    <xf numFmtId="170" fontId="18" fillId="0" borderId="29" xfId="0" applyNumberFormat="1" applyFont="1" applyBorder="1" applyAlignment="1">
      <alignment horizontal="right"/>
    </xf>
    <xf numFmtId="0" fontId="16" fillId="0" borderId="35" xfId="0" applyFont="1" applyBorder="1" applyAlignment="1">
      <alignment horizontal="left"/>
    </xf>
    <xf numFmtId="171" fontId="18" fillId="0" borderId="36" xfId="0" applyNumberFormat="1" applyFont="1" applyBorder="1" applyAlignment="1">
      <alignment horizontal="right"/>
    </xf>
    <xf numFmtId="170" fontId="18" fillId="0" borderId="36" xfId="0" applyNumberFormat="1" applyFont="1" applyBorder="1" applyAlignment="1">
      <alignment horizontal="right"/>
    </xf>
    <xf numFmtId="170" fontId="18" fillId="0" borderId="37" xfId="0" applyNumberFormat="1" applyFont="1" applyBorder="1" applyAlignment="1">
      <alignment horizontal="right"/>
    </xf>
    <xf numFmtId="0" fontId="16" fillId="0" borderId="90" xfId="0" applyFont="1" applyBorder="1"/>
    <xf numFmtId="0" fontId="18" fillId="0" borderId="91" xfId="0" applyFont="1" applyBorder="1"/>
    <xf numFmtId="0" fontId="18" fillId="0" borderId="91" xfId="0" applyFont="1" applyBorder="1" applyAlignment="1">
      <alignment horizontal="right"/>
    </xf>
    <xf numFmtId="0" fontId="18" fillId="0" borderId="92" xfId="0" applyFont="1" applyBorder="1" applyAlignment="1">
      <alignment horizontal="right"/>
    </xf>
    <xf numFmtId="0" fontId="18" fillId="0" borderId="30" xfId="0" applyFont="1" applyBorder="1"/>
    <xf numFmtId="0" fontId="18" fillId="0" borderId="0" xfId="0" applyFont="1" applyBorder="1"/>
    <xf numFmtId="0" fontId="18" fillId="0" borderId="0" xfId="0" applyFont="1" applyBorder="1" applyAlignment="1">
      <alignment horizontal="right"/>
    </xf>
    <xf numFmtId="0" fontId="18" fillId="0" borderId="31" xfId="0" applyFont="1" applyBorder="1" applyAlignment="1">
      <alignment horizontal="right"/>
    </xf>
    <xf numFmtId="10" fontId="18" fillId="0" borderId="31" xfId="4" applyNumberFormat="1" applyFont="1" applyBorder="1" applyAlignment="1">
      <alignment horizontal="right"/>
    </xf>
    <xf numFmtId="171" fontId="18" fillId="0" borderId="31" xfId="0" applyNumberFormat="1" applyFont="1" applyBorder="1" applyAlignment="1">
      <alignment horizontal="right"/>
    </xf>
    <xf numFmtId="0" fontId="16" fillId="0" borderId="90" xfId="0" applyFont="1" applyBorder="1" applyAlignment="1">
      <alignment horizontal="left"/>
    </xf>
    <xf numFmtId="0" fontId="18" fillId="0" borderId="30" xfId="0" applyFont="1" applyBorder="1" applyAlignment="1">
      <alignment horizontal="right"/>
    </xf>
    <xf numFmtId="10" fontId="20" fillId="0" borderId="31" xfId="0" applyNumberFormat="1" applyFont="1" applyBorder="1" applyAlignment="1">
      <alignment horizontal="right"/>
    </xf>
    <xf numFmtId="10" fontId="18" fillId="0" borderId="31" xfId="0" applyNumberFormat="1" applyFont="1" applyBorder="1" applyAlignment="1">
      <alignment horizontal="right"/>
    </xf>
    <xf numFmtId="2" fontId="18" fillId="7" borderId="31" xfId="0" applyNumberFormat="1" applyFont="1" applyFill="1" applyBorder="1" applyAlignment="1">
      <alignment horizontal="right"/>
    </xf>
    <xf numFmtId="0" fontId="16" fillId="0" borderId="0" xfId="0" applyFont="1" applyBorder="1" applyAlignment="1">
      <alignment horizontal="right"/>
    </xf>
    <xf numFmtId="0" fontId="16" fillId="0" borderId="31" xfId="0" applyFont="1" applyBorder="1" applyAlignment="1">
      <alignment horizontal="right"/>
    </xf>
    <xf numFmtId="0" fontId="20" fillId="0" borderId="0" xfId="0" applyFont="1" applyBorder="1"/>
    <xf numFmtId="10" fontId="18" fillId="0" borderId="0" xfId="4" applyNumberFormat="1" applyFont="1" applyBorder="1" applyAlignment="1">
      <alignment horizontal="right"/>
    </xf>
    <xf numFmtId="171" fontId="20" fillId="0" borderId="31" xfId="0" applyNumberFormat="1" applyFont="1" applyBorder="1" applyAlignment="1">
      <alignment horizontal="right"/>
    </xf>
    <xf numFmtId="0" fontId="18" fillId="0" borderId="52" xfId="0" applyFont="1" applyBorder="1"/>
    <xf numFmtId="9" fontId="18" fillId="0" borderId="53" xfId="4" applyFont="1" applyBorder="1" applyAlignment="1">
      <alignment horizontal="right"/>
    </xf>
    <xf numFmtId="0" fontId="18" fillId="0" borderId="91" xfId="0" applyFont="1" applyBorder="1" applyAlignment="1">
      <alignment horizontal="left"/>
    </xf>
    <xf numFmtId="0" fontId="18" fillId="0" borderId="30" xfId="0" applyFont="1" applyBorder="1" applyAlignment="1">
      <alignment horizontal="left"/>
    </xf>
    <xf numFmtId="0" fontId="18" fillId="0" borderId="0" xfId="0" applyFont="1" applyBorder="1" applyAlignment="1">
      <alignment horizontal="left"/>
    </xf>
    <xf numFmtId="170" fontId="18" fillId="0" borderId="31" xfId="0" applyNumberFormat="1" applyFont="1" applyBorder="1" applyAlignment="1">
      <alignment horizontal="right"/>
    </xf>
    <xf numFmtId="0" fontId="16" fillId="0" borderId="91" xfId="0" applyFont="1" applyBorder="1" applyAlignment="1">
      <alignment horizontal="left"/>
    </xf>
    <xf numFmtId="0" fontId="16" fillId="0" borderId="92" xfId="0" applyFont="1" applyBorder="1" applyAlignment="1">
      <alignment horizontal="right"/>
    </xf>
    <xf numFmtId="0" fontId="16" fillId="9" borderId="35" xfId="0" applyFont="1" applyFill="1" applyBorder="1" applyAlignment="1">
      <alignment horizontal="left"/>
    </xf>
    <xf numFmtId="0" fontId="16" fillId="9" borderId="36" xfId="0" applyFont="1" applyFill="1" applyBorder="1" applyAlignment="1">
      <alignment horizontal="left"/>
    </xf>
    <xf numFmtId="10" fontId="16" fillId="9" borderId="37" xfId="4" applyNumberFormat="1" applyFont="1" applyFill="1" applyBorder="1" applyAlignment="1">
      <alignment horizontal="right"/>
    </xf>
    <xf numFmtId="2" fontId="37" fillId="0" borderId="37" xfId="0" applyNumberFormat="1" applyFont="1" applyBorder="1" applyAlignment="1">
      <alignment horizontal="right"/>
    </xf>
    <xf numFmtId="10" fontId="16" fillId="7" borderId="47" xfId="4" applyNumberFormat="1" applyFont="1" applyFill="1" applyBorder="1" applyAlignment="1">
      <alignment horizontal="right"/>
    </xf>
    <xf numFmtId="0" fontId="16" fillId="0" borderId="35" xfId="0" applyFont="1" applyBorder="1"/>
    <xf numFmtId="0" fontId="16" fillId="0" borderId="36" xfId="0" applyFont="1" applyBorder="1"/>
    <xf numFmtId="10" fontId="16" fillId="7" borderId="36" xfId="4" applyNumberFormat="1" applyFont="1" applyFill="1" applyBorder="1" applyAlignment="1">
      <alignment horizontal="right"/>
    </xf>
    <xf numFmtId="10" fontId="16" fillId="7" borderId="37" xfId="4" applyNumberFormat="1" applyFont="1" applyFill="1" applyBorder="1" applyAlignment="1">
      <alignment horizontal="right"/>
    </xf>
    <xf numFmtId="0" fontId="0" fillId="11" borderId="0" xfId="0" applyFont="1" applyFill="1"/>
    <xf numFmtId="0" fontId="19" fillId="0" borderId="0" xfId="0" applyFont="1" applyBorder="1"/>
    <xf numFmtId="171" fontId="19" fillId="0" borderId="0" xfId="0" applyNumberFormat="1" applyFont="1" applyBorder="1"/>
    <xf numFmtId="0" fontId="19" fillId="0" borderId="36" xfId="0" applyFont="1" applyBorder="1"/>
    <xf numFmtId="171" fontId="19" fillId="0" borderId="36" xfId="0" applyNumberFormat="1" applyFont="1" applyBorder="1"/>
    <xf numFmtId="0" fontId="16" fillId="0" borderId="0" xfId="0" applyFont="1" applyAlignment="1">
      <alignment wrapText="1"/>
    </xf>
    <xf numFmtId="0" fontId="2" fillId="6" borderId="0" xfId="0" applyFont="1" applyFill="1"/>
    <xf numFmtId="166" fontId="2" fillId="6" borderId="0" xfId="0" applyNumberFormat="1" applyFont="1" applyFill="1"/>
    <xf numFmtId="166" fontId="2" fillId="6" borderId="0" xfId="0" applyNumberFormat="1" applyFont="1" applyFill="1" applyAlignment="1">
      <alignment horizontal="right"/>
    </xf>
    <xf numFmtId="168" fontId="0" fillId="0" borderId="0" xfId="0" applyNumberFormat="1" applyFont="1" applyBorder="1"/>
    <xf numFmtId="169" fontId="7" fillId="0" borderId="0" xfId="0" applyNumberFormat="1" applyFont="1" applyBorder="1"/>
    <xf numFmtId="169" fontId="7" fillId="0" borderId="0" xfId="4" applyNumberFormat="1" applyFont="1" applyBorder="1"/>
    <xf numFmtId="167" fontId="0" fillId="0" borderId="0" xfId="0" applyNumberFormat="1" applyFont="1" applyBorder="1"/>
    <xf numFmtId="170" fontId="0" fillId="0" borderId="0" xfId="0" applyNumberFormat="1" applyFont="1" applyBorder="1"/>
    <xf numFmtId="169" fontId="7" fillId="0" borderId="0" xfId="4" applyNumberFormat="1" applyFont="1" applyBorder="1" applyAlignment="1">
      <alignment horizontal="right"/>
    </xf>
    <xf numFmtId="168" fontId="0" fillId="0" borderId="31" xfId="0" applyNumberFormat="1" applyFont="1" applyBorder="1"/>
    <xf numFmtId="169" fontId="7" fillId="0" borderId="30" xfId="0" applyNumberFormat="1" applyFont="1" applyBorder="1"/>
    <xf numFmtId="169" fontId="7" fillId="0" borderId="31" xfId="0" applyNumberFormat="1" applyFont="1" applyBorder="1"/>
    <xf numFmtId="0" fontId="0" fillId="0" borderId="31" xfId="0" applyFont="1" applyBorder="1"/>
    <xf numFmtId="169" fontId="7" fillId="0" borderId="31" xfId="4" applyNumberFormat="1" applyFont="1" applyBorder="1"/>
    <xf numFmtId="167" fontId="0" fillId="0" borderId="31" xfId="0" applyNumberFormat="1" applyFont="1" applyBorder="1"/>
    <xf numFmtId="170" fontId="0" fillId="0" borderId="31" xfId="0" applyNumberFormat="1" applyFont="1" applyBorder="1"/>
    <xf numFmtId="169" fontId="7" fillId="0" borderId="31" xfId="4" applyNumberFormat="1" applyFont="1" applyBorder="1" applyAlignment="1">
      <alignment horizontal="right"/>
    </xf>
    <xf numFmtId="0" fontId="7" fillId="0" borderId="30" xfId="0" applyFont="1" applyBorder="1"/>
    <xf numFmtId="0" fontId="0" fillId="0" borderId="35" xfId="0" applyFont="1" applyBorder="1"/>
    <xf numFmtId="10" fontId="0" fillId="0" borderId="37" xfId="4" applyNumberFormat="1" applyFont="1" applyBorder="1"/>
    <xf numFmtId="43" fontId="0" fillId="0" borderId="30" xfId="1" applyFont="1" applyBorder="1"/>
    <xf numFmtId="43" fontId="1" fillId="0" borderId="30" xfId="1" applyFont="1" applyBorder="1"/>
    <xf numFmtId="168" fontId="1" fillId="0" borderId="0" xfId="0" applyNumberFormat="1" applyFont="1" applyBorder="1"/>
    <xf numFmtId="168" fontId="1" fillId="0" borderId="31" xfId="0" applyNumberFormat="1" applyFont="1" applyBorder="1"/>
    <xf numFmtId="0" fontId="8" fillId="0" borderId="35" xfId="0" applyFont="1" applyBorder="1"/>
    <xf numFmtId="0" fontId="8" fillId="0" borderId="36" xfId="0" applyFont="1" applyBorder="1"/>
    <xf numFmtId="0" fontId="8" fillId="0" borderId="37" xfId="0" applyFont="1" applyBorder="1"/>
    <xf numFmtId="0" fontId="10" fillId="5" borderId="30" xfId="0" applyFont="1" applyFill="1" applyBorder="1" applyAlignment="1">
      <alignment horizontal="left" vertical="center"/>
    </xf>
    <xf numFmtId="0" fontId="14" fillId="5" borderId="30" xfId="0" applyFont="1" applyFill="1" applyBorder="1" applyAlignment="1">
      <alignment horizontal="left" vertical="center"/>
    </xf>
    <xf numFmtId="0" fontId="15" fillId="5" borderId="30" xfId="0" applyFont="1" applyFill="1" applyBorder="1" applyAlignment="1">
      <alignment horizontal="left" vertical="center"/>
    </xf>
    <xf numFmtId="0" fontId="10" fillId="4" borderId="30" xfId="0" applyFont="1" applyFill="1" applyBorder="1" applyAlignment="1">
      <alignment horizontal="left" vertical="center"/>
    </xf>
    <xf numFmtId="0" fontId="12" fillId="4" borderId="30" xfId="0" applyFont="1" applyFill="1" applyBorder="1" applyAlignment="1">
      <alignment horizontal="left" vertical="center"/>
    </xf>
    <xf numFmtId="0" fontId="13" fillId="5" borderId="93" xfId="0" applyFont="1" applyFill="1" applyBorder="1" applyAlignment="1">
      <alignment horizontal="left" vertical="center"/>
    </xf>
    <xf numFmtId="168" fontId="1" fillId="0" borderId="94" xfId="0" applyNumberFormat="1" applyFont="1" applyBorder="1"/>
    <xf numFmtId="168" fontId="1" fillId="0" borderId="95" xfId="0" applyNumberFormat="1" applyFont="1" applyBorder="1"/>
    <xf numFmtId="0" fontId="1" fillId="0" borderId="96" xfId="0" applyFont="1" applyBorder="1"/>
    <xf numFmtId="168" fontId="1" fillId="0" borderId="97" xfId="0" applyNumberFormat="1" applyFont="1" applyBorder="1"/>
    <xf numFmtId="168" fontId="1" fillId="0" borderId="98" xfId="0" applyNumberFormat="1" applyFont="1" applyBorder="1"/>
    <xf numFmtId="43" fontId="1" fillId="0" borderId="96" xfId="1" applyFont="1" applyFill="1" applyBorder="1"/>
    <xf numFmtId="43" fontId="1" fillId="0" borderId="96" xfId="1" applyFont="1" applyBorder="1"/>
    <xf numFmtId="0" fontId="39" fillId="4" borderId="1" xfId="0" applyFont="1" applyFill="1" applyBorder="1" applyAlignment="1">
      <alignment horizontal="left" vertical="center" indent="2"/>
    </xf>
    <xf numFmtId="0" fontId="39" fillId="4" borderId="1" xfId="0" applyFont="1" applyFill="1" applyBorder="1" applyAlignment="1">
      <alignment horizontal="left" vertical="center"/>
    </xf>
    <xf numFmtId="0" fontId="39" fillId="4" borderId="1" xfId="0" applyFont="1" applyFill="1" applyBorder="1" applyAlignment="1">
      <alignment horizontal="right" vertical="center" wrapText="1"/>
    </xf>
    <xf numFmtId="0" fontId="41" fillId="5" borderId="0" xfId="0" applyFont="1" applyFill="1" applyAlignment="1">
      <alignment horizontal="left" vertical="center" indent="2"/>
    </xf>
    <xf numFmtId="0" fontId="4" fillId="5" borderId="0" xfId="2" applyFill="1" applyAlignment="1" applyProtection="1">
      <alignment horizontal="left" vertical="center"/>
    </xf>
    <xf numFmtId="0" fontId="41" fillId="5" borderId="0" xfId="0" applyFont="1" applyFill="1" applyAlignment="1">
      <alignment horizontal="right" vertical="center" wrapText="1"/>
    </xf>
    <xf numFmtId="0" fontId="10" fillId="4" borderId="0" xfId="0" applyFont="1" applyFill="1" applyAlignment="1">
      <alignment horizontal="left" vertical="center" indent="2"/>
    </xf>
    <xf numFmtId="0" fontId="4" fillId="4" borderId="0" xfId="2" applyFill="1" applyAlignment="1" applyProtection="1">
      <alignment horizontal="left" vertical="center"/>
    </xf>
    <xf numFmtId="0" fontId="10" fillId="5" borderId="0" xfId="0" applyFont="1" applyFill="1" applyAlignment="1">
      <alignment horizontal="left" vertical="center" indent="2"/>
    </xf>
    <xf numFmtId="0" fontId="39" fillId="4" borderId="0" xfId="0" applyFont="1" applyFill="1" applyBorder="1" applyAlignment="1">
      <alignment horizontal="right" vertical="center" wrapText="1"/>
    </xf>
    <xf numFmtId="0" fontId="42" fillId="0" borderId="0" xfId="0" applyFont="1"/>
    <xf numFmtId="0" fontId="42" fillId="11" borderId="0" xfId="0" applyFont="1" applyFill="1"/>
    <xf numFmtId="0" fontId="42" fillId="0" borderId="0" xfId="0" applyFont="1"/>
    <xf numFmtId="0" fontId="44" fillId="0" borderId="0" xfId="0" applyFont="1"/>
    <xf numFmtId="0" fontId="44" fillId="11" borderId="0" xfId="0" applyFont="1" applyFill="1"/>
    <xf numFmtId="0" fontId="45" fillId="11" borderId="27" xfId="0" applyFont="1" applyFill="1" applyBorder="1"/>
    <xf numFmtId="0" fontId="45" fillId="11" borderId="28" xfId="0" applyFont="1" applyFill="1" applyBorder="1"/>
    <xf numFmtId="0" fontId="45" fillId="11" borderId="30" xfId="0" applyFont="1" applyFill="1" applyBorder="1" applyAlignment="1">
      <alignment horizontal="right"/>
    </xf>
    <xf numFmtId="0" fontId="45" fillId="11" borderId="0" xfId="0" applyFont="1" applyFill="1" applyBorder="1" applyAlignment="1">
      <alignment horizontal="right"/>
    </xf>
    <xf numFmtId="0" fontId="45" fillId="11" borderId="31" xfId="0" applyFont="1" applyFill="1" applyBorder="1" applyAlignment="1">
      <alignment horizontal="right"/>
    </xf>
    <xf numFmtId="0" fontId="45" fillId="11" borderId="30" xfId="0" applyFont="1" applyFill="1" applyBorder="1" applyAlignment="1">
      <alignment horizontal="left"/>
    </xf>
    <xf numFmtId="0" fontId="42" fillId="0" borderId="30" xfId="0" applyFont="1" applyBorder="1"/>
    <xf numFmtId="0" fontId="42" fillId="0" borderId="0" xfId="0" applyFont="1" applyBorder="1"/>
    <xf numFmtId="0" fontId="42" fillId="0" borderId="31" xfId="0" applyFont="1" applyBorder="1"/>
    <xf numFmtId="0" fontId="46" fillId="0" borderId="48" xfId="0" applyFont="1" applyBorder="1"/>
    <xf numFmtId="0" fontId="46" fillId="0" borderId="6" xfId="0" applyFont="1" applyBorder="1"/>
    <xf numFmtId="173" fontId="46" fillId="0" borderId="6" xfId="0" applyNumberFormat="1" applyFont="1" applyBorder="1"/>
    <xf numFmtId="173" fontId="46" fillId="0" borderId="49" xfId="0" applyNumberFormat="1" applyFont="1" applyBorder="1"/>
    <xf numFmtId="0" fontId="46" fillId="0" borderId="50" xfId="0" applyFont="1" applyBorder="1"/>
    <xf numFmtId="0" fontId="46" fillId="0" borderId="17" xfId="0" applyFont="1" applyBorder="1"/>
    <xf numFmtId="173" fontId="46" fillId="0" borderId="17" xfId="0" applyNumberFormat="1" applyFont="1" applyBorder="1"/>
    <xf numFmtId="173" fontId="46" fillId="0" borderId="51" xfId="0" applyNumberFormat="1" applyFont="1" applyBorder="1"/>
    <xf numFmtId="0" fontId="46" fillId="6" borderId="50" xfId="0" applyFont="1" applyFill="1" applyBorder="1"/>
    <xf numFmtId="0" fontId="46" fillId="6" borderId="17" xfId="0" applyFont="1" applyFill="1" applyBorder="1"/>
    <xf numFmtId="0" fontId="46" fillId="0" borderId="50" xfId="0" applyFont="1" applyFill="1" applyBorder="1"/>
    <xf numFmtId="0" fontId="46" fillId="0" borderId="52" xfId="0" applyFont="1" applyFill="1" applyBorder="1"/>
    <xf numFmtId="0" fontId="46" fillId="0" borderId="5" xfId="0" applyFont="1" applyBorder="1"/>
    <xf numFmtId="173" fontId="46" fillId="0" borderId="5" xfId="0" applyNumberFormat="1" applyFont="1" applyBorder="1"/>
    <xf numFmtId="173" fontId="46" fillId="0" borderId="53" xfId="0" applyNumberFormat="1" applyFont="1" applyBorder="1"/>
    <xf numFmtId="173" fontId="42" fillId="0" borderId="0" xfId="0" applyNumberFormat="1" applyFont="1" applyBorder="1"/>
    <xf numFmtId="173" fontId="42" fillId="0" borderId="31" xfId="0" applyNumberFormat="1" applyFont="1" applyBorder="1"/>
    <xf numFmtId="0" fontId="42" fillId="8" borderId="30" xfId="0" applyFont="1" applyFill="1" applyBorder="1"/>
    <xf numFmtId="0" fontId="42" fillId="8" borderId="0" xfId="0" applyFont="1" applyFill="1" applyBorder="1"/>
    <xf numFmtId="173" fontId="42" fillId="8" borderId="0" xfId="0" applyNumberFormat="1" applyFont="1" applyFill="1" applyBorder="1"/>
    <xf numFmtId="173" fontId="42" fillId="8" borderId="31" xfId="0" applyNumberFormat="1" applyFont="1" applyFill="1" applyBorder="1"/>
    <xf numFmtId="0" fontId="42" fillId="8" borderId="35" xfId="0" applyFont="1" applyFill="1" applyBorder="1"/>
    <xf numFmtId="0" fontId="42" fillId="8" borderId="36" xfId="0" applyFont="1" applyFill="1" applyBorder="1"/>
    <xf numFmtId="173" fontId="42" fillId="8" borderId="36" xfId="0" applyNumberFormat="1" applyFont="1" applyFill="1" applyBorder="1"/>
    <xf numFmtId="173" fontId="42" fillId="8" borderId="37" xfId="0" applyNumberFormat="1" applyFont="1" applyFill="1" applyBorder="1"/>
    <xf numFmtId="0" fontId="45" fillId="11" borderId="29" xfId="0" applyFont="1" applyFill="1" applyBorder="1"/>
    <xf numFmtId="0" fontId="42" fillId="0" borderId="6" xfId="0" applyFont="1" applyBorder="1"/>
    <xf numFmtId="2" fontId="42" fillId="0" borderId="6" xfId="0" applyNumberFormat="1" applyFont="1" applyBorder="1"/>
    <xf numFmtId="2" fontId="42" fillId="0" borderId="49" xfId="0" applyNumberFormat="1" applyFont="1" applyBorder="1"/>
    <xf numFmtId="0" fontId="42" fillId="0" borderId="17" xfId="0" applyFont="1" applyBorder="1"/>
    <xf numFmtId="2" fontId="42" fillId="0" borderId="17" xfId="0" applyNumberFormat="1" applyFont="1" applyBorder="1"/>
    <xf numFmtId="2" fontId="42" fillId="0" borderId="51" xfId="0" applyNumberFormat="1" applyFont="1" applyBorder="1"/>
    <xf numFmtId="0" fontId="42" fillId="0" borderId="5" xfId="0" applyFont="1" applyBorder="1"/>
    <xf numFmtId="2" fontId="42" fillId="0" borderId="5" xfId="0" applyNumberFormat="1" applyFont="1" applyBorder="1"/>
    <xf numFmtId="2" fontId="42" fillId="0" borderId="53" xfId="0" applyNumberFormat="1" applyFont="1" applyBorder="1"/>
    <xf numFmtId="0" fontId="46" fillId="9" borderId="102" xfId="0" applyFont="1" applyFill="1" applyBorder="1"/>
    <xf numFmtId="2" fontId="46" fillId="9" borderId="102" xfId="0" applyNumberFormat="1" applyFont="1" applyFill="1" applyBorder="1"/>
    <xf numFmtId="2" fontId="46" fillId="9" borderId="103" xfId="0" applyNumberFormat="1" applyFont="1" applyFill="1" applyBorder="1"/>
    <xf numFmtId="0" fontId="42" fillId="0" borderId="36" xfId="0" applyFont="1" applyBorder="1"/>
    <xf numFmtId="0" fontId="42" fillId="0" borderId="37" xfId="0" applyFont="1" applyBorder="1"/>
    <xf numFmtId="0" fontId="48" fillId="0" borderId="0" xfId="0" applyFont="1" applyAlignment="1">
      <alignment horizontal="center"/>
    </xf>
    <xf numFmtId="0" fontId="49" fillId="0" borderId="6" xfId="0" applyFont="1" applyBorder="1"/>
    <xf numFmtId="0" fontId="49" fillId="0" borderId="17" xfId="0" applyFont="1" applyBorder="1"/>
    <xf numFmtId="0" fontId="49" fillId="6" borderId="17" xfId="0" applyFont="1" applyFill="1" applyBorder="1"/>
    <xf numFmtId="0" fontId="49" fillId="0" borderId="5" xfId="0" applyFont="1" applyBorder="1"/>
    <xf numFmtId="0" fontId="46" fillId="8" borderId="30" xfId="0" applyFont="1" applyFill="1" applyBorder="1"/>
    <xf numFmtId="0" fontId="50" fillId="0" borderId="0" xfId="0" applyFont="1" applyBorder="1" applyAlignment="1">
      <alignment horizontal="right"/>
    </xf>
    <xf numFmtId="0" fontId="42" fillId="0" borderId="0" xfId="0" applyFont="1"/>
    <xf numFmtId="0" fontId="42" fillId="6" borderId="0" xfId="0" applyFont="1" applyFill="1"/>
    <xf numFmtId="0" fontId="2" fillId="6" borderId="0" xfId="0" applyFont="1" applyFill="1" applyBorder="1"/>
    <xf numFmtId="43" fontId="0" fillId="0" borderId="0" xfId="0" applyNumberFormat="1"/>
    <xf numFmtId="0" fontId="2" fillId="6" borderId="0" xfId="0" applyFont="1" applyFill="1" applyAlignment="1"/>
    <xf numFmtId="0" fontId="53" fillId="11" borderId="0" xfId="0" applyFont="1" applyFill="1"/>
    <xf numFmtId="166" fontId="53" fillId="11" borderId="0" xfId="0" applyNumberFormat="1" applyFont="1" applyFill="1"/>
    <xf numFmtId="0" fontId="53" fillId="6" borderId="0" xfId="0" applyFont="1" applyFill="1"/>
    <xf numFmtId="166" fontId="53" fillId="6" borderId="0" xfId="0" applyNumberFormat="1" applyFont="1" applyFill="1"/>
    <xf numFmtId="0" fontId="53" fillId="11" borderId="27" xfId="0" applyFont="1" applyFill="1" applyBorder="1"/>
    <xf numFmtId="0" fontId="53" fillId="11" borderId="28" xfId="0" applyFont="1" applyFill="1" applyBorder="1"/>
    <xf numFmtId="0" fontId="53" fillId="11" borderId="29" xfId="0" applyFont="1" applyFill="1" applyBorder="1"/>
    <xf numFmtId="0" fontId="24" fillId="0" borderId="30" xfId="0" applyFont="1" applyBorder="1"/>
    <xf numFmtId="0" fontId="24" fillId="0" borderId="0" xfId="0" applyFont="1" applyBorder="1"/>
    <xf numFmtId="0" fontId="24" fillId="0" borderId="31" xfId="0" applyFont="1" applyBorder="1"/>
    <xf numFmtId="43" fontId="24" fillId="0" borderId="30" xfId="0" applyNumberFormat="1" applyFont="1" applyBorder="1"/>
    <xf numFmtId="171" fontId="24" fillId="0" borderId="0" xfId="0" applyNumberFormat="1" applyFont="1" applyBorder="1"/>
    <xf numFmtId="171" fontId="24" fillId="0" borderId="31" xfId="0" applyNumberFormat="1" applyFont="1" applyBorder="1"/>
    <xf numFmtId="171" fontId="24" fillId="0" borderId="0" xfId="4" applyNumberFormat="1" applyFont="1" applyBorder="1"/>
    <xf numFmtId="171" fontId="24" fillId="0" borderId="31" xfId="4" applyNumberFormat="1" applyFont="1" applyBorder="1"/>
    <xf numFmtId="43" fontId="24" fillId="0" borderId="35" xfId="0" applyNumberFormat="1" applyFont="1" applyBorder="1"/>
    <xf numFmtId="171" fontId="24" fillId="0" borderId="36" xfId="4" applyNumberFormat="1" applyFont="1" applyBorder="1"/>
    <xf numFmtId="171" fontId="24" fillId="0" borderId="37" xfId="4" applyNumberFormat="1" applyFont="1" applyBorder="1"/>
    <xf numFmtId="0" fontId="24" fillId="0" borderId="0" xfId="0" applyFont="1"/>
    <xf numFmtId="0" fontId="24" fillId="0" borderId="0" xfId="0" applyFont="1" applyBorder="1" applyAlignment="1">
      <alignment horizontal="right"/>
    </xf>
    <xf numFmtId="10" fontId="24" fillId="0" borderId="0" xfId="4" applyNumberFormat="1" applyFont="1" applyBorder="1"/>
    <xf numFmtId="10" fontId="24" fillId="0" borderId="31" xfId="4" applyNumberFormat="1" applyFont="1" applyBorder="1"/>
    <xf numFmtId="0" fontId="24" fillId="0" borderId="36" xfId="0" applyFont="1" applyBorder="1" applyAlignment="1">
      <alignment horizontal="right"/>
    </xf>
    <xf numFmtId="9" fontId="24" fillId="0" borderId="36" xfId="0" applyNumberFormat="1" applyFont="1" applyBorder="1" applyAlignment="1">
      <alignment horizontal="right"/>
    </xf>
    <xf numFmtId="10" fontId="24" fillId="0" borderId="36" xfId="4" applyNumberFormat="1" applyFont="1" applyBorder="1"/>
    <xf numFmtId="10" fontId="24" fillId="0" borderId="37" xfId="4" applyNumberFormat="1" applyFont="1" applyBorder="1"/>
    <xf numFmtId="43" fontId="0" fillId="11" borderId="0" xfId="0" applyNumberFormat="1" applyFill="1"/>
    <xf numFmtId="0" fontId="0" fillId="6" borderId="0" xfId="0" applyFill="1" applyAlignment="1"/>
    <xf numFmtId="166" fontId="1" fillId="6" borderId="0" xfId="0" applyNumberFormat="1" applyFont="1" applyFill="1" applyBorder="1"/>
    <xf numFmtId="166" fontId="1" fillId="6" borderId="31" xfId="0" applyNumberFormat="1" applyFont="1" applyFill="1" applyBorder="1"/>
    <xf numFmtId="0" fontId="0" fillId="0" borderId="30" xfId="0" applyBorder="1"/>
    <xf numFmtId="0" fontId="0" fillId="0" borderId="0" xfId="0" applyBorder="1"/>
    <xf numFmtId="0" fontId="1" fillId="0" borderId="35" xfId="0" applyFont="1" applyBorder="1"/>
    <xf numFmtId="0" fontId="1" fillId="0" borderId="36" xfId="0" applyFont="1" applyBorder="1"/>
    <xf numFmtId="0" fontId="1" fillId="0" borderId="35" xfId="0" applyFont="1" applyBorder="1"/>
    <xf numFmtId="0" fontId="1" fillId="0" borderId="36" xfId="0" applyFont="1" applyBorder="1"/>
    <xf numFmtId="0" fontId="1" fillId="0" borderId="30" xfId="0" applyFont="1" applyBorder="1"/>
    <xf numFmtId="0" fontId="1" fillId="0" borderId="0" xfId="0" applyFont="1" applyBorder="1"/>
    <xf numFmtId="10" fontId="1" fillId="0" borderId="0" xfId="4" applyNumberFormat="1" applyFont="1" applyBorder="1"/>
    <xf numFmtId="10" fontId="1" fillId="0" borderId="31" xfId="4" applyNumberFormat="1" applyFont="1" applyBorder="1"/>
    <xf numFmtId="172" fontId="1" fillId="0" borderId="36" xfId="0" applyNumberFormat="1" applyFont="1" applyBorder="1"/>
    <xf numFmtId="172" fontId="1" fillId="0" borderId="37" xfId="0" applyNumberFormat="1" applyFont="1" applyBorder="1"/>
    <xf numFmtId="10" fontId="1" fillId="0" borderId="105" xfId="4" applyNumberFormat="1" applyFont="1" applyBorder="1"/>
    <xf numFmtId="10" fontId="1" fillId="0" borderId="106" xfId="4" applyNumberFormat="1" applyFont="1" applyBorder="1"/>
    <xf numFmtId="10" fontId="1" fillId="0" borderId="36" xfId="0" applyNumberFormat="1" applyFont="1" applyBorder="1"/>
    <xf numFmtId="10" fontId="1" fillId="0" borderId="37" xfId="0" applyNumberFormat="1" applyFont="1" applyBorder="1"/>
    <xf numFmtId="10" fontId="1" fillId="0" borderId="0" xfId="0" applyNumberFormat="1" applyFont="1" applyBorder="1"/>
    <xf numFmtId="0" fontId="1" fillId="0" borderId="104" xfId="0" applyFont="1" applyBorder="1"/>
    <xf numFmtId="0" fontId="1" fillId="0" borderId="105" xfId="0" applyFont="1" applyBorder="1"/>
    <xf numFmtId="0" fontId="1" fillId="0" borderId="106" xfId="0" applyFont="1" applyBorder="1"/>
    <xf numFmtId="0" fontId="42" fillId="11" borderId="0" xfId="0" applyFont="1" applyFill="1" applyAlignment="1">
      <alignment horizontal="left"/>
    </xf>
    <xf numFmtId="0" fontId="0" fillId="0" borderId="0" xfId="0" applyAlignment="1">
      <alignment horizontal="left"/>
    </xf>
    <xf numFmtId="0" fontId="42" fillId="0" borderId="0" xfId="0" applyFont="1" applyAlignment="1">
      <alignment horizontal="left"/>
    </xf>
    <xf numFmtId="0" fontId="48" fillId="0" borderId="0" xfId="0" applyFont="1" applyAlignment="1">
      <alignment horizontal="left"/>
    </xf>
    <xf numFmtId="0" fontId="44" fillId="0" borderId="0" xfId="0" applyFont="1" applyAlignment="1">
      <alignment horizontal="left"/>
    </xf>
    <xf numFmtId="0" fontId="44" fillId="11" borderId="0" xfId="0" applyFont="1" applyFill="1" applyAlignment="1">
      <alignment horizontal="left"/>
    </xf>
    <xf numFmtId="0" fontId="0" fillId="11" borderId="0" xfId="0" applyFill="1" applyAlignment="1">
      <alignment horizontal="left"/>
    </xf>
    <xf numFmtId="0" fontId="23" fillId="0" borderId="0" xfId="0" applyFont="1" applyAlignment="1">
      <alignment horizontal="left" vertical="center"/>
    </xf>
    <xf numFmtId="0" fontId="24" fillId="0" borderId="0" xfId="0" applyFont="1" applyAlignment="1">
      <alignment horizontal="left"/>
    </xf>
    <xf numFmtId="0" fontId="24" fillId="0" borderId="0" xfId="0" applyFont="1" applyAlignment="1">
      <alignment horizontal="left" vertical="center" indent="1"/>
    </xf>
    <xf numFmtId="0" fontId="24" fillId="0" borderId="0" xfId="0" applyFont="1" applyAlignment="1">
      <alignment horizontal="left" vertical="center" indent="1"/>
    </xf>
    <xf numFmtId="0" fontId="2" fillId="11" borderId="0" xfId="0" applyFont="1" applyFill="1" applyAlignment="1">
      <alignment horizontal="center"/>
    </xf>
    <xf numFmtId="168" fontId="0" fillId="0" borderId="36" xfId="4" applyNumberFormat="1" applyFont="1" applyBorder="1"/>
    <xf numFmtId="166" fontId="1" fillId="0" borderId="0" xfId="0" applyNumberFormat="1" applyFont="1" applyBorder="1"/>
    <xf numFmtId="0" fontId="5" fillId="0" borderId="30" xfId="0" applyFont="1" applyBorder="1"/>
    <xf numFmtId="166" fontId="1" fillId="0" borderId="31" xfId="0" applyNumberFormat="1" applyFont="1" applyBorder="1"/>
    <xf numFmtId="0" fontId="0" fillId="0" borderId="81" xfId="0" applyBorder="1"/>
    <xf numFmtId="0" fontId="0" fillId="0" borderId="87" xfId="0" applyBorder="1"/>
    <xf numFmtId="3" fontId="54" fillId="0" borderId="82" xfId="0" applyNumberFormat="1" applyFont="1" applyBorder="1"/>
    <xf numFmtId="0" fontId="55" fillId="0" borderId="82" xfId="0" applyFont="1" applyBorder="1"/>
    <xf numFmtId="0" fontId="55" fillId="0" borderId="82" xfId="0" applyFont="1" applyFill="1" applyBorder="1"/>
    <xf numFmtId="0" fontId="55" fillId="0" borderId="83" xfId="0" applyFont="1" applyBorder="1"/>
    <xf numFmtId="170" fontId="0" fillId="0" borderId="81" xfId="0" applyNumberFormat="1" applyBorder="1"/>
    <xf numFmtId="170" fontId="0" fillId="0" borderId="87" xfId="0" applyNumberFormat="1" applyBorder="1"/>
    <xf numFmtId="170" fontId="0" fillId="0" borderId="88" xfId="0" applyNumberFormat="1" applyBorder="1"/>
    <xf numFmtId="170" fontId="0" fillId="0" borderId="89" xfId="0" applyNumberFormat="1" applyBorder="1"/>
    <xf numFmtId="169" fontId="1" fillId="0" borderId="36" xfId="4" applyNumberFormat="1" applyFont="1" applyBorder="1"/>
    <xf numFmtId="169" fontId="1" fillId="0" borderId="37" xfId="4" applyNumberFormat="1" applyFont="1" applyBorder="1"/>
    <xf numFmtId="2" fontId="1" fillId="0" borderId="0" xfId="0" applyNumberFormat="1" applyFont="1" applyBorder="1"/>
    <xf numFmtId="0" fontId="1" fillId="0" borderId="36" xfId="0" applyFont="1" applyBorder="1" applyAlignment="1">
      <alignment horizontal="right"/>
    </xf>
    <xf numFmtId="0" fontId="1" fillId="0" borderId="37" xfId="0" applyFont="1" applyBorder="1" applyAlignment="1">
      <alignment horizontal="right"/>
    </xf>
    <xf numFmtId="2" fontId="1" fillId="0" borderId="31" xfId="0" applyNumberFormat="1" applyFont="1" applyBorder="1"/>
    <xf numFmtId="0" fontId="56" fillId="11" borderId="0" xfId="0" applyFont="1" applyFill="1" applyAlignment="1">
      <alignment horizontal="left"/>
    </xf>
    <xf numFmtId="0" fontId="56" fillId="0" borderId="0" xfId="0" applyFont="1" applyAlignment="1">
      <alignment horizontal="left"/>
    </xf>
    <xf numFmtId="0" fontId="57" fillId="0" borderId="0" xfId="0" applyFont="1" applyAlignment="1">
      <alignment horizontal="left"/>
    </xf>
    <xf numFmtId="0" fontId="58" fillId="0" borderId="0" xfId="0" applyFont="1" applyAlignment="1">
      <alignment horizontal="left"/>
    </xf>
    <xf numFmtId="0" fontId="58" fillId="11" borderId="0" xfId="0" applyFont="1" applyFill="1" applyAlignment="1">
      <alignment horizontal="left"/>
    </xf>
    <xf numFmtId="0" fontId="23" fillId="0" borderId="0" xfId="0" applyFont="1"/>
    <xf numFmtId="0" fontId="23" fillId="0" borderId="0" xfId="0" applyFont="1" applyAlignment="1">
      <alignment vertical="center"/>
    </xf>
    <xf numFmtId="0" fontId="24" fillId="11" borderId="0" xfId="0" applyFont="1" applyFill="1"/>
    <xf numFmtId="0" fontId="0" fillId="0" borderId="0" xfId="0" applyAlignment="1">
      <alignment wrapText="1"/>
    </xf>
    <xf numFmtId="0" fontId="0" fillId="0" borderId="0" xfId="0" applyBorder="1"/>
    <xf numFmtId="0" fontId="1" fillId="0" borderId="0" xfId="0" applyFont="1" applyBorder="1"/>
    <xf numFmtId="0" fontId="0" fillId="0" borderId="0" xfId="0"/>
    <xf numFmtId="0" fontId="0" fillId="0" borderId="28" xfId="0" applyBorder="1"/>
    <xf numFmtId="175" fontId="2" fillId="11" borderId="0" xfId="0" applyNumberFormat="1" applyFont="1" applyFill="1"/>
    <xf numFmtId="0" fontId="0" fillId="0" borderId="0" xfId="0" applyFill="1" applyBorder="1" applyAlignment="1"/>
    <xf numFmtId="0" fontId="0" fillId="0" borderId="28" xfId="0" applyBorder="1" applyAlignment="1"/>
    <xf numFmtId="0" fontId="0" fillId="0" borderId="0" xfId="0" applyBorder="1" applyAlignment="1"/>
    <xf numFmtId="172" fontId="0" fillId="0" borderId="28" xfId="0" applyNumberFormat="1" applyBorder="1" applyAlignment="1"/>
    <xf numFmtId="172" fontId="0" fillId="0" borderId="0" xfId="0" applyNumberFormat="1" applyBorder="1" applyAlignment="1"/>
    <xf numFmtId="172" fontId="0" fillId="0" borderId="0" xfId="0" applyNumberFormat="1" applyFill="1" applyBorder="1" applyAlignment="1"/>
    <xf numFmtId="172" fontId="0" fillId="0" borderId="28" xfId="0" applyNumberFormat="1" applyBorder="1"/>
    <xf numFmtId="172" fontId="0" fillId="0" borderId="0" xfId="0" applyNumberFormat="1" applyBorder="1"/>
    <xf numFmtId="0" fontId="2" fillId="6" borderId="0" xfId="0" applyFont="1" applyFill="1" applyAlignment="1">
      <alignment horizontal="center"/>
    </xf>
    <xf numFmtId="0" fontId="0" fillId="6" borderId="36" xfId="0" applyFill="1" applyBorder="1"/>
    <xf numFmtId="10" fontId="0" fillId="0" borderId="28" xfId="4" applyNumberFormat="1" applyFont="1" applyBorder="1"/>
    <xf numFmtId="10" fontId="0" fillId="0" borderId="28" xfId="0" applyNumberFormat="1" applyBorder="1"/>
    <xf numFmtId="170" fontId="0" fillId="0" borderId="0" xfId="0" applyNumberFormat="1" applyBorder="1"/>
    <xf numFmtId="10" fontId="0" fillId="0" borderId="0" xfId="4" applyNumberFormat="1" applyFont="1" applyBorder="1"/>
    <xf numFmtId="10" fontId="0" fillId="0" borderId="0" xfId="0" applyNumberFormat="1" applyBorder="1"/>
    <xf numFmtId="0" fontId="1" fillId="0" borderId="28" xfId="0" applyFont="1" applyBorder="1"/>
    <xf numFmtId="0" fontId="1" fillId="0" borderId="0" xfId="0" applyFont="1" applyBorder="1" applyAlignment="1"/>
    <xf numFmtId="0" fontId="1" fillId="0" borderId="0" xfId="0" applyFont="1" applyFill="1" applyBorder="1"/>
    <xf numFmtId="0" fontId="1" fillId="0" borderId="28" xfId="0" applyFont="1" applyBorder="1" applyAlignment="1"/>
    <xf numFmtId="0" fontId="60" fillId="0" borderId="0" xfId="0" applyFont="1"/>
    <xf numFmtId="0" fontId="2" fillId="11" borderId="0" xfId="0" applyFont="1" applyFill="1" applyAlignment="1">
      <alignment horizontal="center"/>
    </xf>
    <xf numFmtId="0" fontId="0" fillId="0" borderId="0" xfId="0" applyBorder="1"/>
    <xf numFmtId="0" fontId="59" fillId="0" borderId="0" xfId="0" applyFont="1" applyAlignment="1">
      <alignment horizontal="left"/>
    </xf>
    <xf numFmtId="0" fontId="52" fillId="0" borderId="0" xfId="0" applyFont="1" applyAlignment="1">
      <alignment horizontal="left"/>
    </xf>
    <xf numFmtId="0" fontId="0" fillId="11" borderId="0" xfId="0" applyFill="1" applyAlignment="1">
      <alignment horizontal="center"/>
    </xf>
    <xf numFmtId="0" fontId="2" fillId="11" borderId="0" xfId="0" applyFont="1" applyFill="1" applyBorder="1" applyAlignment="1">
      <alignment horizontal="center"/>
    </xf>
    <xf numFmtId="0" fontId="0" fillId="11" borderId="0" xfId="0" applyFill="1" applyBorder="1" applyAlignment="1">
      <alignment horizontal="center"/>
    </xf>
    <xf numFmtId="0" fontId="0" fillId="0" borderId="36" xfId="0" applyBorder="1"/>
    <xf numFmtId="174" fontId="2" fillId="11" borderId="0" xfId="0" applyNumberFormat="1" applyFont="1" applyFill="1" applyAlignment="1">
      <alignment horizontal="center"/>
    </xf>
    <xf numFmtId="0" fontId="0" fillId="0" borderId="28" xfId="0" applyBorder="1"/>
    <xf numFmtId="0" fontId="0" fillId="0" borderId="0" xfId="0" applyAlignment="1">
      <alignment horizontal="justify" wrapText="1"/>
    </xf>
    <xf numFmtId="0" fontId="1" fillId="0" borderId="0" xfId="0" applyFont="1" applyAlignment="1">
      <alignment horizontal="justify" vertical="center" wrapText="1"/>
    </xf>
    <xf numFmtId="0" fontId="23" fillId="0" borderId="0" xfId="0" applyFont="1" applyAlignment="1">
      <alignment horizontal="justify" vertical="center" wrapText="1"/>
    </xf>
    <xf numFmtId="0" fontId="0" fillId="0" borderId="0" xfId="0" applyFont="1" applyAlignment="1">
      <alignment horizontal="justify" wrapText="1"/>
    </xf>
    <xf numFmtId="0" fontId="0" fillId="0" borderId="0" xfId="0" applyFont="1" applyAlignment="1">
      <alignment horizontal="justify" vertical="center" wrapText="1"/>
    </xf>
    <xf numFmtId="0" fontId="0" fillId="0" borderId="0" xfId="0" applyAlignment="1">
      <alignment wrapText="1"/>
    </xf>
    <xf numFmtId="0" fontId="1" fillId="0" borderId="0" xfId="0" applyFont="1" applyAlignment="1">
      <alignment vertical="center" wrapText="1"/>
    </xf>
    <xf numFmtId="0" fontId="22" fillId="0" borderId="0" xfId="0" applyFont="1" applyAlignment="1">
      <alignment vertical="center" wrapText="1"/>
    </xf>
    <xf numFmtId="0" fontId="18" fillId="0" borderId="30" xfId="0" applyFont="1" applyBorder="1" applyAlignment="1">
      <alignment horizontal="left"/>
    </xf>
    <xf numFmtId="0" fontId="18" fillId="0" borderId="0" xfId="0" applyFont="1" applyBorder="1" applyAlignment="1">
      <alignment horizontal="left"/>
    </xf>
    <xf numFmtId="0" fontId="16" fillId="0" borderId="35" xfId="0" applyFont="1" applyBorder="1" applyAlignment="1">
      <alignment horizontal="left"/>
    </xf>
    <xf numFmtId="0" fontId="16" fillId="0" borderId="36" xfId="0" applyFont="1" applyBorder="1" applyAlignment="1">
      <alignment horizontal="left"/>
    </xf>
    <xf numFmtId="0" fontId="32" fillId="0" borderId="0" xfId="0" applyFont="1" applyAlignment="1">
      <alignment horizontal="left"/>
    </xf>
    <xf numFmtId="0" fontId="38" fillId="6" borderId="0" xfId="0" applyFont="1" applyFill="1" applyAlignment="1">
      <alignment wrapText="1"/>
    </xf>
    <xf numFmtId="0" fontId="38" fillId="6" borderId="31" xfId="0" applyFont="1" applyFill="1" applyBorder="1" applyAlignment="1">
      <alignment wrapText="1"/>
    </xf>
    <xf numFmtId="0" fontId="16" fillId="0" borderId="70" xfId="0" applyFont="1" applyBorder="1" applyAlignment="1">
      <alignment horizontal="left"/>
    </xf>
    <xf numFmtId="0" fontId="16" fillId="0" borderId="67" xfId="0" applyFont="1" applyBorder="1" applyAlignment="1">
      <alignment horizontal="left"/>
    </xf>
    <xf numFmtId="0" fontId="16" fillId="0" borderId="3" xfId="0" applyFont="1" applyBorder="1" applyAlignment="1">
      <alignment horizontal="center"/>
    </xf>
    <xf numFmtId="0" fontId="16" fillId="0" borderId="4" xfId="0" applyFont="1" applyBorder="1" applyAlignment="1">
      <alignment horizontal="center"/>
    </xf>
    <xf numFmtId="0" fontId="18" fillId="0" borderId="30" xfId="0" applyFont="1" applyBorder="1"/>
    <xf numFmtId="0" fontId="18" fillId="0" borderId="0" xfId="0" applyFont="1" applyBorder="1"/>
    <xf numFmtId="0" fontId="16" fillId="0" borderId="45" xfId="0" applyFont="1" applyBorder="1"/>
    <xf numFmtId="0" fontId="16" fillId="0" borderId="46" xfId="0" applyFont="1" applyBorder="1"/>
    <xf numFmtId="0" fontId="18" fillId="0" borderId="48" xfId="0" applyFont="1" applyBorder="1" applyAlignment="1">
      <alignment horizontal="left"/>
    </xf>
    <xf numFmtId="0" fontId="18" fillId="0" borderId="6" xfId="0" applyFont="1" applyBorder="1" applyAlignment="1">
      <alignment horizontal="left"/>
    </xf>
    <xf numFmtId="0" fontId="16" fillId="0" borderId="45" xfId="0" applyFont="1" applyBorder="1" applyAlignment="1">
      <alignment horizontal="left"/>
    </xf>
    <xf numFmtId="0" fontId="16" fillId="0" borderId="46" xfId="0" applyFont="1" applyBorder="1" applyAlignment="1">
      <alignment horizontal="left"/>
    </xf>
    <xf numFmtId="0" fontId="0" fillId="0" borderId="74" xfId="0" applyBorder="1" applyAlignment="1"/>
    <xf numFmtId="0" fontId="0" fillId="0" borderId="10" xfId="0" applyBorder="1" applyAlignment="1"/>
    <xf numFmtId="0" fontId="1" fillId="0" borderId="78" xfId="0" applyFont="1" applyBorder="1" applyAlignment="1"/>
    <xf numFmtId="0" fontId="1" fillId="0" borderId="79" xfId="0" applyFont="1" applyBorder="1" applyAlignment="1"/>
    <xf numFmtId="0" fontId="0" fillId="8" borderId="0" xfId="0" applyFill="1"/>
    <xf numFmtId="0" fontId="0" fillId="0" borderId="81" xfId="0" applyBorder="1" applyAlignment="1"/>
    <xf numFmtId="0" fontId="0" fillId="0" borderId="82" xfId="0" applyBorder="1" applyAlignment="1"/>
    <xf numFmtId="0" fontId="1" fillId="0" borderId="35" xfId="0" applyFont="1" applyBorder="1" applyAlignment="1"/>
    <xf numFmtId="0" fontId="1" fillId="0" borderId="36" xfId="0" applyFont="1" applyBorder="1" applyAlignment="1"/>
    <xf numFmtId="0" fontId="5" fillId="11" borderId="27" xfId="0" applyFont="1" applyFill="1" applyBorder="1" applyAlignment="1"/>
    <xf numFmtId="0" fontId="5" fillId="11" borderId="28" xfId="0" applyFont="1" applyFill="1" applyBorder="1" applyAlignment="1"/>
    <xf numFmtId="0" fontId="0" fillId="0" borderId="59" xfId="0" applyBorder="1" applyAlignment="1"/>
    <xf numFmtId="0" fontId="0" fillId="0" borderId="7" xfId="0" applyBorder="1" applyAlignment="1"/>
    <xf numFmtId="0" fontId="0" fillId="0" borderId="61" xfId="0" applyFont="1" applyBorder="1" applyAlignment="1"/>
    <xf numFmtId="0" fontId="0" fillId="0" borderId="8" xfId="0" applyFont="1" applyBorder="1" applyAlignment="1"/>
    <xf numFmtId="0" fontId="0" fillId="0" borderId="87" xfId="0" applyBorder="1" applyAlignment="1"/>
    <xf numFmtId="0" fontId="0" fillId="0" borderId="88" xfId="0" applyBorder="1" applyAlignment="1"/>
    <xf numFmtId="0" fontId="0" fillId="0" borderId="74" xfId="0" applyFont="1" applyBorder="1" applyAlignment="1"/>
    <xf numFmtId="0" fontId="0" fillId="0" borderId="10" xfId="0" applyFont="1" applyBorder="1" applyAlignment="1"/>
    <xf numFmtId="0" fontId="1" fillId="0" borderId="65" xfId="0" applyFont="1" applyBorder="1" applyAlignment="1"/>
    <xf numFmtId="0" fontId="1" fillId="0" borderId="11" xfId="0" applyFont="1" applyBorder="1" applyAlignment="1"/>
    <xf numFmtId="0" fontId="0" fillId="0" borderId="75" xfId="0" applyBorder="1" applyAlignment="1"/>
    <xf numFmtId="0" fontId="0" fillId="0" borderId="14" xfId="0" applyBorder="1" applyAlignment="1"/>
    <xf numFmtId="0" fontId="1" fillId="0" borderId="54" xfId="0" applyFont="1" applyBorder="1"/>
    <xf numFmtId="0" fontId="1" fillId="0" borderId="15" xfId="0" applyFont="1" applyBorder="1"/>
    <xf numFmtId="0" fontId="1" fillId="0" borderId="48" xfId="0" applyFont="1" applyBorder="1" applyAlignment="1"/>
    <xf numFmtId="0" fontId="1" fillId="0" borderId="6" xfId="0" applyFont="1" applyBorder="1" applyAlignment="1"/>
    <xf numFmtId="0" fontId="1" fillId="0" borderId="52" xfId="0" applyFont="1" applyBorder="1" applyAlignment="1"/>
    <xf numFmtId="0" fontId="1" fillId="0" borderId="5" xfId="0" applyFont="1" applyBorder="1" applyAlignment="1"/>
    <xf numFmtId="0" fontId="2" fillId="11" borderId="27" xfId="0" applyFont="1" applyFill="1" applyBorder="1" applyAlignment="1"/>
    <xf numFmtId="0" fontId="2" fillId="11" borderId="28" xfId="0" applyFont="1" applyFill="1" applyBorder="1" applyAlignment="1"/>
    <xf numFmtId="0" fontId="0" fillId="0" borderId="84" xfId="0" applyBorder="1" applyAlignment="1"/>
    <xf numFmtId="0" fontId="0" fillId="0" borderId="85" xfId="0" applyBorder="1" applyAlignment="1"/>
    <xf numFmtId="0" fontId="0" fillId="0" borderId="50" xfId="0" applyBorder="1" applyAlignment="1"/>
    <xf numFmtId="0" fontId="0" fillId="0" borderId="17" xfId="0" applyBorder="1" applyAlignment="1"/>
    <xf numFmtId="0" fontId="0" fillId="0" borderId="52" xfId="0" applyBorder="1" applyAlignment="1"/>
    <xf numFmtId="0" fontId="0" fillId="0" borderId="5" xfId="0" applyBorder="1" applyAlignment="1"/>
    <xf numFmtId="0" fontId="1" fillId="0" borderId="70" xfId="0" applyFont="1" applyBorder="1" applyAlignment="1"/>
    <xf numFmtId="0" fontId="1" fillId="0" borderId="3" xfId="0" applyFont="1" applyBorder="1" applyAlignment="1"/>
    <xf numFmtId="0" fontId="1" fillId="0" borderId="71" xfId="0" applyFont="1" applyBorder="1"/>
    <xf numFmtId="0" fontId="1" fillId="0" borderId="12" xfId="0" applyFont="1" applyBorder="1"/>
    <xf numFmtId="0" fontId="0" fillId="0" borderId="59" xfId="0" applyFont="1" applyBorder="1" applyAlignment="1"/>
    <xf numFmtId="0" fontId="0" fillId="0" borderId="7" xfId="0" applyFont="1" applyBorder="1" applyAlignment="1"/>
    <xf numFmtId="0" fontId="0" fillId="0" borderId="48" xfId="0" applyBorder="1" applyAlignment="1"/>
    <xf numFmtId="0" fontId="0" fillId="0" borderId="6" xfId="0" applyBorder="1" applyAlignment="1"/>
    <xf numFmtId="0" fontId="0" fillId="0" borderId="61" xfId="0" applyBorder="1" applyAlignment="1"/>
    <xf numFmtId="0" fontId="0" fillId="0" borderId="8" xfId="0" applyBorder="1" applyAlignment="1"/>
    <xf numFmtId="0" fontId="0" fillId="0" borderId="63" xfId="0" applyBorder="1" applyAlignment="1"/>
    <xf numFmtId="0" fontId="0" fillId="0" borderId="9" xfId="0" applyBorder="1" applyAlignment="1"/>
    <xf numFmtId="0" fontId="1" fillId="0" borderId="42" xfId="0" applyFont="1" applyBorder="1"/>
    <xf numFmtId="0" fontId="1" fillId="0" borderId="43" xfId="0" applyFont="1" applyBorder="1"/>
    <xf numFmtId="0" fontId="1" fillId="0" borderId="45" xfId="0" applyFont="1" applyBorder="1"/>
    <xf numFmtId="0" fontId="1" fillId="0" borderId="46" xfId="0" applyFont="1" applyBorder="1"/>
    <xf numFmtId="0" fontId="2" fillId="11" borderId="27" xfId="0" applyFont="1" applyFill="1" applyBorder="1" applyAlignment="1">
      <alignment horizontal="center"/>
    </xf>
    <xf numFmtId="0" fontId="0" fillId="11" borderId="28" xfId="0" applyFill="1" applyBorder="1" applyAlignment="1">
      <alignment horizontal="center"/>
    </xf>
    <xf numFmtId="0" fontId="0" fillId="11" borderId="29" xfId="0" applyFill="1" applyBorder="1" applyAlignment="1">
      <alignment horizontal="center"/>
    </xf>
    <xf numFmtId="0" fontId="51" fillId="0" borderId="0" xfId="0" applyFont="1" applyAlignment="1">
      <alignment horizontal="left"/>
    </xf>
    <xf numFmtId="0" fontId="5" fillId="11" borderId="28" xfId="0" applyFont="1" applyFill="1" applyBorder="1" applyAlignment="1">
      <alignment horizontal="center"/>
    </xf>
    <xf numFmtId="0" fontId="5" fillId="11" borderId="29" xfId="0" applyFont="1" applyFill="1" applyBorder="1" applyAlignment="1">
      <alignment horizontal="center"/>
    </xf>
    <xf numFmtId="0" fontId="24" fillId="0" borderId="0" xfId="0" applyFont="1" applyAlignment="1">
      <alignment wrapText="1"/>
    </xf>
    <xf numFmtId="0" fontId="56" fillId="0" borderId="0" xfId="0" applyFont="1" applyAlignment="1">
      <alignment horizontal="left"/>
    </xf>
    <xf numFmtId="0" fontId="24" fillId="0" borderId="0" xfId="0" applyFont="1" applyAlignment="1">
      <alignment horizontal="justify" wrapText="1"/>
    </xf>
    <xf numFmtId="0" fontId="24" fillId="0" borderId="0" xfId="0" applyFont="1"/>
    <xf numFmtId="0" fontId="43" fillId="0" borderId="0" xfId="0" applyFont="1"/>
    <xf numFmtId="0" fontId="42" fillId="0" borderId="0" xfId="0" applyFont="1"/>
    <xf numFmtId="0" fontId="42" fillId="0" borderId="48" xfId="0" applyFont="1" applyBorder="1" applyAlignment="1">
      <alignment horizontal="left"/>
    </xf>
    <xf numFmtId="0" fontId="42" fillId="0" borderId="6" xfId="0" applyFont="1" applyBorder="1" applyAlignment="1">
      <alignment horizontal="left"/>
    </xf>
    <xf numFmtId="0" fontId="42" fillId="0" borderId="50" xfId="0" applyFont="1" applyBorder="1"/>
    <xf numFmtId="0" fontId="42" fillId="0" borderId="17" xfId="0" applyFont="1" applyBorder="1"/>
    <xf numFmtId="0" fontId="45" fillId="11" borderId="99" xfId="0" applyFont="1" applyFill="1" applyBorder="1" applyAlignment="1">
      <alignment horizontal="center"/>
    </xf>
    <xf numFmtId="0" fontId="45" fillId="11" borderId="100" xfId="0" applyFont="1" applyFill="1" applyBorder="1" applyAlignment="1">
      <alignment horizontal="center"/>
    </xf>
    <xf numFmtId="0" fontId="42" fillId="0" borderId="52" xfId="0" applyFont="1" applyBorder="1"/>
    <xf numFmtId="0" fontId="42" fillId="0" borderId="5" xfId="0" applyFont="1" applyBorder="1"/>
    <xf numFmtId="0" fontId="46" fillId="9" borderId="101" xfId="0" applyFont="1" applyFill="1" applyBorder="1"/>
    <xf numFmtId="0" fontId="46" fillId="9" borderId="102" xfId="0" applyFont="1" applyFill="1" applyBorder="1"/>
    <xf numFmtId="0" fontId="47" fillId="0" borderId="35" xfId="0" applyFont="1" applyBorder="1"/>
    <xf numFmtId="0" fontId="47" fillId="0" borderId="36" xfId="0" applyFont="1" applyBorder="1"/>
    <xf numFmtId="0" fontId="51" fillId="0" borderId="0" xfId="0" applyFont="1"/>
    <xf numFmtId="0" fontId="52" fillId="0" borderId="0" xfId="0" applyFont="1"/>
    <xf numFmtId="43" fontId="4" fillId="0" borderId="0" xfId="2" applyNumberFormat="1" applyBorder="1" applyAlignment="1" applyProtection="1">
      <alignment horizontal="center"/>
    </xf>
    <xf numFmtId="43" fontId="2" fillId="2" borderId="0" xfId="3" applyNumberFormat="1" applyFont="1" applyBorder="1" applyAlignment="1">
      <alignment horizontal="center"/>
    </xf>
    <xf numFmtId="0" fontId="5" fillId="10" borderId="0" xfId="0" applyFont="1" applyFill="1" applyAlignment="1">
      <alignment horizontal="center"/>
    </xf>
    <xf numFmtId="0" fontId="0" fillId="0" borderId="30" xfId="0" applyBorder="1"/>
    <xf numFmtId="0" fontId="2" fillId="11" borderId="28" xfId="0" applyFont="1" applyFill="1" applyBorder="1" applyAlignment="1">
      <alignment horizontal="center"/>
    </xf>
    <xf numFmtId="0" fontId="2" fillId="11" borderId="29" xfId="0" applyFont="1" applyFill="1" applyBorder="1" applyAlignment="1">
      <alignment horizontal="center"/>
    </xf>
    <xf numFmtId="0" fontId="1" fillId="0" borderId="35" xfId="0" applyFont="1" applyBorder="1"/>
    <xf numFmtId="0" fontId="1" fillId="0" borderId="36" xfId="0" applyFont="1" applyBorder="1"/>
    <xf numFmtId="0" fontId="1" fillId="0" borderId="30" xfId="0" applyFont="1" applyBorder="1"/>
    <xf numFmtId="0" fontId="1" fillId="0" borderId="0" xfId="0" applyFont="1" applyBorder="1"/>
    <xf numFmtId="0" fontId="1" fillId="0" borderId="104" xfId="0" applyFont="1" applyBorder="1"/>
    <xf numFmtId="0" fontId="1" fillId="0" borderId="105" xfId="0" applyFont="1" applyBorder="1"/>
    <xf numFmtId="0" fontId="24" fillId="0" borderId="0" xfId="0" applyFont="1" applyAlignment="1">
      <alignment horizontal="left" vertical="center" indent="1"/>
    </xf>
    <xf numFmtId="0" fontId="0" fillId="0" borderId="0" xfId="0" applyAlignment="1">
      <alignment horizontal="left"/>
    </xf>
  </cellXfs>
  <cellStyles count="5">
    <cellStyle name="Accent6" xfId="3" builtinId="49"/>
    <cellStyle name="Comma" xfId="1" builtinId="3"/>
    <cellStyle name="Hyperlink" xfId="2" builtinId="8"/>
    <cellStyle name="Normal" xfId="0" builtinId="0"/>
    <cellStyle name="Percent" xfId="4" builtinId="5"/>
  </cellStyles>
  <dxfs count="1">
    <dxf>
      <font>
        <b/>
        <i val="0"/>
        <color theme="0"/>
      </font>
      <fill>
        <patternFill>
          <bgColor theme="5"/>
        </patternFill>
      </fill>
    </dxf>
  </dxfs>
  <tableStyles count="0" defaultTableStyle="TableStyleMedium9" defaultPivotStyle="PivotStyleLight16"/>
  <colors>
    <mruColors>
      <color rgb="FFED1C24"/>
      <color rgb="FF0000FF"/>
      <color rgb="FFEF4023"/>
      <color rgb="FF00487E"/>
      <color rgb="FF0E1AB2"/>
      <color rgb="FF3333FF"/>
      <color rgb="FF33CCFF"/>
      <color rgb="FF00CCFF"/>
      <color rgb="FF3366FF"/>
      <color rgb="FF66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Liquidity</a:t>
            </a:r>
            <a:r>
              <a:rPr lang="en-IN" baseline="0"/>
              <a:t> Ratios</a:t>
            </a:r>
            <a:endParaRPr lang="en-IN"/>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Ratios!$B$11:$B$14</c:f>
              <c:strCache>
                <c:ptCount val="4"/>
                <c:pt idx="0">
                  <c:v>Current Ratio</c:v>
                </c:pt>
                <c:pt idx="1">
                  <c:v>Quick Ratio</c:v>
                </c:pt>
                <c:pt idx="2">
                  <c:v>Cash Ratio</c:v>
                </c:pt>
                <c:pt idx="3">
                  <c:v>Operating Cashflow</c:v>
                </c:pt>
              </c:strCache>
            </c:strRef>
          </c:cat>
          <c:val>
            <c:numRef>
              <c:f>Ratios!$M$11:$M$14</c:f>
              <c:numCache>
                <c:formatCode>#,##0.00\x;\(#,##0.00\x\);\ \-</c:formatCode>
                <c:ptCount val="4"/>
                <c:pt idx="0">
                  <c:v>1.0547417453248764</c:v>
                </c:pt>
                <c:pt idx="1">
                  <c:v>0.44469169713335538</c:v>
                </c:pt>
                <c:pt idx="2">
                  <c:v>4.4167655336055621E-2</c:v>
                </c:pt>
                <c:pt idx="3">
                  <c:v>0.41440162210783765</c:v>
                </c:pt>
              </c:numCache>
            </c:numRef>
          </c:val>
          <c:smooth val="0"/>
          <c:extLst>
            <c:ext xmlns:c16="http://schemas.microsoft.com/office/drawing/2014/chart" uri="{C3380CC4-5D6E-409C-BE32-E72D297353CC}">
              <c16:uniqueId val="{00000000-6A93-46F5-ABD4-C0CB5C43C94F}"/>
            </c:ext>
          </c:extLst>
        </c:ser>
        <c:dLbls>
          <c:showLegendKey val="0"/>
          <c:showVal val="0"/>
          <c:showCatName val="0"/>
          <c:showSerName val="0"/>
          <c:showPercent val="0"/>
          <c:showBubbleSize val="0"/>
        </c:dLbls>
        <c:smooth val="0"/>
        <c:axId val="1938487919"/>
        <c:axId val="1938481679"/>
      </c:lineChart>
      <c:catAx>
        <c:axId val="19384879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8481679"/>
        <c:crosses val="autoZero"/>
        <c:auto val="1"/>
        <c:lblAlgn val="ctr"/>
        <c:lblOffset val="100"/>
        <c:noMultiLvlLbl val="0"/>
      </c:catAx>
      <c:valAx>
        <c:axId val="1938481679"/>
        <c:scaling>
          <c:orientation val="minMax"/>
        </c:scaling>
        <c:delete val="0"/>
        <c:axPos val="l"/>
        <c:majorGridlines>
          <c:spPr>
            <a:ln w="9525" cap="flat" cmpd="sng" algn="ctr">
              <a:solidFill>
                <a:schemeClr val="tx1">
                  <a:lumMod val="15000"/>
                  <a:lumOff val="85000"/>
                </a:schemeClr>
              </a:solidFill>
              <a:round/>
            </a:ln>
            <a:effectLst/>
          </c:spPr>
        </c:majorGridlines>
        <c:numFmt formatCode="#,##0.00\x;\(#,##0.00\x\);\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848791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Solvency Ratios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Ratios!$B$19:$B$23</c:f>
              <c:strCache>
                <c:ptCount val="5"/>
                <c:pt idx="0">
                  <c:v>Debt to Equity Ratio</c:v>
                </c:pt>
                <c:pt idx="1">
                  <c:v>Debt Ratio</c:v>
                </c:pt>
                <c:pt idx="2">
                  <c:v>Intrest Coverage Ratio</c:v>
                </c:pt>
                <c:pt idx="3">
                  <c:v>Equity Ratio</c:v>
                </c:pt>
                <c:pt idx="4">
                  <c:v>Debt to Capital Ratio</c:v>
                </c:pt>
              </c:strCache>
            </c:strRef>
          </c:cat>
          <c:val>
            <c:numRef>
              <c:f>Ratios!$M$19:$M$23</c:f>
              <c:numCache>
                <c:formatCode>#,##0.00\x;\(#,##0.00\x\);\ \-</c:formatCode>
                <c:ptCount val="5"/>
                <c:pt idx="0">
                  <c:v>0.2039737219865797</c:v>
                </c:pt>
                <c:pt idx="1">
                  <c:v>0.12366364224657059</c:v>
                </c:pt>
                <c:pt idx="2">
                  <c:v>6.4388936230649021</c:v>
                </c:pt>
                <c:pt idx="3">
                  <c:v>0.60849558581319652</c:v>
                </c:pt>
                <c:pt idx="4">
                  <c:v>0.169417087982634</c:v>
                </c:pt>
              </c:numCache>
            </c:numRef>
          </c:val>
          <c:smooth val="0"/>
          <c:extLst>
            <c:ext xmlns:c16="http://schemas.microsoft.com/office/drawing/2014/chart" uri="{C3380CC4-5D6E-409C-BE32-E72D297353CC}">
              <c16:uniqueId val="{00000000-AF5E-430C-88AE-E2FB19D7F56A}"/>
            </c:ext>
          </c:extLst>
        </c:ser>
        <c:dLbls>
          <c:showLegendKey val="0"/>
          <c:showVal val="0"/>
          <c:showCatName val="0"/>
          <c:showSerName val="0"/>
          <c:showPercent val="0"/>
          <c:showBubbleSize val="0"/>
        </c:dLbls>
        <c:smooth val="0"/>
        <c:axId val="1727738943"/>
        <c:axId val="1727739359"/>
      </c:lineChart>
      <c:catAx>
        <c:axId val="17277389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7739359"/>
        <c:crosses val="autoZero"/>
        <c:auto val="1"/>
        <c:lblAlgn val="ctr"/>
        <c:lblOffset val="100"/>
        <c:noMultiLvlLbl val="0"/>
      </c:catAx>
      <c:valAx>
        <c:axId val="1727739359"/>
        <c:scaling>
          <c:orientation val="minMax"/>
        </c:scaling>
        <c:delete val="0"/>
        <c:axPos val="l"/>
        <c:majorGridlines>
          <c:spPr>
            <a:ln w="9525" cap="flat" cmpd="sng" algn="ctr">
              <a:solidFill>
                <a:schemeClr val="tx1">
                  <a:lumMod val="15000"/>
                  <a:lumOff val="85000"/>
                </a:schemeClr>
              </a:solidFill>
              <a:round/>
            </a:ln>
            <a:effectLst/>
          </c:spPr>
        </c:majorGridlines>
        <c:numFmt formatCode="#,##0.00\x;\(#,##0.00\x\);\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773894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Profitability Ratios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Ratios!$B$28:$B$33</c:f>
              <c:strCache>
                <c:ptCount val="6"/>
                <c:pt idx="0">
                  <c:v>Gross Profit Margin</c:v>
                </c:pt>
                <c:pt idx="1">
                  <c:v>Operating Margin</c:v>
                </c:pt>
                <c:pt idx="2">
                  <c:v>Net Profit Margin</c:v>
                </c:pt>
                <c:pt idx="3">
                  <c:v>Return on Assets</c:v>
                </c:pt>
                <c:pt idx="4">
                  <c:v>Return on Equity</c:v>
                </c:pt>
                <c:pt idx="5">
                  <c:v>Return on Capital Employed</c:v>
                </c:pt>
              </c:strCache>
            </c:strRef>
          </c:cat>
          <c:val>
            <c:numRef>
              <c:f>Ratios!$M$28:$M$33</c:f>
              <c:numCache>
                <c:formatCode>#,##0.00\x;\(#,##0.00\x\);\ \-</c:formatCode>
                <c:ptCount val="6"/>
                <c:pt idx="0">
                  <c:v>0.21002113489032942</c:v>
                </c:pt>
                <c:pt idx="1">
                  <c:v>0.41286265648731002</c:v>
                </c:pt>
                <c:pt idx="2">
                  <c:v>0.31564611726555053</c:v>
                </c:pt>
                <c:pt idx="3">
                  <c:v>6.0777361615450144E-2</c:v>
                </c:pt>
                <c:pt idx="4">
                  <c:v>2.4914957558768835E-2</c:v>
                </c:pt>
                <c:pt idx="5">
                  <c:v>0.10966494486428784</c:v>
                </c:pt>
              </c:numCache>
            </c:numRef>
          </c:val>
          <c:smooth val="0"/>
          <c:extLst>
            <c:ext xmlns:c16="http://schemas.microsoft.com/office/drawing/2014/chart" uri="{C3380CC4-5D6E-409C-BE32-E72D297353CC}">
              <c16:uniqueId val="{00000000-E536-4371-8E00-61A3E940D811}"/>
            </c:ext>
          </c:extLst>
        </c:ser>
        <c:dLbls>
          <c:showLegendKey val="0"/>
          <c:showVal val="0"/>
          <c:showCatName val="0"/>
          <c:showSerName val="0"/>
          <c:showPercent val="0"/>
          <c:showBubbleSize val="0"/>
        </c:dLbls>
        <c:smooth val="0"/>
        <c:axId val="1933977743"/>
        <c:axId val="1933975247"/>
      </c:lineChart>
      <c:catAx>
        <c:axId val="19339777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3975247"/>
        <c:crosses val="autoZero"/>
        <c:auto val="1"/>
        <c:lblAlgn val="ctr"/>
        <c:lblOffset val="100"/>
        <c:noMultiLvlLbl val="0"/>
      </c:catAx>
      <c:valAx>
        <c:axId val="1933975247"/>
        <c:scaling>
          <c:orientation val="minMax"/>
        </c:scaling>
        <c:delete val="0"/>
        <c:axPos val="l"/>
        <c:majorGridlines>
          <c:spPr>
            <a:ln w="9525" cap="flat" cmpd="sng" algn="ctr">
              <a:solidFill>
                <a:schemeClr val="tx1">
                  <a:lumMod val="15000"/>
                  <a:lumOff val="85000"/>
                </a:schemeClr>
              </a:solidFill>
              <a:round/>
            </a:ln>
            <a:effectLst/>
          </c:spPr>
        </c:majorGridlines>
        <c:numFmt formatCode="#,##0.00\x;\(#,##0.00\x\);\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397774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Efficiency Ratios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Ratios!$B$38:$B$42</c:f>
              <c:strCache>
                <c:ptCount val="5"/>
                <c:pt idx="0">
                  <c:v>Inventory Turnover Ratio</c:v>
                </c:pt>
                <c:pt idx="1">
                  <c:v>Recievables Turnover Ratio</c:v>
                </c:pt>
                <c:pt idx="2">
                  <c:v>Payables Turnover Ratio</c:v>
                </c:pt>
                <c:pt idx="3">
                  <c:v>Asset Turnover Ratio</c:v>
                </c:pt>
                <c:pt idx="4">
                  <c:v>Working Capital Turnover </c:v>
                </c:pt>
              </c:strCache>
            </c:strRef>
          </c:cat>
          <c:val>
            <c:numRef>
              <c:f>Ratios!$M$38:$M$42</c:f>
              <c:numCache>
                <c:formatCode>#,##0.00\x;\(#,##0.00\x\);\ \-</c:formatCode>
                <c:ptCount val="5"/>
                <c:pt idx="0">
                  <c:v>4.4356331224454477</c:v>
                </c:pt>
                <c:pt idx="1">
                  <c:v>8.3538575667655781</c:v>
                </c:pt>
                <c:pt idx="2">
                  <c:v>9.4451272577996725</c:v>
                </c:pt>
                <c:pt idx="3">
                  <c:v>0.97021894763030758</c:v>
                </c:pt>
                <c:pt idx="4">
                  <c:v>21.00914687200904</c:v>
                </c:pt>
              </c:numCache>
            </c:numRef>
          </c:val>
          <c:smooth val="0"/>
          <c:extLst>
            <c:ext xmlns:c16="http://schemas.microsoft.com/office/drawing/2014/chart" uri="{C3380CC4-5D6E-409C-BE32-E72D297353CC}">
              <c16:uniqueId val="{00000000-1C33-4E51-8D0A-4B5BA507A781}"/>
            </c:ext>
          </c:extLst>
        </c:ser>
        <c:dLbls>
          <c:showLegendKey val="0"/>
          <c:showVal val="0"/>
          <c:showCatName val="0"/>
          <c:showSerName val="0"/>
          <c:showPercent val="0"/>
          <c:showBubbleSize val="0"/>
        </c:dLbls>
        <c:smooth val="0"/>
        <c:axId val="1730772959"/>
        <c:axId val="1730772543"/>
      </c:lineChart>
      <c:catAx>
        <c:axId val="17307729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0772543"/>
        <c:crosses val="autoZero"/>
        <c:auto val="1"/>
        <c:lblAlgn val="ctr"/>
        <c:lblOffset val="100"/>
        <c:noMultiLvlLbl val="0"/>
      </c:catAx>
      <c:valAx>
        <c:axId val="1730772543"/>
        <c:scaling>
          <c:orientation val="minMax"/>
        </c:scaling>
        <c:delete val="0"/>
        <c:axPos val="l"/>
        <c:majorGridlines>
          <c:spPr>
            <a:ln w="9525" cap="flat" cmpd="sng" algn="ctr">
              <a:solidFill>
                <a:schemeClr val="tx1">
                  <a:lumMod val="15000"/>
                  <a:lumOff val="85000"/>
                </a:schemeClr>
              </a:solidFill>
              <a:round/>
            </a:ln>
            <a:effectLst/>
          </c:spPr>
        </c:majorGridlines>
        <c:numFmt formatCode="#,##0.00\x;\(#,##0.00\x\);\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077295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Return</a:t>
            </a:r>
            <a:r>
              <a:rPr lang="en-IN" baseline="0"/>
              <a:t> on Equity</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rgbClr val="ED1C24"/>
            </a:solidFill>
            <a:ln>
              <a:noFill/>
            </a:ln>
            <a:effectLst/>
          </c:spPr>
          <c:invertIfNegative val="0"/>
          <c:cat>
            <c:numRef>
              <c:f>Dupont!$G$37:$K$37</c:f>
              <c:numCache>
                <c:formatCode>[$-409]mmm/yy;@</c:formatCode>
                <c:ptCount val="5"/>
                <c:pt idx="0">
                  <c:v>44256</c:v>
                </c:pt>
                <c:pt idx="1">
                  <c:v>44621</c:v>
                </c:pt>
                <c:pt idx="2">
                  <c:v>44986</c:v>
                </c:pt>
                <c:pt idx="3">
                  <c:v>45352</c:v>
                </c:pt>
                <c:pt idx="4">
                  <c:v>45717</c:v>
                </c:pt>
              </c:numCache>
            </c:numRef>
          </c:cat>
          <c:val>
            <c:numRef>
              <c:f>Dupont!$G$28:$K$28</c:f>
              <c:numCache>
                <c:formatCode>0.00%</c:formatCode>
                <c:ptCount val="5"/>
                <c:pt idx="0">
                  <c:v>9.9659830235075339E-2</c:v>
                </c:pt>
                <c:pt idx="1">
                  <c:v>4.8768064033999116E-2</c:v>
                </c:pt>
                <c:pt idx="2">
                  <c:v>5.3510493082495433E-2</c:v>
                </c:pt>
                <c:pt idx="3">
                  <c:v>0.13251683744207776</c:v>
                </c:pt>
                <c:pt idx="4">
                  <c:v>0.10623489512367351</c:v>
                </c:pt>
              </c:numCache>
            </c:numRef>
          </c:val>
          <c:extLst>
            <c:ext xmlns:c16="http://schemas.microsoft.com/office/drawing/2014/chart" uri="{C3380CC4-5D6E-409C-BE32-E72D297353CC}">
              <c16:uniqueId val="{00000000-6BC8-490B-9707-2825E629B552}"/>
            </c:ext>
          </c:extLst>
        </c:ser>
        <c:dLbls>
          <c:showLegendKey val="0"/>
          <c:showVal val="0"/>
          <c:showCatName val="0"/>
          <c:showSerName val="0"/>
          <c:showPercent val="0"/>
          <c:showBubbleSize val="0"/>
        </c:dLbls>
        <c:gapWidth val="219"/>
        <c:overlap val="-27"/>
        <c:axId val="1603595039"/>
        <c:axId val="1603595871"/>
      </c:barChart>
      <c:dateAx>
        <c:axId val="1603595039"/>
        <c:scaling>
          <c:orientation val="minMax"/>
        </c:scaling>
        <c:delete val="0"/>
        <c:axPos val="b"/>
        <c:numFmt formatCode="yyyy"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3595871"/>
        <c:crosses val="autoZero"/>
        <c:auto val="1"/>
        <c:lblOffset val="100"/>
        <c:baseTimeUnit val="years"/>
      </c:dateAx>
      <c:valAx>
        <c:axId val="1603595871"/>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3595039"/>
        <c:crosses val="autoZero"/>
        <c:crossBetween val="between"/>
      </c:valAx>
      <c:spPr>
        <a:noFill/>
        <a:ln>
          <a:noFill/>
        </a:ln>
        <a:effectLst/>
      </c:spPr>
    </c:plotArea>
    <c:plotVisOnly val="1"/>
    <c:dispBlanksAs val="gap"/>
    <c:showDLblsOverMax val="0"/>
  </c:chart>
  <c:spPr>
    <a:solidFill>
      <a:schemeClr val="bg1"/>
    </a:solidFill>
    <a:ln w="9525" cap="flat" cmpd="sng" algn="ctr">
      <a:solidFill>
        <a:srgbClr val="ED1C24"/>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Return on Assets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5162711924522951"/>
          <c:y val="0.32881205673758868"/>
          <c:w val="0.80708158946347919"/>
          <c:h val="0.46552954152007597"/>
        </c:manualLayout>
      </c:layout>
      <c:barChart>
        <c:barDir val="col"/>
        <c:grouping val="clustered"/>
        <c:varyColors val="0"/>
        <c:ser>
          <c:idx val="0"/>
          <c:order val="0"/>
          <c:tx>
            <c:v>Year</c:v>
          </c:tx>
          <c:spPr>
            <a:solidFill>
              <a:srgbClr val="ED1C2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Dupont!$G$31:$K$31</c:f>
              <c:numCache>
                <c:formatCode>[$-409]mmm/yy;@</c:formatCode>
                <c:ptCount val="5"/>
                <c:pt idx="0">
                  <c:v>44256</c:v>
                </c:pt>
                <c:pt idx="1">
                  <c:v>44621</c:v>
                </c:pt>
                <c:pt idx="2">
                  <c:v>44986</c:v>
                </c:pt>
                <c:pt idx="3">
                  <c:v>45352</c:v>
                </c:pt>
                <c:pt idx="4">
                  <c:v>45717</c:v>
                </c:pt>
              </c:numCache>
            </c:numRef>
          </c:cat>
          <c:val>
            <c:numRef>
              <c:f>Dupont!$G$46:$K$46</c:f>
              <c:numCache>
                <c:formatCode>0.00%</c:formatCode>
                <c:ptCount val="5"/>
                <c:pt idx="0">
                  <c:v>6.0777361615450144E-2</c:v>
                </c:pt>
                <c:pt idx="1">
                  <c:v>2.9325439949519742E-2</c:v>
                </c:pt>
                <c:pt idx="2">
                  <c:v>3.2424363497975402E-2</c:v>
                </c:pt>
                <c:pt idx="3">
                  <c:v>8.1267752256786757E-2</c:v>
                </c:pt>
                <c:pt idx="4">
                  <c:v>6.6267232128518622E-2</c:v>
                </c:pt>
              </c:numCache>
            </c:numRef>
          </c:val>
          <c:extLst>
            <c:ext xmlns:c16="http://schemas.microsoft.com/office/drawing/2014/chart" uri="{C3380CC4-5D6E-409C-BE32-E72D297353CC}">
              <c16:uniqueId val="{00000000-9EB0-4719-AEB1-01CB59685411}"/>
            </c:ext>
          </c:extLst>
        </c:ser>
        <c:dLbls>
          <c:dLblPos val="outEnd"/>
          <c:showLegendKey val="0"/>
          <c:showVal val="1"/>
          <c:showCatName val="0"/>
          <c:showSerName val="0"/>
          <c:showPercent val="0"/>
          <c:showBubbleSize val="0"/>
        </c:dLbls>
        <c:gapWidth val="219"/>
        <c:overlap val="-27"/>
        <c:axId val="1475102271"/>
        <c:axId val="1475102687"/>
      </c:barChart>
      <c:dateAx>
        <c:axId val="1475102271"/>
        <c:scaling>
          <c:orientation val="minMax"/>
          <c:max val="45717"/>
          <c:min val="44256"/>
        </c:scaling>
        <c:delete val="0"/>
        <c:axPos val="b"/>
        <c:numFmt formatCode="yyyy"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5102687"/>
        <c:crosses val="autoZero"/>
        <c:auto val="1"/>
        <c:lblOffset val="100"/>
        <c:baseTimeUnit val="years"/>
      </c:dateAx>
      <c:valAx>
        <c:axId val="1475102687"/>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5102271"/>
        <c:crossesAt val="44256"/>
        <c:crossBetween val="between"/>
      </c:valAx>
      <c:spPr>
        <a:noFill/>
        <a:ln>
          <a:noFill/>
        </a:ln>
        <a:effectLst/>
      </c:spPr>
    </c:plotArea>
    <c:plotVisOnly val="1"/>
    <c:dispBlanksAs val="gap"/>
    <c:showDLblsOverMax val="0"/>
  </c:chart>
  <c:spPr>
    <a:noFill/>
    <a:ln w="9525" cap="flat" cmpd="sng" algn="ctr">
      <a:solidFill>
        <a:srgbClr val="ED1C24"/>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4.jpeg"/><Relationship Id="rId2" Type="http://schemas.openxmlformats.org/officeDocument/2006/relationships/image" Target="../media/image3.png"/><Relationship Id="rId1" Type="http://schemas.openxmlformats.org/officeDocument/2006/relationships/image" Target="../media/image2.png"/><Relationship Id="rId4" Type="http://schemas.openxmlformats.org/officeDocument/2006/relationships/image" Target="../media/image5.jpg"/></Relationships>
</file>

<file path=xl/drawings/_rels/drawing2.xml.rels><?xml version="1.0" encoding="UTF-8" standalone="yes"?>
<Relationships xmlns="http://schemas.openxmlformats.org/package/2006/relationships"><Relationship Id="rId1" Type="http://schemas.openxmlformats.org/officeDocument/2006/relationships/image" Target="../media/image6.jpg"/></Relationships>
</file>

<file path=xl/drawings/_rels/drawing3.xml.rels><?xml version="1.0" encoding="UTF-8" standalone="yes"?>
<Relationships xmlns="http://schemas.openxmlformats.org/package/2006/relationships"><Relationship Id="rId1" Type="http://schemas.openxmlformats.org/officeDocument/2006/relationships/image" Target="../media/image6.jpg"/></Relationships>
</file>

<file path=xl/drawings/_rels/drawing4.xml.rels><?xml version="1.0" encoding="UTF-8" standalone="yes"?>
<Relationships xmlns="http://schemas.openxmlformats.org/package/2006/relationships"><Relationship Id="rId1" Type="http://schemas.openxmlformats.org/officeDocument/2006/relationships/image" Target="../media/image7.png"/></Relationships>
</file>

<file path=xl/drawings/_rels/drawing5.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7.png"/><Relationship Id="rId5" Type="http://schemas.openxmlformats.org/officeDocument/2006/relationships/chart" Target="../charts/chart4.xml"/><Relationship Id="rId4" Type="http://schemas.openxmlformats.org/officeDocument/2006/relationships/chart" Target="../charts/chart3.xml"/></Relationships>
</file>

<file path=xl/drawings/_rels/drawing6.xml.rels><?xml version="1.0" encoding="UTF-8" standalone="yes"?>
<Relationships xmlns="http://schemas.openxmlformats.org/package/2006/relationships"><Relationship Id="rId1" Type="http://schemas.openxmlformats.org/officeDocument/2006/relationships/image" Target="../media/image7.png"/></Relationships>
</file>

<file path=xl/drawings/_rels/drawing7.xml.rels><?xml version="1.0" encoding="UTF-8" standalone="yes"?>
<Relationships xmlns="http://schemas.openxmlformats.org/package/2006/relationships"><Relationship Id="rId1" Type="http://schemas.openxmlformats.org/officeDocument/2006/relationships/image" Target="../media/image7.png"/></Relationships>
</file>

<file path=xl/drawings/_rels/drawing8.xml.rels><?xml version="1.0" encoding="UTF-8" standalone="yes"?>
<Relationships xmlns="http://schemas.openxmlformats.org/package/2006/relationships"><Relationship Id="rId1" Type="http://schemas.openxmlformats.org/officeDocument/2006/relationships/image" Target="../media/image7.png"/></Relationships>
</file>

<file path=xl/drawings/_rels/drawing9.xml.rels><?xml version="1.0" encoding="UTF-8" standalone="yes"?>
<Relationships xmlns="http://schemas.openxmlformats.org/package/2006/relationships"><Relationship Id="rId1" Type="http://schemas.openxmlformats.org/officeDocument/2006/relationships/image" Target="../media/image7.png"/></Relationships>
</file>

<file path=xl/drawings/_rels/drawing10.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7.png"/></Relationships>
</file>

<file path=xl/drawings/_rels/drawing12.xml.rels><?xml version="1.0" encoding="UTF-8" standalone="yes"?>
<Relationships xmlns="http://schemas.openxmlformats.org/package/2006/relationships"><Relationship Id="rId1" Type="http://schemas.openxmlformats.org/officeDocument/2006/relationships/image" Target="../media/image7.png"/></Relationships>
</file>

<file path=xl/drawings/_rels/drawing13.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1</xdr:col>
      <xdr:colOff>7620</xdr:colOff>
      <xdr:row>3</xdr:row>
      <xdr:rowOff>7620</xdr:rowOff>
    </xdr:from>
    <xdr:to>
      <xdr:col>5</xdr:col>
      <xdr:colOff>22860</xdr:colOff>
      <xdr:row>8</xdr:row>
      <xdr:rowOff>0</xdr:rowOff>
    </xdr:to>
    <xdr:pic>
      <xdr:nvPicPr>
        <xdr:cNvPr id="2" name="Picture 1"/>
        <xdr:cNvPicPr>
          <a:picLocks noChangeAspect="1"/>
        </xdr:cNvPicPr>
      </xdr:nvPicPr>
      <xdr:blipFill>
        <a:blip xmlns:r="http://schemas.openxmlformats.org/officeDocument/2006/relationships" r:embed="rId1"/>
        <a:stretch>
          <a:fillRect/>
        </a:stretch>
      </xdr:blipFill>
      <xdr:spPr>
        <a:xfrm>
          <a:off x="137160" y="190500"/>
          <a:ext cx="2453640" cy="906780"/>
        </a:xfrm>
        <a:prstGeom prst="rect">
          <a:avLst/>
        </a:prstGeom>
      </xdr:spPr>
    </xdr:pic>
    <xdr:clientData/>
  </xdr:twoCellAnchor>
  <xdr:twoCellAnchor editAs="oneCell">
    <xdr:from>
      <xdr:col>1</xdr:col>
      <xdr:colOff>53340</xdr:colOff>
      <xdr:row>25</xdr:row>
      <xdr:rowOff>45720</xdr:rowOff>
    </xdr:from>
    <xdr:to>
      <xdr:col>15</xdr:col>
      <xdr:colOff>434339</xdr:colOff>
      <xdr:row>54</xdr:row>
      <xdr:rowOff>99060</xdr:rowOff>
    </xdr:to>
    <xdr:pic>
      <xdr:nvPicPr>
        <xdr:cNvPr id="3" name="Picture 2"/>
        <xdr:cNvPicPr>
          <a:picLocks noChangeAspect="1"/>
        </xdr:cNvPicPr>
      </xdr:nvPicPr>
      <xdr:blipFill>
        <a:blip xmlns:r="http://schemas.openxmlformats.org/officeDocument/2006/relationships" r:embed="rId2"/>
        <a:stretch>
          <a:fillRect/>
        </a:stretch>
      </xdr:blipFill>
      <xdr:spPr>
        <a:xfrm>
          <a:off x="182880" y="4838700"/>
          <a:ext cx="8915399" cy="5356860"/>
        </a:xfrm>
        <a:prstGeom prst="rect">
          <a:avLst/>
        </a:prstGeom>
      </xdr:spPr>
    </xdr:pic>
    <xdr:clientData/>
  </xdr:twoCellAnchor>
  <xdr:twoCellAnchor editAs="oneCell">
    <xdr:from>
      <xdr:col>5</xdr:col>
      <xdr:colOff>160020</xdr:colOff>
      <xdr:row>5</xdr:row>
      <xdr:rowOff>15240</xdr:rowOff>
    </xdr:from>
    <xdr:to>
      <xdr:col>15</xdr:col>
      <xdr:colOff>355600</xdr:colOff>
      <xdr:row>25</xdr:row>
      <xdr:rowOff>114300</xdr:rowOff>
    </xdr:to>
    <xdr:pic>
      <xdr:nvPicPr>
        <xdr:cNvPr id="4" name="Picture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727960" y="929640"/>
          <a:ext cx="6291580" cy="3977640"/>
        </a:xfrm>
        <a:prstGeom prst="rect">
          <a:avLst/>
        </a:prstGeom>
      </xdr:spPr>
    </xdr:pic>
    <xdr:clientData/>
  </xdr:twoCellAnchor>
  <xdr:twoCellAnchor editAs="oneCell">
    <xdr:from>
      <xdr:col>1</xdr:col>
      <xdr:colOff>365760</xdr:colOff>
      <xdr:row>53</xdr:row>
      <xdr:rowOff>106680</xdr:rowOff>
    </xdr:from>
    <xdr:to>
      <xdr:col>15</xdr:col>
      <xdr:colOff>182880</xdr:colOff>
      <xdr:row>68</xdr:row>
      <xdr:rowOff>160020</xdr:rowOff>
    </xdr:to>
    <xdr:pic>
      <xdr:nvPicPr>
        <xdr:cNvPr id="5" name="Picture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495300" y="10020300"/>
          <a:ext cx="8351520" cy="27965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11</xdr:col>
      <xdr:colOff>601980</xdr:colOff>
      <xdr:row>4</xdr:row>
      <xdr:rowOff>129540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9540" y="0"/>
          <a:ext cx="6697980" cy="86106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7</xdr:col>
      <xdr:colOff>822960</xdr:colOff>
      <xdr:row>4</xdr:row>
      <xdr:rowOff>129540</xdr:rowOff>
    </xdr:to>
    <xdr:pic>
      <xdr:nvPicPr>
        <xdr:cNvPr id="4" name="Picture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9540" y="0"/>
          <a:ext cx="7642860" cy="86106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10</xdr:col>
      <xdr:colOff>1059180</xdr:colOff>
      <xdr:row>0</xdr:row>
      <xdr:rowOff>60960</xdr:rowOff>
    </xdr:from>
    <xdr:to>
      <xdr:col>11</xdr:col>
      <xdr:colOff>1143000</xdr:colOff>
      <xdr:row>5</xdr:row>
      <xdr:rowOff>129540</xdr:rowOff>
    </xdr:to>
    <xdr:pic>
      <xdr:nvPicPr>
        <xdr:cNvPr id="2" name="Picture 1" descr="File:Mrf-logo.png - Wikimedia Commons"/>
        <xdr:cNvPicPr>
          <a:picLocks noChangeAspect="1" noChangeArrowheads="1"/>
        </xdr:cNvPicPr>
      </xdr:nvPicPr>
      <xdr:blipFill>
        <a:blip xmlns:r="http://schemas.openxmlformats.org/officeDocument/2006/relationships" r:embed="rId1" cstate="hqprint">
          <a:extLst>
            <a:ext uri="{28A0092B-C50C-407E-A947-70E740481C1C}">
              <a14:useLocalDpi xmlns:a14="http://schemas.microsoft.com/office/drawing/2010/main" val="0"/>
            </a:ext>
          </a:extLst>
        </a:blip>
        <a:srcRect/>
        <a:stretch>
          <a:fillRect/>
        </a:stretch>
      </xdr:blipFill>
      <xdr:spPr bwMode="auto">
        <a:xfrm>
          <a:off x="6408420" y="60960"/>
          <a:ext cx="1234440" cy="9829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11</xdr:col>
      <xdr:colOff>241449</xdr:colOff>
      <xdr:row>0</xdr:row>
      <xdr:rowOff>46766</xdr:rowOff>
    </xdr:from>
    <xdr:to>
      <xdr:col>13</xdr:col>
      <xdr:colOff>1344</xdr:colOff>
      <xdr:row>5</xdr:row>
      <xdr:rowOff>115346</xdr:rowOff>
    </xdr:to>
    <xdr:pic>
      <xdr:nvPicPr>
        <xdr:cNvPr id="2" name="Picture 1" descr="File:Mrf-logo.png - Wikimedia Commons"/>
        <xdr:cNvPicPr>
          <a:picLocks noChangeAspect="1" noChangeArrowheads="1"/>
        </xdr:cNvPicPr>
      </xdr:nvPicPr>
      <xdr:blipFill>
        <a:blip xmlns:r="http://schemas.openxmlformats.org/officeDocument/2006/relationships" r:embed="rId1" cstate="hqprint">
          <a:extLst>
            <a:ext uri="{28A0092B-C50C-407E-A947-70E740481C1C}">
              <a14:useLocalDpi xmlns:a14="http://schemas.microsoft.com/office/drawing/2010/main" val="0"/>
            </a:ext>
          </a:extLst>
        </a:blip>
        <a:srcRect/>
        <a:stretch>
          <a:fillRect/>
        </a:stretch>
      </xdr:blipFill>
      <xdr:spPr bwMode="auto">
        <a:xfrm>
          <a:off x="8100508" y="46766"/>
          <a:ext cx="1239071" cy="9650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216647</xdr:colOff>
      <xdr:row>65</xdr:row>
      <xdr:rowOff>14942</xdr:rowOff>
    </xdr:from>
    <xdr:to>
      <xdr:col>6</xdr:col>
      <xdr:colOff>403411</xdr:colOff>
      <xdr:row>74</xdr:row>
      <xdr:rowOff>11953</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7471</xdr:colOff>
      <xdr:row>65</xdr:row>
      <xdr:rowOff>29884</xdr:rowOff>
    </xdr:from>
    <xdr:to>
      <xdr:col>12</xdr:col>
      <xdr:colOff>620059</xdr:colOff>
      <xdr:row>74</xdr:row>
      <xdr:rowOff>37355</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216646</xdr:colOff>
      <xdr:row>74</xdr:row>
      <xdr:rowOff>104588</xdr:rowOff>
    </xdr:from>
    <xdr:to>
      <xdr:col>6</xdr:col>
      <xdr:colOff>343646</xdr:colOff>
      <xdr:row>85</xdr:row>
      <xdr:rowOff>131482</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0</xdr:colOff>
      <xdr:row>74</xdr:row>
      <xdr:rowOff>104590</xdr:rowOff>
    </xdr:from>
    <xdr:to>
      <xdr:col>12</xdr:col>
      <xdr:colOff>605118</xdr:colOff>
      <xdr:row>85</xdr:row>
      <xdr:rowOff>127001</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oneCell">
    <xdr:from>
      <xdr:col>13</xdr:col>
      <xdr:colOff>434340</xdr:colOff>
      <xdr:row>0</xdr:row>
      <xdr:rowOff>22860</xdr:rowOff>
    </xdr:from>
    <xdr:to>
      <xdr:col>15</xdr:col>
      <xdr:colOff>0</xdr:colOff>
      <xdr:row>5</xdr:row>
      <xdr:rowOff>106680</xdr:rowOff>
    </xdr:to>
    <xdr:pic>
      <xdr:nvPicPr>
        <xdr:cNvPr id="3" name="Picture 2" descr="File:Mrf-logo.png - Wikimedia Commons"/>
        <xdr:cNvPicPr>
          <a:picLocks noChangeAspect="1" noChangeArrowheads="1"/>
        </xdr:cNvPicPr>
      </xdr:nvPicPr>
      <xdr:blipFill>
        <a:blip xmlns:r="http://schemas.openxmlformats.org/officeDocument/2006/relationships" r:embed="rId1" cstate="hqprint">
          <a:extLst>
            <a:ext uri="{28A0092B-C50C-407E-A947-70E740481C1C}">
              <a14:useLocalDpi xmlns:a14="http://schemas.microsoft.com/office/drawing/2010/main" val="0"/>
            </a:ext>
          </a:extLst>
        </a:blip>
        <a:srcRect/>
        <a:stretch>
          <a:fillRect/>
        </a:stretch>
      </xdr:blipFill>
      <xdr:spPr bwMode="auto">
        <a:xfrm>
          <a:off x="9479280" y="22860"/>
          <a:ext cx="1234440" cy="9829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8</xdr:col>
      <xdr:colOff>373380</xdr:colOff>
      <xdr:row>0</xdr:row>
      <xdr:rowOff>53340</xdr:rowOff>
    </xdr:from>
    <xdr:to>
      <xdr:col>10</xdr:col>
      <xdr:colOff>5080</xdr:colOff>
      <xdr:row>5</xdr:row>
      <xdr:rowOff>167640</xdr:rowOff>
    </xdr:to>
    <xdr:pic>
      <xdr:nvPicPr>
        <xdr:cNvPr id="3" name="Picture 2" descr="File:Mrf-logo.png - Wikimedia Commons"/>
        <xdr:cNvPicPr>
          <a:picLocks noChangeAspect="1" noChangeArrowheads="1"/>
        </xdr:cNvPicPr>
      </xdr:nvPicPr>
      <xdr:blipFill>
        <a:blip xmlns:r="http://schemas.openxmlformats.org/officeDocument/2006/relationships" r:embed="rId1" cstate="hqprint">
          <a:extLst>
            <a:ext uri="{28A0092B-C50C-407E-A947-70E740481C1C}">
              <a14:useLocalDpi xmlns:a14="http://schemas.microsoft.com/office/drawing/2010/main" val="0"/>
            </a:ext>
          </a:extLst>
        </a:blip>
        <a:srcRect/>
        <a:stretch>
          <a:fillRect/>
        </a:stretch>
      </xdr:blipFill>
      <xdr:spPr bwMode="auto">
        <a:xfrm>
          <a:off x="6339840" y="53340"/>
          <a:ext cx="1285240" cy="12115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9</xdr:col>
      <xdr:colOff>68580</xdr:colOff>
      <xdr:row>0</xdr:row>
      <xdr:rowOff>30480</xdr:rowOff>
    </xdr:from>
    <xdr:to>
      <xdr:col>10</xdr:col>
      <xdr:colOff>0</xdr:colOff>
      <xdr:row>5</xdr:row>
      <xdr:rowOff>30480</xdr:rowOff>
    </xdr:to>
    <xdr:pic>
      <xdr:nvPicPr>
        <xdr:cNvPr id="4" name="Picture 3" descr="File:Mrf-logo.png - Wikimedia Commons"/>
        <xdr:cNvPicPr>
          <a:picLocks noChangeAspect="1" noChangeArrowheads="1"/>
        </xdr:cNvPicPr>
      </xdr:nvPicPr>
      <xdr:blipFill>
        <a:blip xmlns:r="http://schemas.openxmlformats.org/officeDocument/2006/relationships" r:embed="rId1" cstate="hqprint">
          <a:extLst>
            <a:ext uri="{28A0092B-C50C-407E-A947-70E740481C1C}">
              <a14:useLocalDpi xmlns:a14="http://schemas.microsoft.com/office/drawing/2010/main" val="0"/>
            </a:ext>
          </a:extLst>
        </a:blip>
        <a:srcRect/>
        <a:stretch>
          <a:fillRect/>
        </a:stretch>
      </xdr:blipFill>
      <xdr:spPr bwMode="auto">
        <a:xfrm>
          <a:off x="7368540" y="30480"/>
          <a:ext cx="1249680" cy="10210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9</xdr:col>
      <xdr:colOff>579120</xdr:colOff>
      <xdr:row>0</xdr:row>
      <xdr:rowOff>53340</xdr:rowOff>
    </xdr:from>
    <xdr:to>
      <xdr:col>12</xdr:col>
      <xdr:colOff>0</xdr:colOff>
      <xdr:row>5</xdr:row>
      <xdr:rowOff>167640</xdr:rowOff>
    </xdr:to>
    <xdr:pic>
      <xdr:nvPicPr>
        <xdr:cNvPr id="3" name="Picture 2" descr="File:Mrf-logo.png - Wikimedia Commons"/>
        <xdr:cNvPicPr>
          <a:picLocks noChangeAspect="1" noChangeArrowheads="1"/>
        </xdr:cNvPicPr>
      </xdr:nvPicPr>
      <xdr:blipFill>
        <a:blip xmlns:r="http://schemas.openxmlformats.org/officeDocument/2006/relationships" r:embed="rId1" cstate="hqprint">
          <a:extLst>
            <a:ext uri="{28A0092B-C50C-407E-A947-70E740481C1C}">
              <a14:useLocalDpi xmlns:a14="http://schemas.microsoft.com/office/drawing/2010/main" val="0"/>
            </a:ext>
          </a:extLst>
        </a:blip>
        <a:srcRect/>
        <a:stretch>
          <a:fillRect/>
        </a:stretch>
      </xdr:blipFill>
      <xdr:spPr bwMode="auto">
        <a:xfrm>
          <a:off x="5867400" y="53340"/>
          <a:ext cx="1249680" cy="1028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9</xdr:col>
      <xdr:colOff>243840</xdr:colOff>
      <xdr:row>0</xdr:row>
      <xdr:rowOff>76200</xdr:rowOff>
    </xdr:from>
    <xdr:to>
      <xdr:col>10</xdr:col>
      <xdr:colOff>601980</xdr:colOff>
      <xdr:row>5</xdr:row>
      <xdr:rowOff>144780</xdr:rowOff>
    </xdr:to>
    <xdr:pic>
      <xdr:nvPicPr>
        <xdr:cNvPr id="2" name="Picture 1" descr="File:Mrf-logo.png - Wikimedia Commons"/>
        <xdr:cNvPicPr>
          <a:picLocks noChangeAspect="1" noChangeArrowheads="1"/>
        </xdr:cNvPicPr>
      </xdr:nvPicPr>
      <xdr:blipFill>
        <a:blip xmlns:r="http://schemas.openxmlformats.org/officeDocument/2006/relationships" r:embed="rId1" cstate="hqprint">
          <a:extLst>
            <a:ext uri="{28A0092B-C50C-407E-A947-70E740481C1C}">
              <a14:useLocalDpi xmlns:a14="http://schemas.microsoft.com/office/drawing/2010/main" val="0"/>
            </a:ext>
          </a:extLst>
        </a:blip>
        <a:srcRect/>
        <a:stretch>
          <a:fillRect/>
        </a:stretch>
      </xdr:blipFill>
      <xdr:spPr bwMode="auto">
        <a:xfrm>
          <a:off x="6080760" y="76200"/>
          <a:ext cx="1234440" cy="9829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48</xdr:row>
      <xdr:rowOff>76200</xdr:rowOff>
    </xdr:from>
    <xdr:to>
      <xdr:col>6</xdr:col>
      <xdr:colOff>152400</xdr:colOff>
      <xdr:row>56</xdr:row>
      <xdr:rowOff>91440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358140</xdr:colOff>
      <xdr:row>48</xdr:row>
      <xdr:rowOff>68580</xdr:rowOff>
    </xdr:from>
    <xdr:to>
      <xdr:col>10</xdr:col>
      <xdr:colOff>609600</xdr:colOff>
      <xdr:row>56</xdr:row>
      <xdr:rowOff>91440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editAs="oneCell">
    <xdr:from>
      <xdr:col>9</xdr:col>
      <xdr:colOff>251460</xdr:colOff>
      <xdr:row>0</xdr:row>
      <xdr:rowOff>83820</xdr:rowOff>
    </xdr:from>
    <xdr:to>
      <xdr:col>11</xdr:col>
      <xdr:colOff>7620</xdr:colOff>
      <xdr:row>5</xdr:row>
      <xdr:rowOff>152400</xdr:rowOff>
    </xdr:to>
    <xdr:pic>
      <xdr:nvPicPr>
        <xdr:cNvPr id="2" name="Picture 1" descr="File:Mrf-logo.png - Wikimedia Commons"/>
        <xdr:cNvPicPr>
          <a:picLocks noChangeAspect="1" noChangeArrowheads="1"/>
        </xdr:cNvPicPr>
      </xdr:nvPicPr>
      <xdr:blipFill>
        <a:blip xmlns:r="http://schemas.openxmlformats.org/officeDocument/2006/relationships" r:embed="rId1" cstate="hqprint">
          <a:extLst>
            <a:ext uri="{28A0092B-C50C-407E-A947-70E740481C1C}">
              <a14:useLocalDpi xmlns:a14="http://schemas.microsoft.com/office/drawing/2010/main" val="0"/>
            </a:ext>
          </a:extLst>
        </a:blip>
        <a:srcRect/>
        <a:stretch>
          <a:fillRect/>
        </a:stretch>
      </xdr:blipFill>
      <xdr:spPr bwMode="auto">
        <a:xfrm>
          <a:off x="6294120" y="83820"/>
          <a:ext cx="1234440" cy="9829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9</xdr:col>
      <xdr:colOff>513748</xdr:colOff>
      <xdr:row>0</xdr:row>
      <xdr:rowOff>85023</xdr:rowOff>
    </xdr:from>
    <xdr:to>
      <xdr:col>10</xdr:col>
      <xdr:colOff>873893</xdr:colOff>
      <xdr:row>5</xdr:row>
      <xdr:rowOff>153603</xdr:rowOff>
    </xdr:to>
    <xdr:pic>
      <xdr:nvPicPr>
        <xdr:cNvPr id="2" name="Picture 1" descr="File:Mrf-logo.png - Wikimedia Commons"/>
        <xdr:cNvPicPr>
          <a:picLocks noChangeAspect="1" noChangeArrowheads="1"/>
        </xdr:cNvPicPr>
      </xdr:nvPicPr>
      <xdr:blipFill>
        <a:blip xmlns:r="http://schemas.openxmlformats.org/officeDocument/2006/relationships" r:embed="rId1" cstate="hqprint">
          <a:extLst>
            <a:ext uri="{28A0092B-C50C-407E-A947-70E740481C1C}">
              <a14:useLocalDpi xmlns:a14="http://schemas.microsoft.com/office/drawing/2010/main" val="0"/>
            </a:ext>
          </a:extLst>
        </a:blip>
        <a:srcRect/>
        <a:stretch>
          <a:fillRect/>
        </a:stretch>
      </xdr:blipFill>
      <xdr:spPr bwMode="auto">
        <a:xfrm>
          <a:off x="6312969" y="85023"/>
          <a:ext cx="1234440" cy="99100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9</xdr:col>
      <xdr:colOff>650908</xdr:colOff>
      <xdr:row>0</xdr:row>
      <xdr:rowOff>77403</xdr:rowOff>
    </xdr:from>
    <xdr:to>
      <xdr:col>11</xdr:col>
      <xdr:colOff>2673</xdr:colOff>
      <xdr:row>5</xdr:row>
      <xdr:rowOff>115503</xdr:rowOff>
    </xdr:to>
    <xdr:pic>
      <xdr:nvPicPr>
        <xdr:cNvPr id="2" name="Picture 1" descr="File:Mrf-logo.png - Wikimedia Commons"/>
        <xdr:cNvPicPr>
          <a:picLocks noChangeAspect="1" noChangeArrowheads="1"/>
        </xdr:cNvPicPr>
      </xdr:nvPicPr>
      <xdr:blipFill>
        <a:blip xmlns:r="http://schemas.openxmlformats.org/officeDocument/2006/relationships" r:embed="rId1" cstate="hqprint">
          <a:extLst>
            <a:ext uri="{28A0092B-C50C-407E-A947-70E740481C1C}">
              <a14:useLocalDpi xmlns:a14="http://schemas.microsoft.com/office/drawing/2010/main" val="0"/>
            </a:ext>
          </a:extLst>
        </a:blip>
        <a:srcRect/>
        <a:stretch>
          <a:fillRect/>
        </a:stretch>
      </xdr:blipFill>
      <xdr:spPr bwMode="auto">
        <a:xfrm>
          <a:off x="8339488" y="77403"/>
          <a:ext cx="1236445" cy="9829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User/Downloads/K%20E%20C%20Intl%20Automated%20FCFF%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CF &gt;"/>
      <sheetName val="WACC"/>
      <sheetName val="Intrensic Growth"/>
      <sheetName val="FCFF"/>
      <sheetName val="Financials &gt;"/>
      <sheetName val="Historical FS"/>
      <sheetName val="Ratio Analysis"/>
      <sheetName val="Forecasting"/>
      <sheetName val="Data &gt;"/>
      <sheetName val="Raw Balance Sheet"/>
      <sheetName val="Data Sheet"/>
      <sheetName val="Raw Cash Flow"/>
      <sheetName val="Rm"/>
    </sheetNames>
    <sheetDataSet>
      <sheetData sheetId="0" refreshError="1"/>
      <sheetData sheetId="1" refreshError="1"/>
      <sheetData sheetId="2" refreshError="1"/>
      <sheetData sheetId="3" refreshError="1"/>
      <sheetData sheetId="4" refreshError="1"/>
      <sheetData sheetId="5">
        <row r="7">
          <cell r="H7">
            <v>44286</v>
          </cell>
          <cell r="I7">
            <v>44651</v>
          </cell>
          <cell r="J7">
            <v>45016</v>
          </cell>
          <cell r="K7">
            <v>45382</v>
          </cell>
          <cell r="L7">
            <v>45747</v>
          </cell>
        </row>
      </sheetData>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3" Type="http://schemas.openxmlformats.org/officeDocument/2006/relationships/hyperlink" Target="https://www.screener.in/company/APOLLOTYRE/consolidated/" TargetMode="External"/><Relationship Id="rId7" Type="http://schemas.openxmlformats.org/officeDocument/2006/relationships/hyperlink" Target="https://www.screener.in/company/GOODYEAR/" TargetMode="External"/><Relationship Id="rId2" Type="http://schemas.openxmlformats.org/officeDocument/2006/relationships/hyperlink" Target="https://www.screener.in/company/BALKRISIND/consolidated/" TargetMode="External"/><Relationship Id="rId1" Type="http://schemas.openxmlformats.org/officeDocument/2006/relationships/hyperlink" Target="https://www.screener.in/company/MRF/consolidated/" TargetMode="External"/><Relationship Id="rId6" Type="http://schemas.openxmlformats.org/officeDocument/2006/relationships/hyperlink" Target="https://www.screener.in/company/TVSSRICHAK/consolidated/" TargetMode="External"/><Relationship Id="rId5" Type="http://schemas.openxmlformats.org/officeDocument/2006/relationships/hyperlink" Target="https://www.screener.in/company/JKTYRE/consolidated/" TargetMode="External"/><Relationship Id="rId4" Type="http://schemas.openxmlformats.org/officeDocument/2006/relationships/hyperlink" Target="https://www.screener.in/company/CEATLTD/consolidated/"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s://www.screener.in/exce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www.screener.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70"/>
  <sheetViews>
    <sheetView showGridLines="0" tabSelected="1" topLeftCell="A41" zoomScaleNormal="100" workbookViewId="0">
      <selection activeCell="B2" sqref="B2:P70"/>
    </sheetView>
  </sheetViews>
  <sheetFormatPr defaultRowHeight="14.4" x14ac:dyDescent="0.3"/>
  <cols>
    <col min="1" max="1" width="1.88671875" customWidth="1"/>
  </cols>
  <sheetData>
    <row r="2" spans="2:16" s="484" customFormat="1" x14ac:dyDescent="0.3">
      <c r="B2" s="100"/>
      <c r="C2" s="100"/>
      <c r="D2" s="100"/>
      <c r="E2" s="100"/>
      <c r="F2" s="100"/>
      <c r="G2" s="100"/>
      <c r="H2" s="100"/>
      <c r="I2" s="100"/>
      <c r="J2" s="100"/>
      <c r="K2" s="100"/>
      <c r="L2" s="100"/>
      <c r="M2" s="100"/>
      <c r="N2" s="100"/>
      <c r="O2" s="100"/>
      <c r="P2" s="100"/>
    </row>
    <row r="3" spans="2:16" s="484" customFormat="1" x14ac:dyDescent="0.3"/>
    <row r="10" spans="2:16" s="484" customFormat="1" x14ac:dyDescent="0.3"/>
    <row r="11" spans="2:16" ht="18" x14ac:dyDescent="0.35">
      <c r="B11" s="506" t="s">
        <v>449</v>
      </c>
    </row>
    <row r="13" spans="2:16" ht="15" customHeight="1" x14ac:dyDescent="0.3">
      <c r="B13" s="478" t="s">
        <v>450</v>
      </c>
      <c r="C13" s="13"/>
    </row>
    <row r="14" spans="2:16" ht="15.6" x14ac:dyDescent="0.3">
      <c r="B14" s="478" t="s">
        <v>451</v>
      </c>
      <c r="C14" s="13"/>
    </row>
    <row r="15" spans="2:16" ht="15.6" x14ac:dyDescent="0.3">
      <c r="B15" s="478" t="s">
        <v>452</v>
      </c>
      <c r="C15" s="13"/>
    </row>
    <row r="16" spans="2:16" ht="15.6" x14ac:dyDescent="0.3">
      <c r="B16" s="478" t="s">
        <v>453</v>
      </c>
      <c r="C16" s="13"/>
    </row>
    <row r="17" spans="2:3" ht="15.6" x14ac:dyDescent="0.3">
      <c r="B17" s="478" t="s">
        <v>454</v>
      </c>
      <c r="C17" s="13"/>
    </row>
    <row r="18" spans="2:3" ht="15.6" x14ac:dyDescent="0.3">
      <c r="B18" s="478" t="s">
        <v>147</v>
      </c>
      <c r="C18" s="13"/>
    </row>
    <row r="19" spans="2:3" ht="15.6" x14ac:dyDescent="0.3">
      <c r="B19" s="478" t="s">
        <v>189</v>
      </c>
      <c r="C19" s="13"/>
    </row>
    <row r="20" spans="2:3" ht="15.6" x14ac:dyDescent="0.3">
      <c r="B20" s="478" t="s">
        <v>455</v>
      </c>
      <c r="C20" s="13"/>
    </row>
    <row r="21" spans="2:3" ht="15.6" x14ac:dyDescent="0.3">
      <c r="B21" s="478" t="s">
        <v>456</v>
      </c>
      <c r="C21" s="13"/>
    </row>
    <row r="22" spans="2:3" ht="15.6" x14ac:dyDescent="0.3">
      <c r="B22" s="478" t="s">
        <v>457</v>
      </c>
      <c r="C22" s="13"/>
    </row>
    <row r="23" spans="2:3" ht="15.6" x14ac:dyDescent="0.3">
      <c r="B23" s="478" t="s">
        <v>458</v>
      </c>
      <c r="C23" s="13"/>
    </row>
    <row r="24" spans="2:3" ht="15.6" x14ac:dyDescent="0.3">
      <c r="B24" s="478" t="s">
        <v>459</v>
      </c>
      <c r="C24" s="13"/>
    </row>
    <row r="44" spans="2:16" x14ac:dyDescent="0.3">
      <c r="B44" s="101"/>
      <c r="C44" s="101"/>
      <c r="D44" s="101"/>
      <c r="E44" s="101"/>
      <c r="F44" s="101"/>
      <c r="G44" s="101"/>
      <c r="H44" s="101"/>
      <c r="I44" s="101"/>
      <c r="J44" s="101"/>
      <c r="K44" s="101"/>
      <c r="L44" s="101"/>
      <c r="M44" s="101"/>
      <c r="N44" s="101"/>
      <c r="O44" s="101"/>
      <c r="P44" s="101"/>
    </row>
    <row r="56" spans="2:16" x14ac:dyDescent="0.3">
      <c r="B56" s="101"/>
      <c r="C56" s="101"/>
      <c r="D56" s="101"/>
      <c r="E56" s="101"/>
      <c r="F56" s="101"/>
      <c r="G56" s="101"/>
      <c r="H56" s="101"/>
      <c r="I56" s="101"/>
      <c r="J56" s="101"/>
      <c r="K56" s="101"/>
      <c r="L56" s="101"/>
      <c r="M56" s="101"/>
      <c r="N56" s="101"/>
      <c r="O56" s="101"/>
      <c r="P56" s="101"/>
    </row>
    <row r="70" spans="2:16" x14ac:dyDescent="0.3">
      <c r="B70" s="100"/>
      <c r="C70" s="100"/>
      <c r="D70" s="100"/>
      <c r="E70" s="100"/>
      <c r="F70" s="100"/>
      <c r="G70" s="100"/>
      <c r="H70" s="100"/>
      <c r="I70" s="100"/>
      <c r="J70" s="100"/>
      <c r="K70" s="100"/>
      <c r="L70" s="100"/>
      <c r="M70" s="100"/>
      <c r="N70" s="100"/>
      <c r="O70" s="100"/>
      <c r="P70" s="100"/>
    </row>
  </sheetData>
  <pageMargins left="0.7" right="0.7" top="0.75" bottom="0.75" header="0.3" footer="0.3"/>
  <pageSetup scale="66"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6:BD48"/>
  <sheetViews>
    <sheetView showGridLines="0" topLeftCell="A21" zoomScaleNormal="100" workbookViewId="0">
      <selection activeCell="P48" sqref="P48"/>
    </sheetView>
  </sheetViews>
  <sheetFormatPr defaultRowHeight="14.4" x14ac:dyDescent="0.3"/>
  <cols>
    <col min="1" max="1" width="1.88671875" customWidth="1"/>
  </cols>
  <sheetData>
    <row r="6" spans="2:48" x14ac:dyDescent="0.3">
      <c r="B6" s="63" t="s">
        <v>230</v>
      </c>
    </row>
    <row r="7" spans="2:48" ht="6" customHeight="1" x14ac:dyDescent="0.3"/>
    <row r="8" spans="2:48" ht="99.6" customHeight="1" x14ac:dyDescent="0.3">
      <c r="B8" s="519" t="s">
        <v>231</v>
      </c>
      <c r="C8" s="519"/>
      <c r="D8" s="519"/>
      <c r="E8" s="519"/>
      <c r="F8" s="519"/>
      <c r="G8" s="519"/>
      <c r="H8" s="519"/>
      <c r="I8" s="519"/>
      <c r="J8" s="519"/>
      <c r="K8" s="519"/>
      <c r="L8" s="519"/>
    </row>
    <row r="9" spans="2:48" ht="2.4" hidden="1" customHeight="1" x14ac:dyDescent="0.3"/>
    <row r="10" spans="2:48" ht="15" customHeight="1" x14ac:dyDescent="0.3">
      <c r="B10" s="518" t="s">
        <v>232</v>
      </c>
      <c r="C10" s="519"/>
      <c r="D10" s="519"/>
      <c r="E10" s="519"/>
      <c r="F10" s="519"/>
      <c r="G10" s="519"/>
      <c r="H10" s="519"/>
      <c r="I10" s="519"/>
      <c r="J10" s="519"/>
      <c r="K10" s="519"/>
      <c r="L10" s="519"/>
      <c r="M10" s="62"/>
      <c r="N10" s="62"/>
      <c r="O10" s="62"/>
      <c r="P10" s="62"/>
      <c r="Q10" s="62"/>
      <c r="R10" s="62"/>
      <c r="S10" s="62"/>
      <c r="T10" s="62"/>
      <c r="U10" s="62"/>
      <c r="V10" s="62"/>
      <c r="W10" s="62"/>
      <c r="X10" s="62"/>
      <c r="Y10" s="62"/>
      <c r="Z10" s="62"/>
      <c r="AA10" s="62"/>
      <c r="AB10" s="62"/>
      <c r="AC10" s="62"/>
      <c r="AD10" s="62"/>
      <c r="AE10" s="62"/>
      <c r="AF10" s="62"/>
      <c r="AG10" s="62"/>
      <c r="AH10" s="62"/>
      <c r="AI10" s="62"/>
      <c r="AJ10" s="62"/>
      <c r="AK10" s="62"/>
      <c r="AL10" s="62"/>
      <c r="AM10" s="62"/>
      <c r="AN10" s="62"/>
      <c r="AO10" s="62"/>
      <c r="AP10" s="62"/>
      <c r="AQ10" s="62"/>
      <c r="AR10" s="62"/>
      <c r="AS10" s="62"/>
      <c r="AT10" s="62"/>
      <c r="AU10" s="62"/>
      <c r="AV10" s="62"/>
    </row>
    <row r="11" spans="2:48" ht="0.6" customHeight="1" x14ac:dyDescent="0.3">
      <c r="B11" s="517"/>
      <c r="C11" s="517"/>
      <c r="D11" s="517"/>
      <c r="E11" s="517"/>
      <c r="F11" s="517"/>
      <c r="G11" s="517"/>
      <c r="H11" s="517"/>
      <c r="I11" s="517"/>
      <c r="J11" s="517"/>
      <c r="K11" s="517"/>
      <c r="L11" s="517"/>
      <c r="M11" s="62"/>
      <c r="N11" s="62"/>
      <c r="O11" s="62"/>
      <c r="P11" s="62"/>
      <c r="Q11" s="62"/>
      <c r="R11" s="62"/>
      <c r="S11" s="62"/>
      <c r="T11" s="62"/>
      <c r="U11" s="62"/>
      <c r="V11" s="62"/>
      <c r="W11" s="62"/>
      <c r="X11" s="62"/>
      <c r="Y11" s="62"/>
      <c r="Z11" s="62"/>
      <c r="AA11" s="62"/>
      <c r="AB11" s="62"/>
      <c r="AC11" s="62"/>
      <c r="AD11" s="62"/>
      <c r="AE11" s="62"/>
      <c r="AF11" s="62"/>
      <c r="AG11" s="62"/>
      <c r="AH11" s="62"/>
      <c r="AI11" s="62"/>
      <c r="AJ11" s="62"/>
      <c r="AK11" s="62"/>
      <c r="AL11" s="62"/>
      <c r="AM11" s="62"/>
      <c r="AN11" s="62"/>
      <c r="AO11" s="62"/>
      <c r="AP11" s="62"/>
      <c r="AQ11" s="62"/>
      <c r="AR11" s="62"/>
      <c r="AS11" s="62"/>
      <c r="AT11" s="62"/>
      <c r="AU11" s="62"/>
      <c r="AV11" s="62"/>
    </row>
    <row r="12" spans="2:48" ht="57" customHeight="1" x14ac:dyDescent="0.3">
      <c r="B12" s="520" t="s">
        <v>233</v>
      </c>
      <c r="C12" s="520"/>
      <c r="D12" s="520"/>
      <c r="E12" s="520"/>
      <c r="F12" s="520"/>
      <c r="G12" s="520"/>
      <c r="H12" s="520"/>
      <c r="I12" s="520"/>
      <c r="J12" s="520"/>
      <c r="K12" s="520"/>
      <c r="L12" s="520"/>
      <c r="M12" s="62"/>
      <c r="N12" s="62"/>
      <c r="O12" s="62"/>
      <c r="P12" s="62"/>
      <c r="Q12" s="62"/>
      <c r="R12" s="62"/>
      <c r="S12" s="62"/>
      <c r="T12" s="62"/>
      <c r="U12" s="62"/>
      <c r="V12" s="62"/>
      <c r="W12" s="62"/>
      <c r="X12" s="62"/>
      <c r="Y12" s="62"/>
      <c r="Z12" s="62"/>
      <c r="AA12" s="62"/>
      <c r="AB12" s="62"/>
      <c r="AC12" s="62"/>
      <c r="AD12" s="62"/>
      <c r="AE12" s="62"/>
      <c r="AF12" s="62"/>
      <c r="AG12" s="62"/>
      <c r="AH12" s="62"/>
      <c r="AI12" s="62"/>
      <c r="AJ12" s="62"/>
      <c r="AK12" s="62"/>
      <c r="AL12" s="62"/>
      <c r="AM12" s="62"/>
      <c r="AN12" s="62"/>
      <c r="AO12" s="62"/>
      <c r="AP12" s="62"/>
      <c r="AQ12" s="62"/>
      <c r="AR12" s="62"/>
      <c r="AS12" s="62"/>
      <c r="AT12" s="62"/>
      <c r="AU12" s="62"/>
      <c r="AV12" s="62"/>
    </row>
    <row r="13" spans="2:48" ht="6" customHeight="1" x14ac:dyDescent="0.3">
      <c r="B13" s="520"/>
      <c r="C13" s="520"/>
      <c r="D13" s="520"/>
      <c r="E13" s="520"/>
      <c r="F13" s="520"/>
      <c r="G13" s="520"/>
      <c r="H13" s="520"/>
      <c r="I13" s="520"/>
      <c r="J13" s="520"/>
      <c r="K13" s="520"/>
      <c r="L13" s="520"/>
      <c r="M13" s="62"/>
      <c r="N13" s="62"/>
      <c r="O13" s="62"/>
      <c r="P13" s="62"/>
      <c r="Q13" s="62"/>
      <c r="R13" s="62"/>
      <c r="S13" s="62"/>
      <c r="T13" s="62"/>
      <c r="U13" s="62"/>
      <c r="V13" s="62"/>
      <c r="W13" s="62"/>
      <c r="X13" s="62"/>
      <c r="Y13" s="62"/>
      <c r="Z13" s="62"/>
      <c r="AA13" s="62"/>
      <c r="AB13" s="62"/>
      <c r="AC13" s="62"/>
      <c r="AD13" s="62"/>
      <c r="AE13" s="62"/>
      <c r="AF13" s="62"/>
      <c r="AG13" s="62"/>
      <c r="AH13" s="62"/>
      <c r="AI13" s="62"/>
      <c r="AJ13" s="62"/>
      <c r="AK13" s="62"/>
      <c r="AL13" s="62"/>
      <c r="AM13" s="62"/>
      <c r="AN13" s="62"/>
      <c r="AO13" s="62"/>
      <c r="AP13" s="62"/>
      <c r="AQ13" s="62"/>
      <c r="AR13" s="62"/>
      <c r="AS13" s="62"/>
      <c r="AT13" s="62"/>
      <c r="AU13" s="62"/>
      <c r="AV13" s="62"/>
    </row>
    <row r="14" spans="2:48" ht="42" customHeight="1" x14ac:dyDescent="0.3">
      <c r="B14" s="520" t="s">
        <v>234</v>
      </c>
      <c r="C14" s="520"/>
      <c r="D14" s="520"/>
      <c r="E14" s="520"/>
      <c r="F14" s="520"/>
      <c r="G14" s="520"/>
      <c r="H14" s="520"/>
      <c r="I14" s="520"/>
      <c r="J14" s="520"/>
      <c r="K14" s="520"/>
      <c r="L14" s="520"/>
      <c r="M14" s="62"/>
      <c r="N14" s="62"/>
      <c r="O14" s="62"/>
      <c r="P14" s="62"/>
      <c r="Q14" s="62"/>
      <c r="R14" s="62"/>
      <c r="S14" s="62"/>
      <c r="T14" s="62"/>
      <c r="U14" s="62"/>
      <c r="V14" s="62"/>
      <c r="W14" s="62"/>
      <c r="X14" s="62"/>
      <c r="Y14" s="62"/>
      <c r="Z14" s="62"/>
      <c r="AA14" s="62"/>
      <c r="AB14" s="62"/>
      <c r="AC14" s="62"/>
      <c r="AD14" s="62"/>
      <c r="AE14" s="62"/>
      <c r="AF14" s="62"/>
      <c r="AG14" s="62"/>
      <c r="AH14" s="62"/>
      <c r="AI14" s="62"/>
      <c r="AJ14" s="62"/>
      <c r="AK14" s="62"/>
      <c r="AL14" s="62"/>
      <c r="AM14" s="62"/>
      <c r="AN14" s="62"/>
      <c r="AO14" s="62"/>
      <c r="AP14" s="62"/>
      <c r="AQ14" s="62"/>
      <c r="AR14" s="62"/>
      <c r="AS14" s="62"/>
      <c r="AT14" s="62"/>
      <c r="AU14" s="62"/>
      <c r="AV14" s="62"/>
    </row>
    <row r="15" spans="2:48" ht="3" customHeight="1" x14ac:dyDescent="0.3">
      <c r="B15" s="62"/>
      <c r="C15" s="62"/>
      <c r="D15" s="62"/>
      <c r="E15" s="62"/>
      <c r="F15" s="62"/>
      <c r="G15" s="62"/>
      <c r="H15" s="62"/>
      <c r="I15" s="62"/>
      <c r="J15" s="62"/>
      <c r="K15" s="62"/>
      <c r="L15" s="62"/>
    </row>
    <row r="16" spans="2:48" ht="16.2" customHeight="1" x14ac:dyDescent="0.3">
      <c r="B16" s="519" t="s">
        <v>235</v>
      </c>
      <c r="C16" s="519"/>
      <c r="D16" s="519"/>
      <c r="E16" s="519"/>
      <c r="F16" s="519"/>
      <c r="G16" s="519"/>
      <c r="H16" s="519"/>
      <c r="I16" s="519"/>
      <c r="J16" s="519"/>
      <c r="K16" s="519"/>
      <c r="L16" s="519"/>
      <c r="M16" s="62"/>
      <c r="N16" s="62"/>
      <c r="O16" s="62"/>
      <c r="P16" s="62"/>
      <c r="Q16" s="62"/>
      <c r="R16" s="62"/>
    </row>
    <row r="17" spans="2:22" hidden="1" x14ac:dyDescent="0.3">
      <c r="B17" s="520"/>
      <c r="C17" s="520"/>
      <c r="D17" s="520"/>
      <c r="E17" s="520"/>
      <c r="F17" s="520"/>
      <c r="G17" s="520"/>
      <c r="H17" s="520"/>
      <c r="I17" s="520"/>
      <c r="J17" s="520"/>
      <c r="K17" s="520"/>
      <c r="L17" s="520"/>
      <c r="M17" s="62"/>
      <c r="N17" s="62"/>
      <c r="O17" s="62"/>
      <c r="P17" s="62"/>
      <c r="Q17" s="62"/>
      <c r="R17" s="62"/>
    </row>
    <row r="18" spans="2:22" ht="27.6" customHeight="1" x14ac:dyDescent="0.3">
      <c r="B18" s="520" t="s">
        <v>236</v>
      </c>
      <c r="C18" s="520"/>
      <c r="D18" s="520"/>
      <c r="E18" s="520"/>
      <c r="F18" s="520"/>
      <c r="G18" s="520"/>
      <c r="H18" s="520"/>
      <c r="I18" s="520"/>
      <c r="J18" s="520"/>
      <c r="K18" s="520"/>
      <c r="L18" s="520"/>
      <c r="M18" s="62"/>
      <c r="N18" s="62"/>
      <c r="O18" s="62"/>
      <c r="P18" s="62"/>
      <c r="Q18" s="62"/>
      <c r="R18" s="62"/>
    </row>
    <row r="19" spans="2:22" ht="3.6" hidden="1" customHeight="1" x14ac:dyDescent="0.3">
      <c r="B19" s="521"/>
      <c r="C19" s="521"/>
      <c r="D19" s="521"/>
      <c r="E19" s="521"/>
      <c r="F19" s="521"/>
      <c r="G19" s="521"/>
      <c r="H19" s="521"/>
      <c r="I19" s="521"/>
      <c r="J19" s="521"/>
      <c r="K19" s="521"/>
      <c r="L19" s="521"/>
      <c r="M19" s="62"/>
      <c r="N19" s="62"/>
      <c r="O19" s="62"/>
      <c r="P19" s="62"/>
      <c r="Q19" s="62"/>
      <c r="R19" s="62"/>
    </row>
    <row r="20" spans="2:22" ht="16.8" customHeight="1" x14ac:dyDescent="0.3">
      <c r="B20" s="518" t="s">
        <v>246</v>
      </c>
      <c r="C20" s="518"/>
      <c r="D20" s="518"/>
      <c r="E20" s="518"/>
      <c r="F20" s="518"/>
      <c r="G20" s="518"/>
      <c r="H20" s="518"/>
      <c r="I20" s="518"/>
      <c r="J20" s="518"/>
      <c r="K20" s="518"/>
      <c r="L20" s="518"/>
      <c r="M20" s="62"/>
      <c r="N20" s="62"/>
      <c r="O20" s="62"/>
      <c r="P20" s="62"/>
      <c r="Q20" s="62"/>
      <c r="R20" s="62"/>
    </row>
    <row r="21" spans="2:22" ht="1.2" customHeight="1" x14ac:dyDescent="0.3">
      <c r="B21" s="521"/>
      <c r="C21" s="521"/>
      <c r="D21" s="521"/>
      <c r="E21" s="521"/>
      <c r="F21" s="521"/>
      <c r="G21" s="521"/>
      <c r="H21" s="521"/>
      <c r="I21" s="521"/>
      <c r="J21" s="521"/>
      <c r="K21" s="521"/>
      <c r="L21" s="521"/>
      <c r="M21" s="62"/>
      <c r="N21" s="62"/>
      <c r="O21" s="62"/>
      <c r="P21" s="62"/>
      <c r="Q21" s="62"/>
      <c r="R21" s="62"/>
    </row>
    <row r="22" spans="2:22" ht="27.6" customHeight="1" x14ac:dyDescent="0.3">
      <c r="B22" s="518" t="s">
        <v>247</v>
      </c>
      <c r="C22" s="518"/>
      <c r="D22" s="518"/>
      <c r="E22" s="518"/>
      <c r="F22" s="518"/>
      <c r="G22" s="518"/>
      <c r="H22" s="518"/>
      <c r="I22" s="518"/>
      <c r="J22" s="518"/>
      <c r="K22" s="518"/>
      <c r="L22" s="518"/>
      <c r="M22" s="62"/>
      <c r="N22" s="62"/>
      <c r="O22" s="62"/>
      <c r="P22" s="62"/>
      <c r="Q22" s="62"/>
      <c r="R22" s="62"/>
    </row>
    <row r="23" spans="2:22" ht="0.6" customHeight="1" x14ac:dyDescent="0.3">
      <c r="B23" s="521"/>
      <c r="C23" s="521"/>
      <c r="D23" s="521"/>
      <c r="E23" s="521"/>
      <c r="F23" s="521"/>
      <c r="G23" s="521"/>
      <c r="H23" s="521"/>
      <c r="I23" s="521"/>
      <c r="J23" s="521"/>
      <c r="K23" s="521"/>
      <c r="L23" s="521"/>
      <c r="M23" s="62"/>
      <c r="N23" s="62"/>
      <c r="O23" s="62"/>
      <c r="P23" s="62"/>
      <c r="Q23" s="62"/>
      <c r="R23" s="62"/>
    </row>
    <row r="24" spans="2:22" ht="30" customHeight="1" x14ac:dyDescent="0.3">
      <c r="B24" s="518" t="s">
        <v>248</v>
      </c>
      <c r="C24" s="518"/>
      <c r="D24" s="518"/>
      <c r="E24" s="518"/>
      <c r="F24" s="518"/>
      <c r="G24" s="518"/>
      <c r="H24" s="518"/>
      <c r="I24" s="518"/>
      <c r="J24" s="518"/>
      <c r="K24" s="518"/>
      <c r="L24" s="518"/>
      <c r="M24" s="62"/>
      <c r="N24" s="62"/>
      <c r="O24" s="62"/>
      <c r="P24" s="62"/>
      <c r="Q24" s="62"/>
      <c r="R24" s="62"/>
    </row>
    <row r="25" spans="2:22" hidden="1" x14ac:dyDescent="0.3">
      <c r="B25" s="521"/>
      <c r="C25" s="521"/>
      <c r="D25" s="521"/>
      <c r="E25" s="521"/>
      <c r="F25" s="521"/>
      <c r="G25" s="521"/>
      <c r="H25" s="521"/>
      <c r="I25" s="521"/>
      <c r="J25" s="521"/>
      <c r="K25" s="521"/>
      <c r="L25" s="521"/>
      <c r="M25" s="62"/>
      <c r="N25" s="62"/>
      <c r="O25" s="62"/>
      <c r="P25" s="62"/>
      <c r="Q25" s="62"/>
      <c r="R25" s="62"/>
    </row>
    <row r="26" spans="2:22" ht="28.2" customHeight="1" x14ac:dyDescent="0.3">
      <c r="B26" s="518" t="s">
        <v>249</v>
      </c>
      <c r="C26" s="518"/>
      <c r="D26" s="518"/>
      <c r="E26" s="518"/>
      <c r="F26" s="518"/>
      <c r="G26" s="518"/>
      <c r="H26" s="518"/>
      <c r="I26" s="518"/>
      <c r="J26" s="518"/>
      <c r="K26" s="518"/>
      <c r="L26" s="518"/>
      <c r="M26" s="62"/>
      <c r="N26" s="62"/>
      <c r="O26" s="62"/>
      <c r="P26" s="62"/>
      <c r="Q26" s="62"/>
      <c r="R26" s="62"/>
    </row>
    <row r="27" spans="2:22" ht="1.2" customHeight="1" x14ac:dyDescent="0.3">
      <c r="B27" s="521"/>
      <c r="C27" s="521"/>
      <c r="D27" s="521"/>
      <c r="E27" s="521"/>
      <c r="F27" s="521"/>
      <c r="G27" s="521"/>
      <c r="H27" s="521"/>
      <c r="I27" s="521"/>
      <c r="J27" s="521"/>
      <c r="K27" s="521"/>
      <c r="L27" s="521"/>
      <c r="M27" s="62"/>
      <c r="N27" s="62"/>
      <c r="O27" s="62"/>
      <c r="P27" s="62"/>
      <c r="Q27" s="62"/>
      <c r="R27" s="62"/>
    </row>
    <row r="28" spans="2:22" ht="28.2" customHeight="1" x14ac:dyDescent="0.3">
      <c r="B28" s="518" t="s">
        <v>250</v>
      </c>
      <c r="C28" s="518"/>
      <c r="D28" s="518"/>
      <c r="E28" s="518"/>
      <c r="F28" s="518"/>
      <c r="G28" s="518"/>
      <c r="H28" s="518"/>
      <c r="I28" s="518"/>
      <c r="J28" s="518"/>
      <c r="K28" s="518"/>
      <c r="L28" s="518"/>
      <c r="M28" s="62"/>
      <c r="N28" s="62"/>
      <c r="O28" s="62"/>
      <c r="P28" s="62"/>
      <c r="Q28" s="62"/>
      <c r="R28" s="62"/>
    </row>
    <row r="29" spans="2:22" ht="1.8" customHeight="1" x14ac:dyDescent="0.3">
      <c r="B29" s="64"/>
      <c r="C29" s="64"/>
      <c r="D29" s="64"/>
      <c r="E29" s="64"/>
      <c r="F29" s="64"/>
      <c r="G29" s="64"/>
      <c r="H29" s="64"/>
      <c r="I29" s="64"/>
      <c r="J29" s="64"/>
      <c r="K29" s="64"/>
      <c r="L29" s="64"/>
      <c r="M29" s="62"/>
      <c r="N29" s="62"/>
      <c r="O29" s="62"/>
      <c r="P29" s="62"/>
      <c r="Q29" s="62"/>
      <c r="R29" s="62"/>
    </row>
    <row r="30" spans="2:22" ht="16.2" customHeight="1" x14ac:dyDescent="0.3">
      <c r="B30" s="518" t="s">
        <v>237</v>
      </c>
      <c r="C30" s="518"/>
      <c r="D30" s="518"/>
      <c r="E30" s="518"/>
      <c r="F30" s="518"/>
      <c r="G30" s="518"/>
      <c r="H30" s="518"/>
      <c r="I30" s="518"/>
      <c r="J30" s="518"/>
      <c r="K30" s="518"/>
      <c r="L30" s="518"/>
      <c r="M30" s="62"/>
      <c r="N30" s="62"/>
      <c r="O30" s="62"/>
      <c r="P30" s="62"/>
      <c r="Q30" s="62"/>
      <c r="R30" s="62"/>
      <c r="S30" s="62"/>
      <c r="T30" s="62"/>
      <c r="U30" s="62"/>
      <c r="V30" s="62"/>
    </row>
    <row r="31" spans="2:22" hidden="1" x14ac:dyDescent="0.3">
      <c r="B31" s="520"/>
      <c r="C31" s="520"/>
      <c r="D31" s="520"/>
      <c r="E31" s="520"/>
      <c r="F31" s="520"/>
      <c r="G31" s="520"/>
      <c r="H31" s="520"/>
      <c r="I31" s="520"/>
      <c r="J31" s="520"/>
      <c r="K31" s="520"/>
      <c r="L31" s="520"/>
      <c r="M31" s="62"/>
      <c r="N31" s="62"/>
      <c r="O31" s="62"/>
      <c r="P31" s="62"/>
      <c r="Q31" s="62"/>
      <c r="R31" s="62"/>
      <c r="S31" s="62"/>
      <c r="T31" s="62"/>
      <c r="U31" s="62"/>
      <c r="V31" s="62"/>
    </row>
    <row r="32" spans="2:22" ht="14.4" customHeight="1" x14ac:dyDescent="0.3">
      <c r="B32" s="520" t="s">
        <v>238</v>
      </c>
      <c r="C32" s="520"/>
      <c r="D32" s="520"/>
      <c r="E32" s="520"/>
      <c r="F32" s="520"/>
      <c r="G32" s="520"/>
      <c r="H32" s="520"/>
      <c r="I32" s="520"/>
      <c r="J32" s="520"/>
      <c r="K32" s="520"/>
      <c r="L32" s="520"/>
      <c r="M32" s="62"/>
      <c r="N32" s="62"/>
      <c r="O32" s="62"/>
      <c r="P32" s="62"/>
      <c r="Q32" s="62"/>
      <c r="R32" s="62"/>
      <c r="S32" s="62"/>
      <c r="T32" s="62"/>
      <c r="U32" s="62"/>
      <c r="V32" s="62"/>
    </row>
    <row r="33" spans="2:56" hidden="1" x14ac:dyDescent="0.3">
      <c r="B33" s="521"/>
      <c r="C33" s="521"/>
      <c r="D33" s="521"/>
      <c r="E33" s="521"/>
      <c r="F33" s="521"/>
      <c r="G33" s="521"/>
      <c r="H33" s="521"/>
      <c r="I33" s="521"/>
      <c r="J33" s="521"/>
      <c r="K33" s="521"/>
      <c r="L33" s="521"/>
      <c r="M33" s="62"/>
      <c r="N33" s="62"/>
      <c r="O33" s="62"/>
      <c r="P33" s="62"/>
      <c r="Q33" s="62"/>
      <c r="R33" s="62"/>
      <c r="S33" s="62"/>
      <c r="T33" s="62"/>
      <c r="U33" s="62"/>
      <c r="V33" s="62"/>
    </row>
    <row r="34" spans="2:56" ht="30" customHeight="1" x14ac:dyDescent="0.3">
      <c r="B34" s="518" t="s">
        <v>241</v>
      </c>
      <c r="C34" s="518"/>
      <c r="D34" s="518"/>
      <c r="E34" s="518"/>
      <c r="F34" s="518"/>
      <c r="G34" s="518"/>
      <c r="H34" s="518"/>
      <c r="I34" s="518"/>
      <c r="J34" s="518"/>
      <c r="K34" s="518"/>
      <c r="L34" s="518"/>
      <c r="M34" s="62"/>
      <c r="N34" s="62"/>
      <c r="O34" s="62"/>
      <c r="P34" s="62"/>
      <c r="Q34" s="62"/>
      <c r="R34" s="62"/>
      <c r="S34" s="62"/>
      <c r="T34" s="62"/>
      <c r="U34" s="62"/>
      <c r="V34" s="62"/>
    </row>
    <row r="35" spans="2:56" hidden="1" x14ac:dyDescent="0.3">
      <c r="B35" s="521"/>
      <c r="C35" s="521"/>
      <c r="D35" s="521"/>
      <c r="E35" s="521"/>
      <c r="F35" s="521"/>
      <c r="G35" s="521"/>
      <c r="H35" s="521"/>
      <c r="I35" s="521"/>
      <c r="J35" s="521"/>
      <c r="K35" s="521"/>
      <c r="L35" s="521"/>
      <c r="M35" s="62"/>
      <c r="N35" s="62"/>
      <c r="O35" s="62"/>
      <c r="P35" s="62"/>
      <c r="Q35" s="62"/>
      <c r="R35" s="62"/>
      <c r="S35" s="62"/>
      <c r="T35" s="62"/>
      <c r="U35" s="62"/>
      <c r="V35" s="62"/>
    </row>
    <row r="36" spans="2:56" ht="43.2" customHeight="1" x14ac:dyDescent="0.3">
      <c r="B36" s="518" t="s">
        <v>242</v>
      </c>
      <c r="C36" s="518"/>
      <c r="D36" s="518"/>
      <c r="E36" s="518"/>
      <c r="F36" s="518"/>
      <c r="G36" s="518"/>
      <c r="H36" s="518"/>
      <c r="I36" s="518"/>
      <c r="J36" s="518"/>
      <c r="K36" s="518"/>
      <c r="L36" s="518"/>
      <c r="M36" s="62"/>
      <c r="N36" s="62"/>
      <c r="O36" s="62"/>
      <c r="P36" s="62"/>
      <c r="Q36" s="62"/>
      <c r="R36" s="62"/>
      <c r="S36" s="62"/>
      <c r="T36" s="62"/>
      <c r="U36" s="62"/>
      <c r="V36" s="62"/>
    </row>
    <row r="37" spans="2:56" ht="3" hidden="1" customHeight="1" x14ac:dyDescent="0.3">
      <c r="B37" s="521"/>
      <c r="C37" s="521"/>
      <c r="D37" s="521"/>
      <c r="E37" s="521"/>
      <c r="F37" s="521"/>
      <c r="G37" s="521"/>
      <c r="H37" s="521"/>
      <c r="I37" s="521"/>
      <c r="J37" s="521"/>
      <c r="K37" s="521"/>
      <c r="L37" s="521"/>
      <c r="M37" s="62"/>
      <c r="N37" s="62"/>
      <c r="O37" s="62"/>
      <c r="P37" s="62"/>
      <c r="Q37" s="62"/>
      <c r="R37" s="62"/>
      <c r="S37" s="62"/>
      <c r="T37" s="62"/>
      <c r="U37" s="62"/>
      <c r="V37" s="62"/>
    </row>
    <row r="38" spans="2:56" ht="28.2" customHeight="1" x14ac:dyDescent="0.3">
      <c r="B38" s="518" t="s">
        <v>243</v>
      </c>
      <c r="C38" s="518"/>
      <c r="D38" s="518"/>
      <c r="E38" s="518"/>
      <c r="F38" s="518"/>
      <c r="G38" s="518"/>
      <c r="H38" s="518"/>
      <c r="I38" s="518"/>
      <c r="J38" s="518"/>
      <c r="K38" s="518"/>
      <c r="L38" s="518"/>
      <c r="M38" s="62"/>
      <c r="N38" s="62"/>
      <c r="O38" s="62"/>
      <c r="P38" s="62"/>
      <c r="Q38" s="62"/>
      <c r="R38" s="62"/>
      <c r="S38" s="62"/>
      <c r="T38" s="62"/>
      <c r="U38" s="62"/>
      <c r="V38" s="62"/>
    </row>
    <row r="39" spans="2:56" hidden="1" x14ac:dyDescent="0.3">
      <c r="B39" s="521"/>
      <c r="C39" s="521"/>
      <c r="D39" s="521"/>
      <c r="E39" s="521"/>
      <c r="F39" s="521"/>
      <c r="G39" s="521"/>
      <c r="H39" s="521"/>
      <c r="I39" s="521"/>
      <c r="J39" s="521"/>
      <c r="K39" s="521"/>
      <c r="L39" s="521"/>
      <c r="M39" s="62"/>
      <c r="N39" s="62"/>
      <c r="O39" s="62"/>
      <c r="P39" s="62"/>
      <c r="Q39" s="62"/>
      <c r="R39" s="62"/>
      <c r="S39" s="62"/>
      <c r="T39" s="62"/>
      <c r="U39" s="62"/>
      <c r="V39" s="62"/>
    </row>
    <row r="40" spans="2:56" ht="30" customHeight="1" x14ac:dyDescent="0.3">
      <c r="B40" s="518" t="s">
        <v>244</v>
      </c>
      <c r="C40" s="518"/>
      <c r="D40" s="518"/>
      <c r="E40" s="518"/>
      <c r="F40" s="518"/>
      <c r="G40" s="518"/>
      <c r="H40" s="518"/>
      <c r="I40" s="518"/>
      <c r="J40" s="518"/>
      <c r="K40" s="518"/>
      <c r="L40" s="518"/>
      <c r="M40" s="62"/>
      <c r="N40" s="62"/>
      <c r="O40" s="62"/>
      <c r="P40" s="62"/>
      <c r="Q40" s="62"/>
      <c r="R40" s="62"/>
      <c r="S40" s="62"/>
      <c r="T40" s="62"/>
      <c r="U40" s="62"/>
      <c r="V40" s="62"/>
    </row>
    <row r="41" spans="2:56" hidden="1" x14ac:dyDescent="0.3">
      <c r="B41" s="521"/>
      <c r="C41" s="521"/>
      <c r="D41" s="521"/>
      <c r="E41" s="521"/>
      <c r="F41" s="521"/>
      <c r="G41" s="521"/>
      <c r="H41" s="521"/>
      <c r="I41" s="521"/>
      <c r="J41" s="521"/>
      <c r="K41" s="521"/>
      <c r="L41" s="521"/>
      <c r="M41" s="62"/>
      <c r="N41" s="62"/>
      <c r="O41" s="62"/>
      <c r="P41" s="62"/>
      <c r="Q41" s="62"/>
      <c r="R41" s="62"/>
      <c r="S41" s="62"/>
      <c r="T41" s="62"/>
      <c r="U41" s="62"/>
      <c r="V41" s="62"/>
    </row>
    <row r="42" spans="2:56" ht="27.6" customHeight="1" x14ac:dyDescent="0.3">
      <c r="B42" s="518" t="s">
        <v>245</v>
      </c>
      <c r="C42" s="518"/>
      <c r="D42" s="518"/>
      <c r="E42" s="518"/>
      <c r="F42" s="518"/>
      <c r="G42" s="518"/>
      <c r="H42" s="518"/>
      <c r="I42" s="518"/>
      <c r="J42" s="518"/>
      <c r="K42" s="518"/>
      <c r="L42" s="518"/>
      <c r="M42" s="62"/>
      <c r="N42" s="62"/>
      <c r="O42" s="62"/>
      <c r="P42" s="62"/>
      <c r="Q42" s="62"/>
      <c r="R42" s="62"/>
      <c r="S42" s="62"/>
      <c r="T42" s="62"/>
      <c r="U42" s="62"/>
      <c r="V42" s="62"/>
    </row>
    <row r="43" spans="2:56" ht="3.6" customHeight="1" x14ac:dyDescent="0.3"/>
    <row r="44" spans="2:56" ht="13.8" customHeight="1" x14ac:dyDescent="0.3">
      <c r="B44" s="523" t="s">
        <v>239</v>
      </c>
      <c r="C44" s="524"/>
      <c r="D44" s="524"/>
      <c r="E44" s="524"/>
      <c r="F44" s="524"/>
      <c r="G44" s="524"/>
      <c r="H44" s="524"/>
      <c r="I44" s="524"/>
      <c r="J44" s="524"/>
      <c r="K44" s="524"/>
      <c r="L44" s="524"/>
      <c r="M44" s="62"/>
      <c r="N44" s="62"/>
      <c r="O44" s="62"/>
      <c r="P44" s="62"/>
      <c r="Q44" s="62"/>
      <c r="R44" s="62"/>
      <c r="S44" s="62"/>
      <c r="T44" s="62"/>
      <c r="U44" s="62"/>
      <c r="V44" s="62"/>
      <c r="W44" s="62"/>
      <c r="X44" s="62"/>
      <c r="Y44" s="62"/>
      <c r="Z44" s="62"/>
      <c r="AA44" s="62"/>
      <c r="AB44" s="62"/>
      <c r="AC44" s="62"/>
      <c r="AD44" s="62"/>
      <c r="AE44" s="62"/>
      <c r="AF44" s="62"/>
      <c r="AG44" s="62"/>
      <c r="AH44" s="62"/>
      <c r="AI44" s="62"/>
      <c r="AJ44" s="62"/>
      <c r="AK44" s="62"/>
      <c r="AL44" s="62"/>
      <c r="AM44" s="62"/>
      <c r="AN44" s="62"/>
      <c r="AO44" s="62"/>
      <c r="AP44" s="62"/>
      <c r="AQ44" s="62"/>
      <c r="AR44" s="62"/>
      <c r="AS44" s="62"/>
      <c r="AT44" s="62"/>
      <c r="AU44" s="62"/>
      <c r="AV44" s="62"/>
      <c r="AW44" s="62"/>
      <c r="AX44" s="62"/>
      <c r="AY44" s="62"/>
      <c r="AZ44" s="62"/>
      <c r="BA44" s="62"/>
      <c r="BB44" s="62"/>
      <c r="BC44" s="62"/>
      <c r="BD44" s="62"/>
    </row>
    <row r="45" spans="2:56" ht="0.6" customHeight="1" x14ac:dyDescent="0.3">
      <c r="B45" s="522"/>
      <c r="C45" s="522"/>
      <c r="D45" s="522"/>
      <c r="E45" s="522"/>
      <c r="F45" s="522"/>
      <c r="G45" s="522"/>
      <c r="H45" s="522"/>
      <c r="I45" s="522"/>
      <c r="J45" s="522"/>
      <c r="K45" s="522"/>
      <c r="L45" s="522"/>
      <c r="M45" s="62"/>
      <c r="N45" s="62"/>
      <c r="O45" s="62"/>
      <c r="P45" s="62"/>
      <c r="Q45" s="62"/>
      <c r="R45" s="62"/>
      <c r="S45" s="62"/>
      <c r="T45" s="62"/>
      <c r="U45" s="62"/>
      <c r="V45" s="62"/>
      <c r="W45" s="62"/>
      <c r="X45" s="62"/>
      <c r="Y45" s="62"/>
      <c r="Z45" s="62"/>
      <c r="AA45" s="62"/>
      <c r="AB45" s="62"/>
      <c r="AC45" s="62"/>
      <c r="AD45" s="62"/>
      <c r="AE45" s="62"/>
      <c r="AF45" s="62"/>
      <c r="AG45" s="62"/>
      <c r="AH45" s="62"/>
      <c r="AI45" s="62"/>
      <c r="AJ45" s="62"/>
      <c r="AK45" s="62"/>
      <c r="AL45" s="62"/>
      <c r="AM45" s="62"/>
      <c r="AN45" s="62"/>
      <c r="AO45" s="62"/>
      <c r="AP45" s="62"/>
      <c r="AQ45" s="62"/>
      <c r="AR45" s="62"/>
      <c r="AS45" s="62"/>
      <c r="AT45" s="62"/>
      <c r="AU45" s="62"/>
      <c r="AV45" s="62"/>
      <c r="AW45" s="62"/>
      <c r="AX45" s="62"/>
      <c r="AY45" s="62"/>
      <c r="AZ45" s="62"/>
      <c r="BA45" s="62"/>
      <c r="BB45" s="62"/>
      <c r="BC45" s="62"/>
      <c r="BD45" s="62"/>
    </row>
    <row r="46" spans="2:56" ht="72" customHeight="1" x14ac:dyDescent="0.3">
      <c r="B46" s="517" t="s">
        <v>240</v>
      </c>
      <c r="C46" s="517"/>
      <c r="D46" s="517"/>
      <c r="E46" s="517"/>
      <c r="F46" s="517"/>
      <c r="G46" s="517"/>
      <c r="H46" s="517"/>
      <c r="I46" s="517"/>
      <c r="J46" s="517"/>
      <c r="K46" s="517"/>
      <c r="L46" s="517"/>
      <c r="M46" s="62"/>
      <c r="N46" s="62"/>
      <c r="O46" s="62"/>
      <c r="P46" s="62"/>
      <c r="Q46" s="62"/>
      <c r="R46" s="62"/>
      <c r="S46" s="62"/>
      <c r="T46" s="62"/>
      <c r="U46" s="62"/>
      <c r="V46" s="62"/>
      <c r="W46" s="62"/>
      <c r="X46" s="62"/>
      <c r="Y46" s="62"/>
      <c r="Z46" s="62"/>
      <c r="AA46" s="62"/>
      <c r="AB46" s="62"/>
      <c r="AC46" s="62"/>
      <c r="AD46" s="62"/>
      <c r="AE46" s="62"/>
      <c r="AF46" s="62"/>
      <c r="AG46" s="62"/>
      <c r="AH46" s="62"/>
      <c r="AI46" s="62"/>
      <c r="AJ46" s="62"/>
      <c r="AK46" s="62"/>
      <c r="AL46" s="62"/>
      <c r="AM46" s="62"/>
      <c r="AN46" s="62"/>
      <c r="AO46" s="62"/>
      <c r="AP46" s="62"/>
      <c r="AQ46" s="62"/>
      <c r="AR46" s="62"/>
      <c r="AS46" s="62"/>
      <c r="AT46" s="62"/>
      <c r="AU46" s="62"/>
      <c r="AV46" s="62"/>
      <c r="AW46" s="62"/>
      <c r="AX46" s="62"/>
      <c r="AY46" s="62"/>
      <c r="AZ46" s="62"/>
      <c r="BA46" s="62"/>
      <c r="BB46" s="62"/>
      <c r="BC46" s="62"/>
      <c r="BD46" s="62"/>
    </row>
    <row r="48" spans="2:56" x14ac:dyDescent="0.3">
      <c r="B48" s="100"/>
      <c r="C48" s="100"/>
      <c r="D48" s="100"/>
      <c r="E48" s="100"/>
      <c r="F48" s="100"/>
      <c r="G48" s="100"/>
      <c r="H48" s="100"/>
      <c r="I48" s="100"/>
      <c r="J48" s="100"/>
      <c r="K48" s="100"/>
      <c r="L48" s="100"/>
    </row>
  </sheetData>
  <mergeCells count="35">
    <mergeCell ref="B45:L45"/>
    <mergeCell ref="B46:L46"/>
    <mergeCell ref="B38:L38"/>
    <mergeCell ref="B39:L39"/>
    <mergeCell ref="B40:L40"/>
    <mergeCell ref="B41:L41"/>
    <mergeCell ref="B42:L42"/>
    <mergeCell ref="B44:L44"/>
    <mergeCell ref="B37:L37"/>
    <mergeCell ref="B25:L25"/>
    <mergeCell ref="B26:L26"/>
    <mergeCell ref="B27:L27"/>
    <mergeCell ref="B28:L28"/>
    <mergeCell ref="B30:L30"/>
    <mergeCell ref="B31:L31"/>
    <mergeCell ref="B32:L32"/>
    <mergeCell ref="B33:L33"/>
    <mergeCell ref="B34:L34"/>
    <mergeCell ref="B35:L35"/>
    <mergeCell ref="B36:L36"/>
    <mergeCell ref="B24:L24"/>
    <mergeCell ref="B8:L8"/>
    <mergeCell ref="B10:L10"/>
    <mergeCell ref="B11:L11"/>
    <mergeCell ref="B12:L12"/>
    <mergeCell ref="B13:L13"/>
    <mergeCell ref="B14:L14"/>
    <mergeCell ref="B16:L16"/>
    <mergeCell ref="B17:L17"/>
    <mergeCell ref="B18:L18"/>
    <mergeCell ref="B19:L19"/>
    <mergeCell ref="B20:L20"/>
    <mergeCell ref="B21:L21"/>
    <mergeCell ref="B22:L22"/>
    <mergeCell ref="B23:L23"/>
  </mergeCells>
  <pageMargins left="0.7" right="0.7" top="0.75" bottom="0.75" header="0.3" footer="0.3"/>
  <pageSetup paperSize="9" scale="83"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
  <sheetViews>
    <sheetView workbookViewId="0"/>
  </sheetViews>
  <sheetFormatPr defaultRowHeight="14.4"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N108"/>
  <sheetViews>
    <sheetView showGridLines="0" zoomScaleNormal="100" workbookViewId="0">
      <pane ySplit="7" topLeftCell="A28" activePane="bottomLeft" state="frozen"/>
      <selection pane="bottomLeft" activeCell="C22" sqref="C22"/>
    </sheetView>
  </sheetViews>
  <sheetFormatPr defaultRowHeight="14.4" x14ac:dyDescent="0.3"/>
  <cols>
    <col min="1" max="1" width="1.88671875" style="14" customWidth="1"/>
    <col min="2" max="2" width="44.77734375" style="14" bestFit="1" customWidth="1"/>
    <col min="3" max="7" width="10.88671875" style="14" bestFit="1" customWidth="1"/>
    <col min="8" max="8" width="14.33203125" style="14" bestFit="1" customWidth="1"/>
    <col min="9" max="9" width="13.77734375" style="14" customWidth="1"/>
    <col min="10" max="10" width="14" style="14" bestFit="1" customWidth="1"/>
    <col min="11" max="11" width="14.33203125" style="14" customWidth="1"/>
    <col min="12" max="12" width="14.33203125" style="14" bestFit="1" customWidth="1"/>
    <col min="13" max="13" width="13.77734375" style="14" customWidth="1"/>
    <col min="14" max="16384" width="8.88671875" style="14"/>
  </cols>
  <sheetData>
    <row r="5" spans="1:14" ht="21" customHeight="1" x14ac:dyDescent="0.3">
      <c r="B5" s="19" t="s">
        <v>116</v>
      </c>
    </row>
    <row r="6" spans="1:14" x14ac:dyDescent="0.3">
      <c r="B6" s="507" t="str">
        <f xml:space="preserve"> "Historical Financial Statement - "&amp;'Data Sheet'!B1</f>
        <v>Historical Financial Statement - MRF LTD</v>
      </c>
      <c r="C6" s="507"/>
      <c r="D6" s="507"/>
      <c r="E6" s="507"/>
      <c r="F6" s="507"/>
      <c r="G6" s="507"/>
      <c r="H6" s="507"/>
      <c r="I6" s="507"/>
      <c r="J6" s="507"/>
      <c r="K6" s="507"/>
      <c r="L6" s="507"/>
      <c r="M6" s="507"/>
    </row>
    <row r="7" spans="1:14" x14ac:dyDescent="0.3">
      <c r="B7" s="58" t="s">
        <v>56</v>
      </c>
      <c r="C7" s="59">
        <f>'Data Sheet'!B16</f>
        <v>42460</v>
      </c>
      <c r="D7" s="59">
        <f>'Data Sheet'!C16</f>
        <v>42825</v>
      </c>
      <c r="E7" s="59">
        <f>'Data Sheet'!D16</f>
        <v>43190</v>
      </c>
      <c r="F7" s="59">
        <f>'Data Sheet'!E16</f>
        <v>43555</v>
      </c>
      <c r="G7" s="59">
        <f>'Data Sheet'!F16</f>
        <v>43921</v>
      </c>
      <c r="H7" s="59">
        <f>'Data Sheet'!G16</f>
        <v>44286</v>
      </c>
      <c r="I7" s="59">
        <f>'Data Sheet'!H16</f>
        <v>44651</v>
      </c>
      <c r="J7" s="59">
        <f>'Data Sheet'!I16</f>
        <v>45016</v>
      </c>
      <c r="K7" s="59">
        <f>'Data Sheet'!J16</f>
        <v>45382</v>
      </c>
      <c r="L7" s="59">
        <f>'Data Sheet'!K16</f>
        <v>45747</v>
      </c>
      <c r="M7" s="60" t="s">
        <v>57</v>
      </c>
      <c r="N7" s="18"/>
    </row>
    <row r="8" spans="1:14" ht="15" thickBot="1" x14ac:dyDescent="0.35">
      <c r="B8" s="275"/>
      <c r="C8" s="276"/>
      <c r="D8" s="276"/>
      <c r="E8" s="276"/>
      <c r="F8" s="276"/>
      <c r="G8" s="276"/>
      <c r="H8" s="276"/>
      <c r="I8" s="276"/>
      <c r="J8" s="276"/>
      <c r="K8" s="276"/>
      <c r="L8" s="276"/>
      <c r="M8" s="277"/>
      <c r="N8" s="18"/>
    </row>
    <row r="9" spans="1:14" ht="15" thickTop="1" x14ac:dyDescent="0.3">
      <c r="A9" s="58" t="s">
        <v>59</v>
      </c>
      <c r="B9" s="115" t="s">
        <v>58</v>
      </c>
      <c r="C9" s="131"/>
      <c r="D9" s="131"/>
      <c r="E9" s="131"/>
      <c r="F9" s="131"/>
      <c r="G9" s="131"/>
      <c r="H9" s="131"/>
      <c r="I9" s="131"/>
      <c r="J9" s="131"/>
      <c r="K9" s="131"/>
      <c r="L9" s="131"/>
      <c r="M9" s="132"/>
    </row>
    <row r="10" spans="1:14" x14ac:dyDescent="0.3">
      <c r="B10" s="121" t="s">
        <v>2</v>
      </c>
      <c r="C10" s="278">
        <f>IFERROR('Data Sheet'!B17,0)</f>
        <v>20179.41</v>
      </c>
      <c r="D10" s="278">
        <f>IFERROR('Data Sheet'!C17,0)</f>
        <v>13411.98</v>
      </c>
      <c r="E10" s="278">
        <f>IFERROR('Data Sheet'!D17,0)</f>
        <v>14953.71</v>
      </c>
      <c r="F10" s="278">
        <f>IFERROR('Data Sheet'!E17,0)</f>
        <v>16061.72</v>
      </c>
      <c r="G10" s="278">
        <f>IFERROR('Data Sheet'!F17,0)</f>
        <v>16237.38</v>
      </c>
      <c r="H10" s="278">
        <f>IFERROR('Data Sheet'!G17,0)</f>
        <v>16162.49</v>
      </c>
      <c r="I10" s="278">
        <f>IFERROR('Data Sheet'!H17,0)</f>
        <v>19316.650000000001</v>
      </c>
      <c r="J10" s="278">
        <f>IFERROR('Data Sheet'!I17,0)</f>
        <v>23008.33</v>
      </c>
      <c r="K10" s="278">
        <f>IFERROR('Data Sheet'!J17,0)</f>
        <v>25168.73</v>
      </c>
      <c r="L10" s="278">
        <f>IFERROR('Data Sheet'!K17,0)</f>
        <v>28152.5</v>
      </c>
      <c r="M10" s="284">
        <f>IFERROR(SUM('Data Sheet'!H42:K42),0)</f>
        <v>28153.18</v>
      </c>
    </row>
    <row r="11" spans="1:14" x14ac:dyDescent="0.3">
      <c r="B11" s="285" t="s">
        <v>11</v>
      </c>
      <c r="C11" s="279" t="s">
        <v>60</v>
      </c>
      <c r="D11" s="280">
        <f>D10/C10-1</f>
        <v>-0.33536312508641231</v>
      </c>
      <c r="E11" s="280">
        <f t="shared" ref="E11:L11" si="0">E10/D10-1</f>
        <v>0.11495170735417148</v>
      </c>
      <c r="F11" s="280">
        <f t="shared" si="0"/>
        <v>7.4095993569488705E-2</v>
      </c>
      <c r="G11" s="280">
        <f t="shared" si="0"/>
        <v>1.093656221127004E-2</v>
      </c>
      <c r="H11" s="280">
        <f t="shared" si="0"/>
        <v>-4.6121972879861195E-3</v>
      </c>
      <c r="I11" s="280">
        <f t="shared" si="0"/>
        <v>0.19515309831591554</v>
      </c>
      <c r="J11" s="280">
        <f t="shared" si="0"/>
        <v>0.19111388361853643</v>
      </c>
      <c r="K11" s="280">
        <f t="shared" si="0"/>
        <v>9.3896427945878713E-2</v>
      </c>
      <c r="L11" s="280">
        <f t="shared" si="0"/>
        <v>0.11855067776562422</v>
      </c>
      <c r="M11" s="286"/>
    </row>
    <row r="12" spans="1:14" x14ac:dyDescent="0.3">
      <c r="B12" s="121"/>
      <c r="C12" s="4"/>
      <c r="D12" s="4"/>
      <c r="E12" s="4"/>
      <c r="F12" s="4"/>
      <c r="G12" s="4"/>
      <c r="H12" s="4"/>
      <c r="I12" s="4"/>
      <c r="J12" s="4"/>
      <c r="K12" s="4"/>
      <c r="L12" s="4"/>
      <c r="M12" s="287"/>
    </row>
    <row r="13" spans="1:14" x14ac:dyDescent="0.3">
      <c r="B13" s="121" t="s">
        <v>61</v>
      </c>
      <c r="C13" s="278">
        <f>IFERROR(SUM('Data Sheet'!B18,'Data Sheet'!B20:B22)-1*'Data Sheet'!B19,0)</f>
        <v>14309.350000000002</v>
      </c>
      <c r="D13" s="278">
        <f>IFERROR(SUM('Data Sheet'!C18,'Data Sheet'!C20:C22)-1*'Data Sheet'!C19,0)</f>
        <v>9716.3799999999992</v>
      </c>
      <c r="E13" s="278">
        <f>IFERROR(SUM('Data Sheet'!D18,'Data Sheet'!D20:D22)-1*'Data Sheet'!D19,0)</f>
        <v>11537.06</v>
      </c>
      <c r="F13" s="278">
        <f>IFERROR(SUM('Data Sheet'!E18,'Data Sheet'!E20:E22)-1*'Data Sheet'!E19,0)</f>
        <v>12466.050000000001</v>
      </c>
      <c r="G13" s="278">
        <f>IFERROR(SUM('Data Sheet'!F18,'Data Sheet'!F20:F22)-1*'Data Sheet'!F19,0)</f>
        <v>12522.159999999998</v>
      </c>
      <c r="H13" s="278">
        <f>IFERROR(SUM('Data Sheet'!G18,'Data Sheet'!G20:G22)-1*'Data Sheet'!G19,0)</f>
        <v>12116.630000000001</v>
      </c>
      <c r="I13" s="278">
        <f>IFERROR(SUM('Data Sheet'!H18,'Data Sheet'!H20:H22)-1*'Data Sheet'!H19,0)</f>
        <v>15930.159999999998</v>
      </c>
      <c r="J13" s="278">
        <f>IFERROR(SUM('Data Sheet'!I18,'Data Sheet'!I20:I22)-1*'Data Sheet'!I19,0)</f>
        <v>19129.340000000004</v>
      </c>
      <c r="K13" s="278">
        <f>IFERROR(SUM('Data Sheet'!J18,'Data Sheet'!J20:J22)-1*'Data Sheet'!J19,0)</f>
        <v>19094.580000000002</v>
      </c>
      <c r="L13" s="278">
        <f>IFERROR(SUM('Data Sheet'!K18,'Data Sheet'!K20:K22)-1*'Data Sheet'!K19,0)</f>
        <v>22239.88</v>
      </c>
      <c r="M13" s="284">
        <f>IFERROR(SUM('Data Sheet'!H43:K43),0)</f>
        <v>24068.709999999995</v>
      </c>
    </row>
    <row r="14" spans="1:14" x14ac:dyDescent="0.3">
      <c r="B14" s="285" t="s">
        <v>62</v>
      </c>
      <c r="C14" s="280">
        <f>C13/C10</f>
        <v>0.70910646049611969</v>
      </c>
      <c r="D14" s="280">
        <f t="shared" ref="D14:M14" si="1">D13/D10</f>
        <v>0.72445530041052841</v>
      </c>
      <c r="E14" s="280">
        <f t="shared" si="1"/>
        <v>0.77151823861770763</v>
      </c>
      <c r="F14" s="280">
        <f t="shared" si="1"/>
        <v>0.77613418737221185</v>
      </c>
      <c r="G14" s="280">
        <f t="shared" si="1"/>
        <v>0.7711933821835788</v>
      </c>
      <c r="H14" s="280">
        <f t="shared" si="1"/>
        <v>0.7496759472086294</v>
      </c>
      <c r="I14" s="280">
        <f t="shared" si="1"/>
        <v>0.82468543976310571</v>
      </c>
      <c r="J14" s="280">
        <f t="shared" si="1"/>
        <v>0.83140932001583789</v>
      </c>
      <c r="K14" s="280">
        <f t="shared" si="1"/>
        <v>0.75866283280880686</v>
      </c>
      <c r="L14" s="280">
        <f t="shared" si="1"/>
        <v>0.78997886510967064</v>
      </c>
      <c r="M14" s="288">
        <f t="shared" si="1"/>
        <v>0.85491976394851288</v>
      </c>
    </row>
    <row r="15" spans="1:14" x14ac:dyDescent="0.3">
      <c r="B15" s="121"/>
      <c r="C15" s="4"/>
      <c r="D15" s="4"/>
      <c r="E15" s="4"/>
      <c r="F15" s="4"/>
      <c r="G15" s="4"/>
      <c r="H15" s="4"/>
      <c r="I15" s="4"/>
      <c r="J15" s="4"/>
      <c r="K15" s="4"/>
      <c r="L15" s="4"/>
      <c r="M15" s="287"/>
    </row>
    <row r="16" spans="1:14" x14ac:dyDescent="0.3">
      <c r="B16" s="121" t="s">
        <v>63</v>
      </c>
      <c r="C16" s="281">
        <f>C10-C13</f>
        <v>5870.0599999999977</v>
      </c>
      <c r="D16" s="281">
        <f t="shared" ref="D16:M16" si="2">D10-D13</f>
        <v>3695.6000000000004</v>
      </c>
      <c r="E16" s="281">
        <f t="shared" si="2"/>
        <v>3416.6499999999996</v>
      </c>
      <c r="F16" s="281">
        <f t="shared" si="2"/>
        <v>3595.6699999999983</v>
      </c>
      <c r="G16" s="281">
        <f t="shared" si="2"/>
        <v>3715.2200000000012</v>
      </c>
      <c r="H16" s="281">
        <f t="shared" si="2"/>
        <v>4045.8599999999988</v>
      </c>
      <c r="I16" s="281">
        <f t="shared" si="2"/>
        <v>3386.4900000000034</v>
      </c>
      <c r="J16" s="281">
        <f t="shared" si="2"/>
        <v>3878.989999999998</v>
      </c>
      <c r="K16" s="281">
        <f t="shared" si="2"/>
        <v>6074.1499999999978</v>
      </c>
      <c r="L16" s="281">
        <f t="shared" si="2"/>
        <v>5912.619999999999</v>
      </c>
      <c r="M16" s="289">
        <f t="shared" si="2"/>
        <v>4084.4700000000048</v>
      </c>
    </row>
    <row r="17" spans="2:13" x14ac:dyDescent="0.3">
      <c r="B17" s="285" t="s">
        <v>69</v>
      </c>
      <c r="C17" s="280">
        <f>C16/C10</f>
        <v>0.29089353950388031</v>
      </c>
      <c r="D17" s="280">
        <f t="shared" ref="D17:M17" si="3">D16/D10</f>
        <v>0.27554469958947153</v>
      </c>
      <c r="E17" s="280">
        <f t="shared" si="3"/>
        <v>0.2284817613822924</v>
      </c>
      <c r="F17" s="280">
        <f t="shared" si="3"/>
        <v>0.22386581262778821</v>
      </c>
      <c r="G17" s="280">
        <f t="shared" si="3"/>
        <v>0.2288066178164212</v>
      </c>
      <c r="H17" s="280">
        <f t="shared" si="3"/>
        <v>0.25032405279137054</v>
      </c>
      <c r="I17" s="280">
        <f t="shared" si="3"/>
        <v>0.17531456023689423</v>
      </c>
      <c r="J17" s="280">
        <f t="shared" si="3"/>
        <v>0.16859067998416216</v>
      </c>
      <c r="K17" s="280">
        <f t="shared" si="3"/>
        <v>0.24133716719119311</v>
      </c>
      <c r="L17" s="280">
        <f t="shared" si="3"/>
        <v>0.21002113489032942</v>
      </c>
      <c r="M17" s="288">
        <f t="shared" si="3"/>
        <v>0.14508023605148707</v>
      </c>
    </row>
    <row r="18" spans="2:13" x14ac:dyDescent="0.3">
      <c r="B18" s="121"/>
      <c r="C18" s="4"/>
      <c r="D18" s="4"/>
      <c r="E18" s="4"/>
      <c r="F18" s="4"/>
      <c r="G18" s="4"/>
      <c r="H18" s="4"/>
      <c r="I18" s="4"/>
      <c r="J18" s="4"/>
      <c r="K18" s="4"/>
      <c r="L18" s="4"/>
      <c r="M18" s="287"/>
    </row>
    <row r="19" spans="2:13" x14ac:dyDescent="0.3">
      <c r="B19" s="121" t="s">
        <v>115</v>
      </c>
      <c r="C19" s="278">
        <f>IFERROR(SUM('Data Sheet'!B23:B24),0)</f>
        <v>1433.49</v>
      </c>
      <c r="D19" s="278">
        <f>IFERROR(SUM('Data Sheet'!C23:C24),0)</f>
        <v>1046.56</v>
      </c>
      <c r="E19" s="278">
        <f>IFERROR(SUM('Data Sheet'!D23:D24),0)</f>
        <v>1128.22</v>
      </c>
      <c r="F19" s="278">
        <f>IFERROR(SUM('Data Sheet'!E23:E24),0)</f>
        <v>1278.3200000000002</v>
      </c>
      <c r="G19" s="278">
        <f>IFERROR(SUM('Data Sheet'!F23:F24),0)</f>
        <v>1333.2</v>
      </c>
      <c r="H19" s="278">
        <f>IFERROR(SUM('Data Sheet'!G23:G24),0)</f>
        <v>1091.6399999999999</v>
      </c>
      <c r="I19" s="278">
        <f>IFERROR(SUM('Data Sheet'!H23:H24),0)</f>
        <v>1325.5</v>
      </c>
      <c r="J19" s="278">
        <f>IFERROR(SUM('Data Sheet'!I23:I24),0)</f>
        <v>1474.8000000000002</v>
      </c>
      <c r="K19" s="278">
        <f>IFERROR(SUM('Data Sheet'!J23:J24),0)</f>
        <v>1801.8899999999999</v>
      </c>
      <c r="L19" s="278">
        <f>IFERROR(SUM('Data Sheet'!K23:K24),0)</f>
        <v>1817.97</v>
      </c>
      <c r="M19" s="287"/>
    </row>
    <row r="20" spans="2:13" x14ac:dyDescent="0.3">
      <c r="B20" s="285" t="s">
        <v>64</v>
      </c>
      <c r="C20" s="280">
        <f>C19/C10</f>
        <v>7.1037260256865783E-2</v>
      </c>
      <c r="D20" s="280">
        <f t="shared" ref="D20:L20" si="4">D19/D10</f>
        <v>7.8031729841529729E-2</v>
      </c>
      <c r="E20" s="280">
        <f t="shared" si="4"/>
        <v>7.5447497644397288E-2</v>
      </c>
      <c r="F20" s="280">
        <f t="shared" si="4"/>
        <v>7.9587989331155087E-2</v>
      </c>
      <c r="G20" s="280">
        <f t="shared" si="4"/>
        <v>8.2106842360035917E-2</v>
      </c>
      <c r="H20" s="280">
        <f t="shared" si="4"/>
        <v>6.7541573111568817E-2</v>
      </c>
      <c r="I20" s="280">
        <f t="shared" si="4"/>
        <v>6.861955877442516E-2</v>
      </c>
      <c r="J20" s="280">
        <f t="shared" si="4"/>
        <v>6.4098524317062561E-2</v>
      </c>
      <c r="K20" s="280">
        <f t="shared" si="4"/>
        <v>7.1592408516440831E-2</v>
      </c>
      <c r="L20" s="280">
        <f t="shared" si="4"/>
        <v>6.4575792558387357E-2</v>
      </c>
      <c r="M20" s="288">
        <f>M19/M10</f>
        <v>0</v>
      </c>
    </row>
    <row r="21" spans="2:13" x14ac:dyDescent="0.3">
      <c r="B21" s="121"/>
      <c r="C21" s="4"/>
      <c r="D21" s="4"/>
      <c r="E21" s="4"/>
      <c r="F21" s="4"/>
      <c r="G21" s="4"/>
      <c r="H21" s="4"/>
      <c r="I21" s="4"/>
      <c r="J21" s="4"/>
      <c r="K21" s="4"/>
      <c r="L21" s="4"/>
      <c r="M21" s="287"/>
    </row>
    <row r="22" spans="2:13" x14ac:dyDescent="0.3">
      <c r="B22" s="121" t="s">
        <v>65</v>
      </c>
      <c r="C22" s="281">
        <f>C16-C19</f>
        <v>4436.5699999999979</v>
      </c>
      <c r="D22" s="281">
        <f t="shared" ref="D22:M22" si="5">D16-D19</f>
        <v>2649.0400000000004</v>
      </c>
      <c r="E22" s="281">
        <f t="shared" si="5"/>
        <v>2288.4299999999994</v>
      </c>
      <c r="F22" s="281">
        <f t="shared" si="5"/>
        <v>2317.3499999999981</v>
      </c>
      <c r="G22" s="281">
        <f t="shared" si="5"/>
        <v>2382.0200000000013</v>
      </c>
      <c r="H22" s="281">
        <f t="shared" si="5"/>
        <v>2954.2199999999989</v>
      </c>
      <c r="I22" s="281">
        <f t="shared" si="5"/>
        <v>2060.9900000000034</v>
      </c>
      <c r="J22" s="281">
        <f t="shared" si="5"/>
        <v>2404.1899999999978</v>
      </c>
      <c r="K22" s="281">
        <f t="shared" si="5"/>
        <v>4272.2599999999984</v>
      </c>
      <c r="L22" s="281">
        <f t="shared" si="5"/>
        <v>4094.6499999999987</v>
      </c>
      <c r="M22" s="289">
        <f t="shared" si="5"/>
        <v>4084.4700000000048</v>
      </c>
    </row>
    <row r="23" spans="2:13" x14ac:dyDescent="0.3">
      <c r="B23" s="285" t="s">
        <v>66</v>
      </c>
      <c r="C23" s="280">
        <f>C22/C10</f>
        <v>0.21985627924701456</v>
      </c>
      <c r="D23" s="280">
        <f t="shared" ref="D23:L23" si="6">D22/D10</f>
        <v>0.1975129697479418</v>
      </c>
      <c r="E23" s="280">
        <f t="shared" si="6"/>
        <v>0.15303426373789511</v>
      </c>
      <c r="F23" s="280">
        <f t="shared" si="6"/>
        <v>0.14427782329663313</v>
      </c>
      <c r="G23" s="280">
        <f t="shared" si="6"/>
        <v>0.1466997754563853</v>
      </c>
      <c r="H23" s="280">
        <f t="shared" si="6"/>
        <v>0.18278247967980174</v>
      </c>
      <c r="I23" s="280">
        <f t="shared" si="6"/>
        <v>0.10669500146246907</v>
      </c>
      <c r="J23" s="280">
        <f t="shared" si="6"/>
        <v>0.10449215566709959</v>
      </c>
      <c r="K23" s="280">
        <f t="shared" si="6"/>
        <v>0.16974475867475231</v>
      </c>
      <c r="L23" s="280">
        <f t="shared" si="6"/>
        <v>0.14544534233194206</v>
      </c>
      <c r="M23" s="286"/>
    </row>
    <row r="24" spans="2:13" x14ac:dyDescent="0.3">
      <c r="B24" s="121"/>
      <c r="C24" s="4"/>
      <c r="D24" s="4"/>
      <c r="E24" s="4"/>
      <c r="F24" s="4"/>
      <c r="G24" s="4"/>
      <c r="H24" s="4"/>
      <c r="I24" s="4"/>
      <c r="J24" s="4"/>
      <c r="K24" s="4"/>
      <c r="L24" s="4"/>
      <c r="M24" s="287"/>
    </row>
    <row r="25" spans="2:13" x14ac:dyDescent="0.3">
      <c r="B25" s="121" t="s">
        <v>7</v>
      </c>
      <c r="C25" s="278">
        <f>IFERROR('Data Sheet'!B27,0)</f>
        <v>360.6</v>
      </c>
      <c r="D25" s="278">
        <f>IFERROR('Data Sheet'!C27,0)</f>
        <v>256.58</v>
      </c>
      <c r="E25" s="278">
        <f>IFERROR('Data Sheet'!D27,0)</f>
        <v>258.74</v>
      </c>
      <c r="F25" s="278">
        <f>IFERROR('Data Sheet'!E27,0)</f>
        <v>273.39999999999998</v>
      </c>
      <c r="G25" s="278">
        <f>IFERROR('Data Sheet'!F27,0)</f>
        <v>300.83</v>
      </c>
      <c r="H25" s="278">
        <f>IFERROR('Data Sheet'!G27,0)</f>
        <v>281.64</v>
      </c>
      <c r="I25" s="278">
        <f>IFERROR('Data Sheet'!H27,0)</f>
        <v>262.8</v>
      </c>
      <c r="J25" s="278">
        <f>IFERROR('Data Sheet'!I27,0)</f>
        <v>326.45</v>
      </c>
      <c r="K25" s="278">
        <f>IFERROR('Data Sheet'!J27,0)</f>
        <v>361.03</v>
      </c>
      <c r="L25" s="278">
        <f>IFERROR('Data Sheet'!K27,0)</f>
        <v>367.77</v>
      </c>
      <c r="M25" s="284">
        <f>IFERROR(SUM('Data Sheet'!H46:K46),0)</f>
        <v>360.03000000000003</v>
      </c>
    </row>
    <row r="26" spans="2:13" x14ac:dyDescent="0.3">
      <c r="B26" s="285" t="s">
        <v>67</v>
      </c>
      <c r="C26" s="280">
        <f>C25/C10</f>
        <v>1.7869699857428936E-2</v>
      </c>
      <c r="D26" s="280">
        <f t="shared" ref="D26:M26" si="7">D25/D10</f>
        <v>1.9130657814878937E-2</v>
      </c>
      <c r="E26" s="280">
        <f t="shared" si="7"/>
        <v>1.7302729556745451E-2</v>
      </c>
      <c r="F26" s="280">
        <f t="shared" si="7"/>
        <v>1.702183825891623E-2</v>
      </c>
      <c r="G26" s="280">
        <f t="shared" si="7"/>
        <v>1.852700374075128E-2</v>
      </c>
      <c r="H26" s="280">
        <f t="shared" si="7"/>
        <v>1.7425532823222165E-2</v>
      </c>
      <c r="I26" s="280">
        <f t="shared" si="7"/>
        <v>1.3604843489942614E-2</v>
      </c>
      <c r="J26" s="280">
        <f t="shared" si="7"/>
        <v>1.418833961439183E-2</v>
      </c>
      <c r="K26" s="280">
        <f t="shared" si="7"/>
        <v>1.4344386864176301E-2</v>
      </c>
      <c r="L26" s="280">
        <f t="shared" si="7"/>
        <v>1.3063493473048575E-2</v>
      </c>
      <c r="M26" s="288">
        <f t="shared" si="7"/>
        <v>1.2788253405121554E-2</v>
      </c>
    </row>
    <row r="27" spans="2:13" x14ac:dyDescent="0.3">
      <c r="B27" s="121"/>
      <c r="C27" s="4"/>
      <c r="D27" s="4"/>
      <c r="E27" s="4"/>
      <c r="F27" s="4"/>
      <c r="G27" s="4"/>
      <c r="H27" s="4"/>
      <c r="I27" s="4"/>
      <c r="J27" s="4"/>
      <c r="K27" s="4"/>
      <c r="L27" s="4"/>
      <c r="M27" s="287"/>
    </row>
    <row r="28" spans="2:13" x14ac:dyDescent="0.3">
      <c r="B28" s="121" t="s">
        <v>6</v>
      </c>
      <c r="C28" s="278">
        <f>IFERROR('Data Sheet'!B26,0)</f>
        <v>737.12</v>
      </c>
      <c r="D28" s="278">
        <f>IFERROR('Data Sheet'!C26,0)</f>
        <v>610.58000000000004</v>
      </c>
      <c r="E28" s="278">
        <f>IFERROR('Data Sheet'!D26,0)</f>
        <v>706.72</v>
      </c>
      <c r="F28" s="278">
        <f>IFERROR('Data Sheet'!E26,0)</f>
        <v>807.6</v>
      </c>
      <c r="G28" s="278">
        <f>IFERROR('Data Sheet'!F26,0)</f>
        <v>982.32</v>
      </c>
      <c r="H28" s="278">
        <f>IFERROR('Data Sheet'!G26,0)</f>
        <v>1140.77</v>
      </c>
      <c r="I28" s="278">
        <f>IFERROR('Data Sheet'!H26,0)</f>
        <v>1205.05</v>
      </c>
      <c r="J28" s="278">
        <f>IFERROR('Data Sheet'!I26,0)</f>
        <v>1253.04</v>
      </c>
      <c r="K28" s="278">
        <f>IFERROR('Data Sheet'!J26,0)</f>
        <v>1429.97</v>
      </c>
      <c r="L28" s="278">
        <f>IFERROR('Data Sheet'!K26,0)</f>
        <v>1653.55</v>
      </c>
      <c r="M28" s="284">
        <f>IFERROR(SUM('Data Sheet'!H45:K45),0)</f>
        <v>1653.55</v>
      </c>
    </row>
    <row r="29" spans="2:13" x14ac:dyDescent="0.3">
      <c r="B29" s="285" t="s">
        <v>68</v>
      </c>
      <c r="C29" s="280">
        <f>C28/C10</f>
        <v>3.6528322681386623E-2</v>
      </c>
      <c r="D29" s="280">
        <f t="shared" ref="D29:M29" si="8">D28/D10</f>
        <v>4.5524970958799524E-2</v>
      </c>
      <c r="E29" s="280">
        <f t="shared" si="8"/>
        <v>4.7260512608576742E-2</v>
      </c>
      <c r="F29" s="280">
        <f t="shared" si="8"/>
        <v>5.0281040884786937E-2</v>
      </c>
      <c r="G29" s="280">
        <f t="shared" si="8"/>
        <v>6.0497444784811352E-2</v>
      </c>
      <c r="H29" s="280">
        <f t="shared" si="8"/>
        <v>7.0581327505848418E-2</v>
      </c>
      <c r="I29" s="280">
        <f t="shared" si="8"/>
        <v>6.2384005508201466E-2</v>
      </c>
      <c r="J29" s="280">
        <f t="shared" si="8"/>
        <v>5.4460275908768688E-2</v>
      </c>
      <c r="K29" s="280">
        <f t="shared" si="8"/>
        <v>5.6815341894485741E-2</v>
      </c>
      <c r="L29" s="280">
        <f t="shared" si="8"/>
        <v>5.8735458662640974E-2</v>
      </c>
      <c r="M29" s="288">
        <f t="shared" si="8"/>
        <v>5.8734039991219462E-2</v>
      </c>
    </row>
    <row r="30" spans="2:13" x14ac:dyDescent="0.3">
      <c r="B30" s="121"/>
      <c r="C30" s="4"/>
      <c r="D30" s="4"/>
      <c r="E30" s="4"/>
      <c r="F30" s="4"/>
      <c r="G30" s="4"/>
      <c r="H30" s="4"/>
      <c r="I30" s="4"/>
      <c r="J30" s="4"/>
      <c r="K30" s="4"/>
      <c r="L30" s="4"/>
      <c r="M30" s="287"/>
    </row>
    <row r="31" spans="2:13" x14ac:dyDescent="0.3">
      <c r="B31" s="121" t="s">
        <v>70</v>
      </c>
      <c r="C31" s="278">
        <f>IFERROR(C22-SUM(C25,C28),0)</f>
        <v>3338.8499999999976</v>
      </c>
      <c r="D31" s="278">
        <f t="shared" ref="D31:L31" si="9">IFERROR(D22-SUM(D25,D28),0)</f>
        <v>1781.8800000000003</v>
      </c>
      <c r="E31" s="278">
        <f t="shared" si="9"/>
        <v>1322.9699999999993</v>
      </c>
      <c r="F31" s="278">
        <f t="shared" si="9"/>
        <v>1236.3499999999981</v>
      </c>
      <c r="G31" s="278">
        <f t="shared" si="9"/>
        <v>1098.8700000000013</v>
      </c>
      <c r="H31" s="278">
        <f t="shared" si="9"/>
        <v>1531.809999999999</v>
      </c>
      <c r="I31" s="278">
        <f t="shared" si="9"/>
        <v>593.14000000000351</v>
      </c>
      <c r="J31" s="278">
        <f t="shared" si="9"/>
        <v>824.69999999999777</v>
      </c>
      <c r="K31" s="278">
        <f t="shared" si="9"/>
        <v>2481.2599999999984</v>
      </c>
      <c r="L31" s="278">
        <f t="shared" si="9"/>
        <v>2073.329999999999</v>
      </c>
      <c r="M31" s="284">
        <f>IFERROR(SUM('Data Sheet'!H47:K47),0)</f>
        <v>2479</v>
      </c>
    </row>
    <row r="32" spans="2:13" x14ac:dyDescent="0.3">
      <c r="B32" s="285" t="s">
        <v>71</v>
      </c>
      <c r="C32" s="280">
        <f>C31/C10</f>
        <v>0.165458256708199</v>
      </c>
      <c r="D32" s="280">
        <f t="shared" ref="D32:M32" si="10">D31/D10</f>
        <v>0.13285734097426333</v>
      </c>
      <c r="E32" s="280">
        <f t="shared" si="10"/>
        <v>8.8471021572572917E-2</v>
      </c>
      <c r="F32" s="280">
        <f t="shared" si="10"/>
        <v>7.697494415292995E-2</v>
      </c>
      <c r="G32" s="280">
        <f t="shared" si="10"/>
        <v>6.7675326930822663E-2</v>
      </c>
      <c r="H32" s="280">
        <f t="shared" si="10"/>
        <v>9.4775619350731172E-2</v>
      </c>
      <c r="I32" s="280">
        <f t="shared" si="10"/>
        <v>3.0706152464324999E-2</v>
      </c>
      <c r="J32" s="280">
        <f t="shared" si="10"/>
        <v>3.5843540143939076E-2</v>
      </c>
      <c r="K32" s="280">
        <f t="shared" si="10"/>
        <v>9.8585029916090264E-2</v>
      </c>
      <c r="L32" s="280">
        <f t="shared" si="10"/>
        <v>7.364639019625252E-2</v>
      </c>
      <c r="M32" s="288">
        <f t="shared" si="10"/>
        <v>8.8053996031709381E-2</v>
      </c>
    </row>
    <row r="33" spans="2:13" x14ac:dyDescent="0.3">
      <c r="B33" s="121"/>
      <c r="C33" s="4"/>
      <c r="D33" s="4"/>
      <c r="E33" s="4"/>
      <c r="F33" s="4"/>
      <c r="G33" s="4"/>
      <c r="H33" s="4"/>
      <c r="I33" s="4"/>
      <c r="J33" s="4"/>
      <c r="K33" s="4"/>
      <c r="L33" s="4"/>
      <c r="M33" s="287"/>
    </row>
    <row r="34" spans="2:13" x14ac:dyDescent="0.3">
      <c r="B34" s="121" t="s">
        <v>9</v>
      </c>
      <c r="C34" s="278">
        <f>IFERROR('Data Sheet'!B29,0)</f>
        <v>1146.47</v>
      </c>
      <c r="D34" s="278">
        <f>IFERROR('Data Sheet'!C29,0)</f>
        <v>623.15</v>
      </c>
      <c r="E34" s="278">
        <f>IFERROR('Data Sheet'!D29,0)</f>
        <v>521.04</v>
      </c>
      <c r="F34" s="278">
        <f>IFERROR('Data Sheet'!E29,0)</f>
        <v>521.57000000000005</v>
      </c>
      <c r="G34" s="278">
        <f>IFERROR('Data Sheet'!F29,0)</f>
        <v>11.68</v>
      </c>
      <c r="H34" s="278">
        <f>IFERROR('Data Sheet'!G29,0)</f>
        <v>459.77</v>
      </c>
      <c r="I34" s="278">
        <f>IFERROR('Data Sheet'!H29,0)</f>
        <v>238.69</v>
      </c>
      <c r="J34" s="278">
        <f>IFERROR('Data Sheet'!I29,0)</f>
        <v>300.77999999999997</v>
      </c>
      <c r="K34" s="278">
        <f>IFERROR('Data Sheet'!J29,0)</f>
        <v>706.19</v>
      </c>
      <c r="L34" s="278">
        <f>IFERROR('Data Sheet'!K29,0)</f>
        <v>609.71</v>
      </c>
      <c r="M34" s="284">
        <f>IFERROR(SUM('Data Sheet'!H48:K48),0)</f>
        <v>609.71</v>
      </c>
    </row>
    <row r="35" spans="2:13" x14ac:dyDescent="0.3">
      <c r="B35" s="285" t="s">
        <v>72</v>
      </c>
      <c r="C35" s="280">
        <f>C34/C31</f>
        <v>0.34337271815145959</v>
      </c>
      <c r="D35" s="280">
        <f t="shared" ref="D35:M35" si="11">D34/D31</f>
        <v>0.34971490785013576</v>
      </c>
      <c r="E35" s="280">
        <f t="shared" si="11"/>
        <v>0.39384113018435807</v>
      </c>
      <c r="F35" s="280">
        <f t="shared" si="11"/>
        <v>0.42186274113317496</v>
      </c>
      <c r="G35" s="280">
        <f t="shared" si="11"/>
        <v>1.0629100803552729E-2</v>
      </c>
      <c r="H35" s="280">
        <f t="shared" si="11"/>
        <v>0.30014819070250243</v>
      </c>
      <c r="I35" s="280">
        <f t="shared" si="11"/>
        <v>0.40241764170347405</v>
      </c>
      <c r="J35" s="280">
        <f t="shared" si="11"/>
        <v>0.36471444161513372</v>
      </c>
      <c r="K35" s="280">
        <f t="shared" si="11"/>
        <v>0.28460943230455515</v>
      </c>
      <c r="L35" s="280">
        <f t="shared" si="11"/>
        <v>0.29407282005276553</v>
      </c>
      <c r="M35" s="288">
        <f t="shared" si="11"/>
        <v>0.24594997983057687</v>
      </c>
    </row>
    <row r="36" spans="2:13" x14ac:dyDescent="0.3">
      <c r="B36" s="121"/>
      <c r="C36" s="4"/>
      <c r="D36" s="4"/>
      <c r="E36" s="4"/>
      <c r="F36" s="4"/>
      <c r="G36" s="4"/>
      <c r="H36" s="4"/>
      <c r="I36" s="4"/>
      <c r="J36" s="4"/>
      <c r="K36" s="4"/>
      <c r="L36" s="4"/>
      <c r="M36" s="287"/>
    </row>
    <row r="37" spans="2:13" x14ac:dyDescent="0.3">
      <c r="B37" s="121" t="s">
        <v>73</v>
      </c>
      <c r="C37" s="278">
        <f>IFERROR('Data Sheet'!B30,0)</f>
        <v>2509.4299999999998</v>
      </c>
      <c r="D37" s="278">
        <f>IFERROR('Data Sheet'!C30,0)</f>
        <v>1486.22</v>
      </c>
      <c r="E37" s="278">
        <f>IFERROR('Data Sheet'!D30,0)</f>
        <v>1131.6099999999999</v>
      </c>
      <c r="F37" s="278">
        <f>IFERROR('Data Sheet'!E30,0)</f>
        <v>1130.5999999999999</v>
      </c>
      <c r="G37" s="278">
        <f>IFERROR('Data Sheet'!F30,0)</f>
        <v>1422.56</v>
      </c>
      <c r="H37" s="278">
        <f>IFERROR('Data Sheet'!G30,0)</f>
        <v>1277.06</v>
      </c>
      <c r="I37" s="278">
        <f>IFERROR('Data Sheet'!H30,0)</f>
        <v>669.23</v>
      </c>
      <c r="J37" s="278">
        <f>IFERROR('Data Sheet'!I30,0)</f>
        <v>768.93</v>
      </c>
      <c r="K37" s="278">
        <f>IFERROR('Data Sheet'!J30,0)</f>
        <v>2081.2199999999998</v>
      </c>
      <c r="L37" s="278">
        <f>IFERROR('Data Sheet'!K30,0)</f>
        <v>1869.28</v>
      </c>
      <c r="M37" s="284">
        <f>IFERROR(SUM('Data Sheet'!H49:K49),0)</f>
        <v>1869.2800000000002</v>
      </c>
    </row>
    <row r="38" spans="2:13" x14ac:dyDescent="0.3">
      <c r="B38" s="285" t="s">
        <v>74</v>
      </c>
      <c r="C38" s="280">
        <f>C37/C10</f>
        <v>0.12435596481760368</v>
      </c>
      <c r="D38" s="280">
        <f t="shared" ref="D38:M38" si="12">D37/D10</f>
        <v>0.11081287028462614</v>
      </c>
      <c r="E38" s="280">
        <f t="shared" si="12"/>
        <v>7.5674197239347291E-2</v>
      </c>
      <c r="F38" s="280">
        <f t="shared" si="12"/>
        <v>7.0390966845393893E-2</v>
      </c>
      <c r="G38" s="280">
        <f t="shared" si="12"/>
        <v>8.7610193270096531E-2</v>
      </c>
      <c r="H38" s="280">
        <f t="shared" si="12"/>
        <v>7.9013815321772818E-2</v>
      </c>
      <c r="I38" s="280">
        <f t="shared" si="12"/>
        <v>3.4645241281485141E-2</v>
      </c>
      <c r="J38" s="280">
        <f t="shared" si="12"/>
        <v>3.3419635410305744E-2</v>
      </c>
      <c r="K38" s="280">
        <f t="shared" si="12"/>
        <v>8.2690703901229817E-2</v>
      </c>
      <c r="L38" s="280">
        <f t="shared" si="12"/>
        <v>6.6398366042092177E-2</v>
      </c>
      <c r="M38" s="288">
        <f t="shared" si="12"/>
        <v>6.6396762284047492E-2</v>
      </c>
    </row>
    <row r="39" spans="2:13" x14ac:dyDescent="0.3">
      <c r="B39" s="121"/>
      <c r="C39" s="4"/>
      <c r="D39" s="4"/>
      <c r="E39" s="4"/>
      <c r="F39" s="4"/>
      <c r="G39" s="4"/>
      <c r="H39" s="4"/>
      <c r="I39" s="4"/>
      <c r="J39" s="4"/>
      <c r="K39" s="4"/>
      <c r="L39" s="4"/>
      <c r="M39" s="287"/>
    </row>
    <row r="40" spans="2:13" x14ac:dyDescent="0.3">
      <c r="B40" s="121" t="s">
        <v>75</v>
      </c>
      <c r="C40" s="282">
        <f>IFERROR('Data Sheet'!B93,0)</f>
        <v>0.42</v>
      </c>
      <c r="D40" s="282">
        <f>IFERROR('Data Sheet'!C93,0)</f>
        <v>0.42</v>
      </c>
      <c r="E40" s="282">
        <f>IFERROR('Data Sheet'!D93,0)</f>
        <v>0.42</v>
      </c>
      <c r="F40" s="282">
        <f>IFERROR('Data Sheet'!E93,0)</f>
        <v>0.42</v>
      </c>
      <c r="G40" s="282">
        <f>IFERROR('Data Sheet'!F93,0)</f>
        <v>0.42</v>
      </c>
      <c r="H40" s="282">
        <f>IFERROR('Data Sheet'!G93,0)</f>
        <v>0.42</v>
      </c>
      <c r="I40" s="282">
        <f>IFERROR('Data Sheet'!H93,0)</f>
        <v>0.42</v>
      </c>
      <c r="J40" s="282">
        <f>IFERROR('Data Sheet'!I93,0)</f>
        <v>0.42</v>
      </c>
      <c r="K40" s="282">
        <f>IFERROR('Data Sheet'!J93,0)</f>
        <v>0.42</v>
      </c>
      <c r="L40" s="282">
        <f>IFERROR('Data Sheet'!K93,0)</f>
        <v>0.42</v>
      </c>
      <c r="M40" s="290">
        <f>IFERROR('Data Sheet'!L93,0)</f>
        <v>0</v>
      </c>
    </row>
    <row r="41" spans="2:13" x14ac:dyDescent="0.3">
      <c r="B41" s="121"/>
      <c r="C41" s="282"/>
      <c r="D41" s="282"/>
      <c r="E41" s="282"/>
      <c r="F41" s="282"/>
      <c r="G41" s="282"/>
      <c r="H41" s="282"/>
      <c r="I41" s="282"/>
      <c r="J41" s="282"/>
      <c r="K41" s="282"/>
      <c r="L41" s="282"/>
      <c r="M41" s="290"/>
    </row>
    <row r="42" spans="2:13" x14ac:dyDescent="0.3">
      <c r="B42" s="121" t="s">
        <v>76</v>
      </c>
      <c r="C42" s="278">
        <f>IFERROR(C37/C40,0)</f>
        <v>5974.833333333333</v>
      </c>
      <c r="D42" s="278">
        <f t="shared" ref="D42:M42" si="13">IFERROR(D37/D40,0)</f>
        <v>3538.6190476190477</v>
      </c>
      <c r="E42" s="278">
        <f t="shared" si="13"/>
        <v>2694.3095238095239</v>
      </c>
      <c r="F42" s="278">
        <f t="shared" si="13"/>
        <v>2691.9047619047619</v>
      </c>
      <c r="G42" s="278">
        <f t="shared" si="13"/>
        <v>3387.0476190476193</v>
      </c>
      <c r="H42" s="278">
        <f t="shared" si="13"/>
        <v>3040.6190476190477</v>
      </c>
      <c r="I42" s="278">
        <f t="shared" si="13"/>
        <v>1593.4047619047619</v>
      </c>
      <c r="J42" s="278">
        <f t="shared" si="13"/>
        <v>1830.7857142857142</v>
      </c>
      <c r="K42" s="278">
        <f t="shared" si="13"/>
        <v>4955.2857142857138</v>
      </c>
      <c r="L42" s="278">
        <f t="shared" si="13"/>
        <v>4450.666666666667</v>
      </c>
      <c r="M42" s="284">
        <f t="shared" si="13"/>
        <v>0</v>
      </c>
    </row>
    <row r="43" spans="2:13" x14ac:dyDescent="0.3">
      <c r="B43" s="285" t="s">
        <v>78</v>
      </c>
      <c r="C43" s="283" t="s">
        <v>60</v>
      </c>
      <c r="D43" s="280">
        <f t="shared" ref="D43:L43" si="14">IFERROR(D42/C42-1,0)</f>
        <v>-0.4077459821553101</v>
      </c>
      <c r="E43" s="280">
        <f t="shared" si="14"/>
        <v>-0.2385985924022016</v>
      </c>
      <c r="F43" s="280">
        <f t="shared" si="14"/>
        <v>-8.9253364675112579E-4</v>
      </c>
      <c r="G43" s="280">
        <f t="shared" si="14"/>
        <v>0.2582345657173184</v>
      </c>
      <c r="H43" s="280">
        <f t="shared" si="14"/>
        <v>-0.10228039590597238</v>
      </c>
      <c r="I43" s="280">
        <f t="shared" si="14"/>
        <v>-0.47596040906457016</v>
      </c>
      <c r="J43" s="280">
        <f t="shared" si="14"/>
        <v>0.1489771827323938</v>
      </c>
      <c r="K43" s="280">
        <f t="shared" si="14"/>
        <v>1.7066442979204868</v>
      </c>
      <c r="L43" s="280">
        <f t="shared" si="14"/>
        <v>-0.10183450091773083</v>
      </c>
      <c r="M43" s="291" t="s">
        <v>79</v>
      </c>
    </row>
    <row r="44" spans="2:13" x14ac:dyDescent="0.3">
      <c r="B44" s="121"/>
      <c r="C44" s="4"/>
      <c r="D44" s="4"/>
      <c r="E44" s="4"/>
      <c r="F44" s="4"/>
      <c r="G44" s="4"/>
      <c r="H44" s="4"/>
      <c r="I44" s="4"/>
      <c r="J44" s="4"/>
      <c r="K44" s="4"/>
      <c r="L44" s="4"/>
      <c r="M44" s="287"/>
    </row>
    <row r="45" spans="2:13" x14ac:dyDescent="0.3">
      <c r="B45" s="121" t="s">
        <v>77</v>
      </c>
      <c r="C45" s="278">
        <f>IFERROR('Data Sheet'!C31/'Historical FS'!C40,0)</f>
        <v>60.571428571428577</v>
      </c>
      <c r="D45" s="278">
        <f>IFERROR('Data Sheet'!D31/'Historical FS'!D40,0)</f>
        <v>60.571428571428577</v>
      </c>
      <c r="E45" s="278">
        <f>IFERROR('Data Sheet'!E31/'Historical FS'!E40,0)</f>
        <v>60.571428571428577</v>
      </c>
      <c r="F45" s="278">
        <f>IFERROR('Data Sheet'!F31/'Historical FS'!F40,0)</f>
        <v>100.95238095238095</v>
      </c>
      <c r="G45" s="278">
        <f>IFERROR('Data Sheet'!G31/'Historical FS'!G40,0)</f>
        <v>151.42857142857144</v>
      </c>
      <c r="H45" s="278">
        <f>IFERROR('Data Sheet'!H31/'Historical FS'!H40,0)</f>
        <v>151.42857142857144</v>
      </c>
      <c r="I45" s="278">
        <f>IFERROR('Data Sheet'!I31/'Historical FS'!I40,0)</f>
        <v>176.66666666666669</v>
      </c>
      <c r="J45" s="278">
        <f>IFERROR('Data Sheet'!J31/'Historical FS'!J40,0)</f>
        <v>201.9047619047619</v>
      </c>
      <c r="K45" s="278">
        <f>IFERROR('Data Sheet'!K31/'Historical FS'!K40,0)</f>
        <v>237.23809523809524</v>
      </c>
      <c r="L45" s="278">
        <f>IFERROR('Data Sheet'!L31/'Historical FS'!L40,0)</f>
        <v>0</v>
      </c>
      <c r="M45" s="284">
        <f>IFERROR('Data Sheet'!M31/'Historical FS'!M40,0)</f>
        <v>0</v>
      </c>
    </row>
    <row r="46" spans="2:13" x14ac:dyDescent="0.3">
      <c r="B46" s="292" t="s">
        <v>80</v>
      </c>
      <c r="C46" s="280">
        <f>IFERROR(C45/C40,0)</f>
        <v>144.21768707482994</v>
      </c>
      <c r="D46" s="280">
        <f t="shared" ref="D46:L46" si="15">IFERROR(D45/D40,0)</f>
        <v>144.21768707482994</v>
      </c>
      <c r="E46" s="280">
        <f t="shared" si="15"/>
        <v>144.21768707482994</v>
      </c>
      <c r="F46" s="280">
        <f t="shared" si="15"/>
        <v>240.36281179138322</v>
      </c>
      <c r="G46" s="280">
        <f t="shared" si="15"/>
        <v>360.54421768707488</v>
      </c>
      <c r="H46" s="280">
        <f t="shared" si="15"/>
        <v>360.54421768707488</v>
      </c>
      <c r="I46" s="280">
        <f t="shared" si="15"/>
        <v>420.63492063492072</v>
      </c>
      <c r="J46" s="280">
        <f t="shared" si="15"/>
        <v>480.72562358276645</v>
      </c>
      <c r="K46" s="280">
        <f t="shared" si="15"/>
        <v>564.8526077097506</v>
      </c>
      <c r="L46" s="280">
        <f t="shared" si="15"/>
        <v>0</v>
      </c>
      <c r="M46" s="288"/>
    </row>
    <row r="47" spans="2:13" x14ac:dyDescent="0.3">
      <c r="B47" s="121"/>
      <c r="C47" s="4"/>
      <c r="D47" s="4"/>
      <c r="E47" s="4"/>
      <c r="F47" s="4"/>
      <c r="G47" s="4"/>
      <c r="H47" s="4"/>
      <c r="I47" s="4"/>
      <c r="J47" s="4"/>
      <c r="K47" s="4"/>
      <c r="L47" s="4"/>
      <c r="M47" s="287"/>
    </row>
    <row r="48" spans="2:13" ht="15" thickBot="1" x14ac:dyDescent="0.35">
      <c r="B48" s="293" t="s">
        <v>81</v>
      </c>
      <c r="C48" s="453">
        <f>IFERROR(1-C46,0)</f>
        <v>-143.21768707482994</v>
      </c>
      <c r="D48" s="453">
        <f t="shared" ref="D48:K48" si="16">IFERROR(1-D46,0)</f>
        <v>-143.21768707482994</v>
      </c>
      <c r="E48" s="453">
        <f t="shared" si="16"/>
        <v>-143.21768707482994</v>
      </c>
      <c r="F48" s="453">
        <f t="shared" si="16"/>
        <v>-239.36281179138322</v>
      </c>
      <c r="G48" s="453">
        <f t="shared" si="16"/>
        <v>-359.54421768707488</v>
      </c>
      <c r="H48" s="453">
        <f t="shared" si="16"/>
        <v>-359.54421768707488</v>
      </c>
      <c r="I48" s="453">
        <f t="shared" si="16"/>
        <v>-419.63492063492072</v>
      </c>
      <c r="J48" s="453">
        <f t="shared" si="16"/>
        <v>-479.72562358276645</v>
      </c>
      <c r="K48" s="453">
        <f t="shared" si="16"/>
        <v>-563.8526077097506</v>
      </c>
      <c r="L48" s="453"/>
      <c r="M48" s="294"/>
    </row>
    <row r="49" spans="1:13" ht="15.6" thickTop="1" thickBot="1" x14ac:dyDescent="0.35"/>
    <row r="50" spans="1:13" ht="15" thickTop="1" x14ac:dyDescent="0.3">
      <c r="A50" s="58" t="s">
        <v>59</v>
      </c>
      <c r="B50" s="115" t="s">
        <v>82</v>
      </c>
      <c r="C50" s="131"/>
      <c r="D50" s="131"/>
      <c r="E50" s="131"/>
      <c r="F50" s="131"/>
      <c r="G50" s="131"/>
      <c r="H50" s="131"/>
      <c r="I50" s="131"/>
      <c r="J50" s="131"/>
      <c r="K50" s="131"/>
      <c r="L50" s="132"/>
      <c r="M50" s="275"/>
    </row>
    <row r="51" spans="1:13" x14ac:dyDescent="0.3">
      <c r="B51" s="295" t="s">
        <v>12</v>
      </c>
      <c r="C51" s="278">
        <f>IFERROR('Data Sheet'!B57,0)</f>
        <v>4.24</v>
      </c>
      <c r="D51" s="278">
        <f>IFERROR('Data Sheet'!C57,0)</f>
        <v>4.24</v>
      </c>
      <c r="E51" s="278">
        <f>IFERROR('Data Sheet'!D57,0)</f>
        <v>4.24</v>
      </c>
      <c r="F51" s="278">
        <f>IFERROR('Data Sheet'!E57,0)</f>
        <v>4.24</v>
      </c>
      <c r="G51" s="278">
        <f>IFERROR('Data Sheet'!F57,0)</f>
        <v>4.24</v>
      </c>
      <c r="H51" s="278">
        <f>IFERROR('Data Sheet'!G57,0)</f>
        <v>4.24</v>
      </c>
      <c r="I51" s="278">
        <f>IFERROR('Data Sheet'!H57,0)</f>
        <v>4.24</v>
      </c>
      <c r="J51" s="278">
        <f>IFERROR('Data Sheet'!I57,0)</f>
        <v>4.24</v>
      </c>
      <c r="K51" s="278">
        <f>IFERROR('Data Sheet'!J57,0)</f>
        <v>4.24</v>
      </c>
      <c r="L51" s="284">
        <f>IFERROR('Data Sheet'!K57,0)</f>
        <v>4.24</v>
      </c>
    </row>
    <row r="52" spans="1:13" x14ac:dyDescent="0.3">
      <c r="B52" s="295" t="s">
        <v>13</v>
      </c>
      <c r="C52" s="278">
        <f>IFERROR('Data Sheet'!B58,0)</f>
        <v>7220.1</v>
      </c>
      <c r="D52" s="278">
        <f>IFERROR('Data Sheet'!C58,0)</f>
        <v>8636.52</v>
      </c>
      <c r="E52" s="278">
        <f>IFERROR('Data Sheet'!D58,0)</f>
        <v>9733.9500000000007</v>
      </c>
      <c r="F52" s="278">
        <f>IFERROR('Data Sheet'!E58,0)</f>
        <v>10833.11</v>
      </c>
      <c r="G52" s="278">
        <f>IFERROR('Data Sheet'!F58,0)</f>
        <v>12210.47</v>
      </c>
      <c r="H52" s="278">
        <f>IFERROR('Data Sheet'!G58,0)</f>
        <v>13409.43</v>
      </c>
      <c r="I52" s="278">
        <f>IFERROR('Data Sheet'!H58,0)</f>
        <v>14027.51</v>
      </c>
      <c r="J52" s="278">
        <f>IFERROR('Data Sheet'!I58,0)</f>
        <v>14703.42</v>
      </c>
      <c r="K52" s="278">
        <f>IFERROR('Data Sheet'!J58,0)</f>
        <v>16698.75</v>
      </c>
      <c r="L52" s="284">
        <f>IFERROR('Data Sheet'!K58,0)</f>
        <v>18484.22</v>
      </c>
    </row>
    <row r="53" spans="1:13" x14ac:dyDescent="0.3">
      <c r="B53" s="295" t="s">
        <v>37</v>
      </c>
      <c r="C53" s="278">
        <f>IFERROR('Data Sheet'!B59,0)</f>
        <v>2463.9</v>
      </c>
      <c r="D53" s="278">
        <f>IFERROR('Data Sheet'!C59,0)</f>
        <v>2332.84</v>
      </c>
      <c r="E53" s="278">
        <f>IFERROR('Data Sheet'!D59,0)</f>
        <v>2162.9</v>
      </c>
      <c r="F53" s="278">
        <f>IFERROR('Data Sheet'!E59,0)</f>
        <v>2506.31</v>
      </c>
      <c r="G53" s="278">
        <f>IFERROR('Data Sheet'!F59,0)</f>
        <v>1854.14</v>
      </c>
      <c r="H53" s="278">
        <f>IFERROR('Data Sheet'!G59,0)</f>
        <v>2388.23</v>
      </c>
      <c r="I53" s="278">
        <f>IFERROR('Data Sheet'!H59,0)</f>
        <v>3228.95</v>
      </c>
      <c r="J53" s="278">
        <f>IFERROR('Data Sheet'!I59,0)</f>
        <v>3013.61</v>
      </c>
      <c r="K53" s="278">
        <f>IFERROR('Data Sheet'!J59,0)</f>
        <v>2821.5</v>
      </c>
      <c r="L53" s="284">
        <f>IFERROR('Data Sheet'!K59,0)</f>
        <v>3771.16</v>
      </c>
    </row>
    <row r="54" spans="1:13" ht="15" thickBot="1" x14ac:dyDescent="0.35">
      <c r="B54" s="295" t="s">
        <v>38</v>
      </c>
      <c r="C54" s="278">
        <f>IFERROR('Data Sheet'!B60,0)</f>
        <v>3565.57</v>
      </c>
      <c r="D54" s="278">
        <f>IFERROR('Data Sheet'!C60,0)</f>
        <v>4074.56</v>
      </c>
      <c r="E54" s="278">
        <f>IFERROR('Data Sheet'!D60,0)</f>
        <v>4577.13</v>
      </c>
      <c r="F54" s="278">
        <f>IFERROR('Data Sheet'!E60,0)</f>
        <v>5097.54</v>
      </c>
      <c r="G54" s="278">
        <f>IFERROR('Data Sheet'!F60,0)</f>
        <v>5373.49</v>
      </c>
      <c r="H54" s="278">
        <f>IFERROR('Data Sheet'!G60,0)</f>
        <v>6779.96</v>
      </c>
      <c r="I54" s="278">
        <f>IFERROR('Data Sheet'!H60,0)</f>
        <v>5799.04</v>
      </c>
      <c r="J54" s="278">
        <f>IFERROR('Data Sheet'!I60,0)</f>
        <v>6648.14</v>
      </c>
      <c r="K54" s="278">
        <f>IFERROR('Data Sheet'!J60,0)</f>
        <v>7324.94</v>
      </c>
      <c r="L54" s="284">
        <f>IFERROR('Data Sheet'!K60,0)</f>
        <v>7307.37</v>
      </c>
    </row>
    <row r="55" spans="1:13" ht="15" thickBot="1" x14ac:dyDescent="0.35">
      <c r="B55" s="314" t="s">
        <v>83</v>
      </c>
      <c r="C55" s="311">
        <f>IFERROR('Data Sheet'!B61,0)</f>
        <v>13253.81</v>
      </c>
      <c r="D55" s="311">
        <f>IFERROR('Data Sheet'!C61,0)</f>
        <v>15048.16</v>
      </c>
      <c r="E55" s="311">
        <f>IFERROR('Data Sheet'!D61,0)</f>
        <v>16478.22</v>
      </c>
      <c r="F55" s="311">
        <f>IFERROR('Data Sheet'!E61,0)</f>
        <v>18441.2</v>
      </c>
      <c r="G55" s="311">
        <f>IFERROR('Data Sheet'!F61,0)</f>
        <v>19442.34</v>
      </c>
      <c r="H55" s="311">
        <f>IFERROR('Data Sheet'!G61,0)</f>
        <v>22581.86</v>
      </c>
      <c r="I55" s="311">
        <f>IFERROR('Data Sheet'!H61,0)</f>
        <v>23059.74</v>
      </c>
      <c r="J55" s="311">
        <f>IFERROR('Data Sheet'!I61,0)</f>
        <v>24369.41</v>
      </c>
      <c r="K55" s="311">
        <f>IFERROR('Data Sheet'!J61,0)</f>
        <v>26849.43</v>
      </c>
      <c r="L55" s="312">
        <f>IFERROR('Data Sheet'!K61,0)</f>
        <v>29566.99</v>
      </c>
      <c r="M55" s="13"/>
    </row>
    <row r="56" spans="1:13" x14ac:dyDescent="0.3">
      <c r="B56" s="296"/>
      <c r="C56" s="278"/>
      <c r="D56" s="278"/>
      <c r="E56" s="278"/>
      <c r="F56" s="278"/>
      <c r="G56" s="278"/>
      <c r="H56" s="278"/>
      <c r="I56" s="278"/>
      <c r="J56" s="278"/>
      <c r="K56" s="278"/>
      <c r="L56" s="284"/>
    </row>
    <row r="57" spans="1:13" x14ac:dyDescent="0.3">
      <c r="B57" s="295" t="s">
        <v>84</v>
      </c>
      <c r="C57" s="278">
        <f>IFERROR('Data Sheet'!B62,0)</f>
        <v>4608.29</v>
      </c>
      <c r="D57" s="278">
        <f>IFERROR('Data Sheet'!C62,0)</f>
        <v>5502.24</v>
      </c>
      <c r="E57" s="278">
        <f>IFERROR('Data Sheet'!D62,0)</f>
        <v>6092.17</v>
      </c>
      <c r="F57" s="278">
        <f>IFERROR('Data Sheet'!E62,0)</f>
        <v>6786</v>
      </c>
      <c r="G57" s="278">
        <f>IFERROR('Data Sheet'!F62,0)</f>
        <v>8869.76</v>
      </c>
      <c r="H57" s="278">
        <f>IFERROR('Data Sheet'!G62,0)</f>
        <v>9440.75</v>
      </c>
      <c r="I57" s="278">
        <f>IFERROR('Data Sheet'!H62,0)</f>
        <v>9521.82</v>
      </c>
      <c r="J57" s="278">
        <f>IFERROR('Data Sheet'!I62,0)</f>
        <v>10117.969999999999</v>
      </c>
      <c r="K57" s="278">
        <f>IFERROR('Data Sheet'!J62,0)</f>
        <v>12046.22</v>
      </c>
      <c r="L57" s="284">
        <f>IFERROR('Data Sheet'!K62,0)</f>
        <v>13220.78</v>
      </c>
    </row>
    <row r="58" spans="1:13" x14ac:dyDescent="0.3">
      <c r="B58" s="295" t="s">
        <v>16</v>
      </c>
      <c r="C58" s="278">
        <f>IFERROR('Data Sheet'!B63,0)</f>
        <v>1059.28</v>
      </c>
      <c r="D58" s="278">
        <f>IFERROR('Data Sheet'!C63,0)</f>
        <v>847.93</v>
      </c>
      <c r="E58" s="278">
        <f>IFERROR('Data Sheet'!D63,0)</f>
        <v>1078.9100000000001</v>
      </c>
      <c r="F58" s="278">
        <f>IFERROR('Data Sheet'!E63,0)</f>
        <v>1403.47</v>
      </c>
      <c r="G58" s="278">
        <f>IFERROR('Data Sheet'!F63,0)</f>
        <v>1740.94</v>
      </c>
      <c r="H58" s="278">
        <f>IFERROR('Data Sheet'!G63,0)</f>
        <v>1002.23</v>
      </c>
      <c r="I58" s="278">
        <f>IFERROR('Data Sheet'!H63,0)</f>
        <v>1233.07</v>
      </c>
      <c r="J58" s="278">
        <f>IFERROR('Data Sheet'!I63,0)</f>
        <v>3045.86</v>
      </c>
      <c r="K58" s="278">
        <f>IFERROR('Data Sheet'!J63,0)</f>
        <v>2384.5300000000002</v>
      </c>
      <c r="L58" s="284">
        <f>IFERROR('Data Sheet'!K63,0)</f>
        <v>1168.6300000000001</v>
      </c>
    </row>
    <row r="59" spans="1:13" x14ac:dyDescent="0.3">
      <c r="B59" s="295" t="s">
        <v>17</v>
      </c>
      <c r="C59" s="278">
        <f>IFERROR('Data Sheet'!B64,0)</f>
        <v>3137.9</v>
      </c>
      <c r="D59" s="278">
        <f>IFERROR('Data Sheet'!C64,0)</f>
        <v>3382.1</v>
      </c>
      <c r="E59" s="278">
        <f>IFERROR('Data Sheet'!D64,0)</f>
        <v>4145</v>
      </c>
      <c r="F59" s="278">
        <f>IFERROR('Data Sheet'!E64,0)</f>
        <v>3854.68</v>
      </c>
      <c r="G59" s="278">
        <f>IFERROR('Data Sheet'!F64,0)</f>
        <v>1519.33</v>
      </c>
      <c r="H59" s="278">
        <f>IFERROR('Data Sheet'!G64,0)</f>
        <v>5874.02</v>
      </c>
      <c r="I59" s="278">
        <f>IFERROR('Data Sheet'!H64,0)</f>
        <v>3656.46</v>
      </c>
      <c r="J59" s="278">
        <f>IFERROR('Data Sheet'!I64,0)</f>
        <v>3085.11</v>
      </c>
      <c r="K59" s="278">
        <f>IFERROR('Data Sheet'!J64,0)</f>
        <v>3382.97</v>
      </c>
      <c r="L59" s="284">
        <f>IFERROR('Data Sheet'!K64,0)</f>
        <v>4548.24</v>
      </c>
    </row>
    <row r="60" spans="1:13" x14ac:dyDescent="0.3">
      <c r="B60" s="295" t="s">
        <v>39</v>
      </c>
      <c r="C60" s="278">
        <f>IFERROR('Data Sheet'!B65-SUM('Data Sheet'!B67:B69),0)</f>
        <v>585.58000000000038</v>
      </c>
      <c r="D60" s="278">
        <f>IFERROR('Data Sheet'!C65-SUM('Data Sheet'!C67:C69),0)</f>
        <v>579.01000000000022</v>
      </c>
      <c r="E60" s="278">
        <f>IFERROR('Data Sheet'!D65-SUM('Data Sheet'!D67:D69),0)</f>
        <v>581.98000000000047</v>
      </c>
      <c r="F60" s="278">
        <f>IFERROR('Data Sheet'!E65-SUM('Data Sheet'!E67:E69),0)</f>
        <v>916.64000000000033</v>
      </c>
      <c r="G60" s="278">
        <f>IFERROR('Data Sheet'!F65-SUM('Data Sheet'!F67:F69),0)</f>
        <v>926.59000000000015</v>
      </c>
      <c r="H60" s="278">
        <f>IFERROR('Data Sheet'!G65-SUM('Data Sheet'!G67:G69),0)</f>
        <v>1010.6999999999989</v>
      </c>
      <c r="I60" s="278">
        <f>IFERROR('Data Sheet'!H65-SUM('Data Sheet'!H67:H69),0)</f>
        <v>1929.9099999999989</v>
      </c>
      <c r="J60" s="278">
        <f>IFERROR('Data Sheet'!I65-SUM('Data Sheet'!I67:I69),0)</f>
        <v>1217.6600000000008</v>
      </c>
      <c r="K60" s="278">
        <f>IFERROR('Data Sheet'!J65-SUM('Data Sheet'!J67:J69),0)</f>
        <v>1309.7899999999991</v>
      </c>
      <c r="L60" s="284">
        <f>IFERROR('Data Sheet'!K65-SUM('Data Sheet'!K67:K69),0)</f>
        <v>1257.8200000000015</v>
      </c>
    </row>
    <row r="61" spans="1:13" x14ac:dyDescent="0.3">
      <c r="B61" s="296" t="s">
        <v>85</v>
      </c>
      <c r="C61" s="297">
        <f>IFERROR(SUM(C57:C60),0)</f>
        <v>9391.0499999999993</v>
      </c>
      <c r="D61" s="297">
        <f t="shared" ref="D61:L61" si="17">IFERROR(SUM(D57:D60),0)</f>
        <v>10311.280000000001</v>
      </c>
      <c r="E61" s="297">
        <f t="shared" si="17"/>
        <v>11898.060000000001</v>
      </c>
      <c r="F61" s="297">
        <f t="shared" si="17"/>
        <v>12960.79</v>
      </c>
      <c r="G61" s="297">
        <f t="shared" si="17"/>
        <v>13056.62</v>
      </c>
      <c r="H61" s="297">
        <f t="shared" si="17"/>
        <v>17327.699999999997</v>
      </c>
      <c r="I61" s="297">
        <f t="shared" si="17"/>
        <v>16341.259999999998</v>
      </c>
      <c r="J61" s="297">
        <f t="shared" si="17"/>
        <v>17466.600000000002</v>
      </c>
      <c r="K61" s="297">
        <f t="shared" si="17"/>
        <v>19123.510000000002</v>
      </c>
      <c r="L61" s="298">
        <f t="shared" si="17"/>
        <v>20195.47</v>
      </c>
      <c r="M61" s="13"/>
    </row>
    <row r="62" spans="1:13" x14ac:dyDescent="0.3">
      <c r="B62" s="296"/>
      <c r="C62" s="278"/>
      <c r="D62" s="278"/>
      <c r="E62" s="278"/>
      <c r="F62" s="278"/>
      <c r="G62" s="278"/>
      <c r="H62" s="278"/>
      <c r="I62" s="278"/>
      <c r="J62" s="278"/>
      <c r="K62" s="278"/>
      <c r="L62" s="284"/>
    </row>
    <row r="63" spans="1:13" x14ac:dyDescent="0.3">
      <c r="B63" s="295" t="s">
        <v>44</v>
      </c>
      <c r="C63" s="278">
        <f>IFERROR('Data Sheet'!B67,0)</f>
        <v>1838.72</v>
      </c>
      <c r="D63" s="278">
        <f>IFERROR('Data Sheet'!C67,0)</f>
        <v>1969</v>
      </c>
      <c r="E63" s="278">
        <f>IFERROR('Data Sheet'!D67,0)</f>
        <v>2149.9299999999998</v>
      </c>
      <c r="F63" s="278">
        <f>IFERROR('Data Sheet'!E67,0)</f>
        <v>2382.71</v>
      </c>
      <c r="G63" s="278">
        <f>IFERROR('Data Sheet'!F67,0)</f>
        <v>2299.4</v>
      </c>
      <c r="H63" s="278">
        <f>IFERROR('Data Sheet'!G67,0)</f>
        <v>2145.96</v>
      </c>
      <c r="I63" s="278">
        <f>IFERROR('Data Sheet'!H67,0)</f>
        <v>2332.6799999999998</v>
      </c>
      <c r="J63" s="278">
        <f>IFERROR('Data Sheet'!I67,0)</f>
        <v>2503.27</v>
      </c>
      <c r="K63" s="278">
        <f>IFERROR('Data Sheet'!J67,0)</f>
        <v>2911.96</v>
      </c>
      <c r="L63" s="284">
        <f>IFERROR('Data Sheet'!K67,0)</f>
        <v>3370.25</v>
      </c>
    </row>
    <row r="64" spans="1:13" x14ac:dyDescent="0.3">
      <c r="B64" s="295" t="s">
        <v>31</v>
      </c>
      <c r="C64" s="278">
        <f>IFERROR('Data Sheet'!B68,0)</f>
        <v>1899.81</v>
      </c>
      <c r="D64" s="278">
        <f>IFERROR('Data Sheet'!C68,0)</f>
        <v>2425.27</v>
      </c>
      <c r="E64" s="278">
        <f>IFERROR('Data Sheet'!D68,0)</f>
        <v>2197.33</v>
      </c>
      <c r="F64" s="278">
        <f>IFERROR('Data Sheet'!E68,0)</f>
        <v>2993.2</v>
      </c>
      <c r="G64" s="278">
        <f>IFERROR('Data Sheet'!F68,0)</f>
        <v>2905.18</v>
      </c>
      <c r="H64" s="278">
        <f>IFERROR('Data Sheet'!G68,0)</f>
        <v>2938.81</v>
      </c>
      <c r="I64" s="278">
        <f>IFERROR('Data Sheet'!H68,0)</f>
        <v>4129.67</v>
      </c>
      <c r="J64" s="278">
        <f>IFERROR('Data Sheet'!I68,0)</f>
        <v>4141.05</v>
      </c>
      <c r="K64" s="278">
        <f>IFERROR('Data Sheet'!J68,0)</f>
        <v>4468.58</v>
      </c>
      <c r="L64" s="284">
        <f>IFERROR('Data Sheet'!K68,0)</f>
        <v>5624.78</v>
      </c>
    </row>
    <row r="65" spans="1:13" x14ac:dyDescent="0.3">
      <c r="B65" s="295" t="s">
        <v>53</v>
      </c>
      <c r="C65" s="278">
        <f>IFERROR('Data Sheet'!B69,0)</f>
        <v>124.23</v>
      </c>
      <c r="D65" s="278">
        <f>IFERROR('Data Sheet'!C69,0)</f>
        <v>342.61</v>
      </c>
      <c r="E65" s="278">
        <f>IFERROR('Data Sheet'!D69,0)</f>
        <v>232.9</v>
      </c>
      <c r="F65" s="278">
        <f>IFERROR('Data Sheet'!E69,0)</f>
        <v>104.5</v>
      </c>
      <c r="G65" s="278">
        <f>IFERROR('Data Sheet'!F69,0)</f>
        <v>1181.1400000000001</v>
      </c>
      <c r="H65" s="278">
        <f>IFERROR('Data Sheet'!G69,0)</f>
        <v>169.39</v>
      </c>
      <c r="I65" s="278">
        <f>IFERROR('Data Sheet'!H69,0)</f>
        <v>256.13</v>
      </c>
      <c r="J65" s="278">
        <f>IFERROR('Data Sheet'!I69,0)</f>
        <v>258.49</v>
      </c>
      <c r="K65" s="278">
        <f>IFERROR('Data Sheet'!J69,0)</f>
        <v>345.38</v>
      </c>
      <c r="L65" s="284">
        <f>IFERROR('Data Sheet'!K69,0)</f>
        <v>376.49</v>
      </c>
    </row>
    <row r="66" spans="1:13" x14ac:dyDescent="0.3">
      <c r="B66" s="118" t="s">
        <v>86</v>
      </c>
      <c r="C66" s="297">
        <f>IFERROR(SUM(C63:C65),0)</f>
        <v>3862.7599999999998</v>
      </c>
      <c r="D66" s="297">
        <f t="shared" ref="D66:L66" si="18">IFERROR(SUM(D63:D65),0)</f>
        <v>4736.88</v>
      </c>
      <c r="E66" s="297">
        <f t="shared" si="18"/>
        <v>4580.16</v>
      </c>
      <c r="F66" s="297">
        <f t="shared" si="18"/>
        <v>5480.41</v>
      </c>
      <c r="G66" s="297">
        <f t="shared" si="18"/>
        <v>6385.72</v>
      </c>
      <c r="H66" s="297">
        <f t="shared" si="18"/>
        <v>5254.1600000000008</v>
      </c>
      <c r="I66" s="297">
        <f t="shared" si="18"/>
        <v>6718.4800000000005</v>
      </c>
      <c r="J66" s="297">
        <f t="shared" si="18"/>
        <v>6902.8099999999995</v>
      </c>
      <c r="K66" s="297">
        <f t="shared" si="18"/>
        <v>7725.92</v>
      </c>
      <c r="L66" s="298">
        <f t="shared" si="18"/>
        <v>9371.5199999999986</v>
      </c>
      <c r="M66" s="13"/>
    </row>
    <row r="67" spans="1:13" ht="15" thickBot="1" x14ac:dyDescent="0.35">
      <c r="B67" s="118"/>
      <c r="C67" s="278"/>
      <c r="D67" s="278"/>
      <c r="E67" s="278"/>
      <c r="F67" s="278"/>
      <c r="G67" s="278"/>
      <c r="H67" s="278"/>
      <c r="I67" s="278"/>
      <c r="J67" s="278"/>
      <c r="K67" s="278"/>
      <c r="L67" s="284"/>
    </row>
    <row r="68" spans="1:13" ht="15" thickBot="1" x14ac:dyDescent="0.35">
      <c r="B68" s="313" t="s">
        <v>87</v>
      </c>
      <c r="C68" s="311">
        <f>IFERROR(SUM(C61,C66),0)</f>
        <v>13253.81</v>
      </c>
      <c r="D68" s="311">
        <f t="shared" ref="D68:L68" si="19">IFERROR(SUM(D61,D66),0)</f>
        <v>15048.16</v>
      </c>
      <c r="E68" s="311">
        <f t="shared" si="19"/>
        <v>16478.22</v>
      </c>
      <c r="F68" s="311">
        <f t="shared" si="19"/>
        <v>18441.2</v>
      </c>
      <c r="G68" s="311">
        <f t="shared" si="19"/>
        <v>19442.34</v>
      </c>
      <c r="H68" s="311">
        <f t="shared" si="19"/>
        <v>22581.859999999997</v>
      </c>
      <c r="I68" s="311">
        <f t="shared" si="19"/>
        <v>23059.739999999998</v>
      </c>
      <c r="J68" s="311">
        <f t="shared" si="19"/>
        <v>24369.410000000003</v>
      </c>
      <c r="K68" s="311">
        <f t="shared" si="19"/>
        <v>26849.43</v>
      </c>
      <c r="L68" s="312">
        <f t="shared" si="19"/>
        <v>29566.989999999998</v>
      </c>
      <c r="M68" s="13"/>
    </row>
    <row r="69" spans="1:13" x14ac:dyDescent="0.3">
      <c r="B69" s="121"/>
      <c r="C69" s="4"/>
      <c r="D69" s="4"/>
      <c r="E69" s="4"/>
      <c r="F69" s="4"/>
      <c r="G69" s="4"/>
      <c r="H69" s="4"/>
      <c r="I69" s="4"/>
      <c r="J69" s="4"/>
      <c r="K69" s="4"/>
      <c r="L69" s="287"/>
    </row>
    <row r="70" spans="1:13" ht="15" thickBot="1" x14ac:dyDescent="0.35">
      <c r="B70" s="299" t="s">
        <v>88</v>
      </c>
      <c r="C70" s="300" t="b">
        <f>C68=C55</f>
        <v>1</v>
      </c>
      <c r="D70" s="300" t="b">
        <f t="shared" ref="D70:L70" si="20">D68=D55</f>
        <v>1</v>
      </c>
      <c r="E70" s="300" t="b">
        <f t="shared" si="20"/>
        <v>1</v>
      </c>
      <c r="F70" s="300" t="b">
        <f t="shared" si="20"/>
        <v>1</v>
      </c>
      <c r="G70" s="300" t="b">
        <f t="shared" si="20"/>
        <v>1</v>
      </c>
      <c r="H70" s="300" t="b">
        <f t="shared" si="20"/>
        <v>1</v>
      </c>
      <c r="I70" s="300" t="b">
        <f t="shared" si="20"/>
        <v>1</v>
      </c>
      <c r="J70" s="300" t="b">
        <f t="shared" si="20"/>
        <v>1</v>
      </c>
      <c r="K70" s="300" t="b">
        <f t="shared" si="20"/>
        <v>1</v>
      </c>
      <c r="L70" s="301" t="b">
        <f t="shared" si="20"/>
        <v>1</v>
      </c>
      <c r="M70" s="15"/>
    </row>
    <row r="71" spans="1:13" ht="15.6" thickTop="1" thickBot="1" x14ac:dyDescent="0.35"/>
    <row r="72" spans="1:13" ht="15" thickTop="1" x14ac:dyDescent="0.3">
      <c r="A72" s="58" t="s">
        <v>59</v>
      </c>
      <c r="B72" s="115" t="s">
        <v>107</v>
      </c>
      <c r="C72" s="131"/>
      <c r="D72" s="131"/>
      <c r="E72" s="131"/>
      <c r="F72" s="131"/>
      <c r="G72" s="131"/>
      <c r="H72" s="131"/>
      <c r="I72" s="131"/>
      <c r="J72" s="131"/>
      <c r="K72" s="131"/>
      <c r="L72" s="132"/>
      <c r="M72" s="275"/>
    </row>
    <row r="73" spans="1:13" x14ac:dyDescent="0.3">
      <c r="B73" s="118" t="s">
        <v>108</v>
      </c>
      <c r="C73" s="4"/>
      <c r="D73" s="4"/>
      <c r="E73" s="4"/>
      <c r="F73" s="4"/>
      <c r="G73" s="4"/>
      <c r="H73" s="4"/>
      <c r="I73" s="4"/>
      <c r="J73" s="4"/>
      <c r="K73" s="4"/>
      <c r="L73" s="287"/>
    </row>
    <row r="74" spans="1:13" x14ac:dyDescent="0.3">
      <c r="B74" s="302" t="s">
        <v>89</v>
      </c>
      <c r="C74" s="278"/>
      <c r="D74" s="278"/>
      <c r="E74" s="278"/>
      <c r="F74" s="278"/>
      <c r="G74" s="278"/>
      <c r="H74" s="278">
        <f>'Cash Flow'!I6</f>
        <v>3019</v>
      </c>
      <c r="I74" s="278">
        <f>'Cash Flow'!J6</f>
        <v>2144</v>
      </c>
      <c r="J74" s="278">
        <f>'Cash Flow'!K6</f>
        <v>2447</v>
      </c>
      <c r="K74" s="278">
        <f>'Cash Flow'!L6</f>
        <v>4351</v>
      </c>
      <c r="L74" s="284">
        <f>'Cash Flow'!M6</f>
        <v>4171</v>
      </c>
    </row>
    <row r="75" spans="1:13" x14ac:dyDescent="0.3">
      <c r="B75" s="302" t="s">
        <v>44</v>
      </c>
      <c r="C75" s="278"/>
      <c r="D75" s="278"/>
      <c r="E75" s="278"/>
      <c r="F75" s="278"/>
      <c r="G75" s="278"/>
      <c r="H75" s="278">
        <f>'Cash Flow'!I7</f>
        <v>35</v>
      </c>
      <c r="I75" s="278">
        <f>'Cash Flow'!J7</f>
        <v>-188</v>
      </c>
      <c r="J75" s="278">
        <f>'Cash Flow'!K7</f>
        <v>-172</v>
      </c>
      <c r="K75" s="278">
        <f>'Cash Flow'!L7</f>
        <v>-409</v>
      </c>
      <c r="L75" s="284">
        <f>'Cash Flow'!M7</f>
        <v>-463</v>
      </c>
    </row>
    <row r="76" spans="1:13" x14ac:dyDescent="0.3">
      <c r="B76" s="302" t="s">
        <v>31</v>
      </c>
      <c r="C76" s="278"/>
      <c r="D76" s="278"/>
      <c r="E76" s="278"/>
      <c r="F76" s="278"/>
      <c r="G76" s="278"/>
      <c r="H76" s="278">
        <f>'Cash Flow'!I8</f>
        <v>-34</v>
      </c>
      <c r="I76" s="278">
        <f>'Cash Flow'!J8</f>
        <v>-1191</v>
      </c>
      <c r="J76" s="278">
        <f>'Cash Flow'!K8</f>
        <v>-11</v>
      </c>
      <c r="K76" s="278">
        <f>'Cash Flow'!L8</f>
        <v>-328</v>
      </c>
      <c r="L76" s="284">
        <f>'Cash Flow'!M8</f>
        <v>-1156</v>
      </c>
    </row>
    <row r="77" spans="1:13" x14ac:dyDescent="0.3">
      <c r="B77" s="302" t="s">
        <v>90</v>
      </c>
      <c r="C77" s="278"/>
      <c r="D77" s="278"/>
      <c r="E77" s="278"/>
      <c r="F77" s="278"/>
      <c r="G77" s="278"/>
      <c r="H77" s="278">
        <f>'Cash Flow'!I9</f>
        <v>1608</v>
      </c>
      <c r="I77" s="278">
        <f>'Cash Flow'!J9</f>
        <v>-1250</v>
      </c>
      <c r="J77" s="278">
        <f>'Cash Flow'!K9</f>
        <v>380</v>
      </c>
      <c r="K77" s="278">
        <f>'Cash Flow'!L9</f>
        <v>216</v>
      </c>
      <c r="L77" s="284">
        <f>'Cash Flow'!M9</f>
        <v>174</v>
      </c>
    </row>
    <row r="78" spans="1:13" x14ac:dyDescent="0.3">
      <c r="B78" s="302" t="s">
        <v>91</v>
      </c>
      <c r="C78" s="278"/>
      <c r="D78" s="278"/>
      <c r="E78" s="278"/>
      <c r="F78" s="278"/>
      <c r="G78" s="278"/>
      <c r="H78" s="278">
        <f>'Cash Flow'!I10</f>
        <v>0</v>
      </c>
      <c r="I78" s="278">
        <f>'Cash Flow'!J10</f>
        <v>0</v>
      </c>
      <c r="J78" s="278">
        <f>'Cash Flow'!K10</f>
        <v>0</v>
      </c>
      <c r="K78" s="278">
        <f>'Cash Flow'!L10</f>
        <v>0</v>
      </c>
      <c r="L78" s="284">
        <f>'Cash Flow'!M10</f>
        <v>0</v>
      </c>
    </row>
    <row r="79" spans="1:13" x14ac:dyDescent="0.3">
      <c r="B79" s="302" t="s">
        <v>92</v>
      </c>
      <c r="C79" s="278"/>
      <c r="D79" s="278"/>
      <c r="E79" s="278"/>
      <c r="F79" s="278"/>
      <c r="G79" s="278"/>
      <c r="H79" s="278">
        <f>'Cash Flow'!I11</f>
        <v>212</v>
      </c>
      <c r="I79" s="278">
        <f>'Cash Flow'!J11</f>
        <v>120</v>
      </c>
      <c r="J79" s="278">
        <f>'Cash Flow'!K11</f>
        <v>439</v>
      </c>
      <c r="K79" s="278">
        <f>'Cash Flow'!L11</f>
        <v>195</v>
      </c>
      <c r="L79" s="284">
        <f>'Cash Flow'!M11</f>
        <v>-265</v>
      </c>
    </row>
    <row r="80" spans="1:13" ht="12" customHeight="1" thickBot="1" x14ac:dyDescent="0.35">
      <c r="B80" s="302" t="s">
        <v>94</v>
      </c>
      <c r="C80" s="278"/>
      <c r="D80" s="278"/>
      <c r="E80" s="278"/>
      <c r="F80" s="278"/>
      <c r="G80" s="278"/>
      <c r="H80" s="278">
        <f>'Cash Flow'!I13</f>
        <v>-517</v>
      </c>
      <c r="I80" s="278">
        <f>'Cash Flow'!J13</f>
        <v>-213</v>
      </c>
      <c r="J80" s="278">
        <f>'Cash Flow'!K13</f>
        <v>-328</v>
      </c>
      <c r="K80" s="278">
        <f>'Cash Flow'!L13</f>
        <v>-722</v>
      </c>
      <c r="L80" s="284">
        <f>'Cash Flow'!M13</f>
        <v>-592</v>
      </c>
    </row>
    <row r="81" spans="2:12" hidden="1" x14ac:dyDescent="0.3">
      <c r="B81" s="303"/>
      <c r="C81" s="278"/>
      <c r="D81" s="278"/>
      <c r="E81" s="278"/>
      <c r="F81" s="278"/>
      <c r="G81" s="278"/>
      <c r="H81" s="278"/>
      <c r="I81" s="278"/>
      <c r="J81" s="278"/>
      <c r="K81" s="278"/>
      <c r="L81" s="284"/>
    </row>
    <row r="82" spans="2:12" ht="15" thickBot="1" x14ac:dyDescent="0.35">
      <c r="B82" s="310" t="s">
        <v>109</v>
      </c>
      <c r="C82" s="311">
        <f t="shared" ref="C82:H82" si="21">IFERROR(SUM(C74:C81),0)</f>
        <v>0</v>
      </c>
      <c r="D82" s="311">
        <f t="shared" si="21"/>
        <v>0</v>
      </c>
      <c r="E82" s="311">
        <f t="shared" si="21"/>
        <v>0</v>
      </c>
      <c r="F82" s="311">
        <f t="shared" si="21"/>
        <v>0</v>
      </c>
      <c r="G82" s="311">
        <f t="shared" si="21"/>
        <v>0</v>
      </c>
      <c r="H82" s="311">
        <f t="shared" si="21"/>
        <v>4323</v>
      </c>
      <c r="I82" s="311">
        <f t="shared" ref="I82:L82" si="22">IFERROR(SUM(I74:I81),0)</f>
        <v>-578</v>
      </c>
      <c r="J82" s="311">
        <f t="shared" si="22"/>
        <v>2755</v>
      </c>
      <c r="K82" s="311">
        <f t="shared" si="22"/>
        <v>3303</v>
      </c>
      <c r="L82" s="312">
        <f t="shared" si="22"/>
        <v>1869</v>
      </c>
    </row>
    <row r="83" spans="2:12" ht="6" customHeight="1" x14ac:dyDescent="0.3">
      <c r="B83" s="121"/>
      <c r="C83" s="4"/>
      <c r="D83" s="4"/>
      <c r="E83" s="4"/>
      <c r="F83" s="4"/>
      <c r="G83" s="4"/>
      <c r="H83" s="4"/>
      <c r="I83" s="4"/>
      <c r="J83" s="4"/>
      <c r="K83" s="4"/>
      <c r="L83" s="287"/>
    </row>
    <row r="84" spans="2:12" x14ac:dyDescent="0.3">
      <c r="B84" s="304" t="s">
        <v>110</v>
      </c>
      <c r="C84" s="4"/>
      <c r="D84" s="4"/>
      <c r="E84" s="4"/>
      <c r="F84" s="4"/>
      <c r="G84" s="4"/>
      <c r="H84" s="4"/>
      <c r="I84" s="4"/>
      <c r="J84" s="4"/>
      <c r="K84" s="4"/>
      <c r="L84" s="287"/>
    </row>
    <row r="85" spans="2:12" x14ac:dyDescent="0.3">
      <c r="B85" s="305" t="s">
        <v>95</v>
      </c>
      <c r="C85" s="278">
        <f>IFERROR('Cash Flow'!B15,0)</f>
        <v>-449</v>
      </c>
      <c r="D85" s="278">
        <f>IFERROR('Cash Flow'!C15,0)</f>
        <v>-1246</v>
      </c>
      <c r="E85" s="278">
        <f>IFERROR('Cash Flow'!D15,0)</f>
        <v>-2308</v>
      </c>
      <c r="F85" s="278">
        <f>IFERROR('Cash Flow'!E15,0)</f>
        <v>-1369</v>
      </c>
      <c r="G85" s="278">
        <f>IFERROR('Cash Flow'!F15,0)</f>
        <v>-1567</v>
      </c>
      <c r="H85" s="278">
        <f>'Cash Flow'!I15</f>
        <v>-853</v>
      </c>
      <c r="I85" s="278">
        <f>'Cash Flow'!J15</f>
        <v>-1707</v>
      </c>
      <c r="J85" s="278">
        <f>'Cash Flow'!K15</f>
        <v>-3291</v>
      </c>
      <c r="K85" s="278">
        <f>'Cash Flow'!L15</f>
        <v>-2164</v>
      </c>
      <c r="L85" s="284">
        <f>'Cash Flow'!M15</f>
        <v>-1308</v>
      </c>
    </row>
    <row r="86" spans="2:12" x14ac:dyDescent="0.3">
      <c r="B86" s="305" t="s">
        <v>96</v>
      </c>
      <c r="C86" s="278">
        <f>IFERROR('Cash Flow'!B16,0)</f>
        <v>2</v>
      </c>
      <c r="D86" s="278">
        <f>IFERROR('Cash Flow'!C16,0)</f>
        <v>0</v>
      </c>
      <c r="E86" s="278">
        <f>IFERROR('Cash Flow'!D16,0)</f>
        <v>2</v>
      </c>
      <c r="F86" s="278">
        <f>IFERROR('Cash Flow'!E16,0)</f>
        <v>3</v>
      </c>
      <c r="G86" s="278">
        <f>IFERROR('Cash Flow'!F16,0)</f>
        <v>3</v>
      </c>
      <c r="H86" s="278">
        <f>'Cash Flow'!I16</f>
        <v>1</v>
      </c>
      <c r="I86" s="278">
        <f>'Cash Flow'!J16</f>
        <v>2</v>
      </c>
      <c r="J86" s="278">
        <f>'Cash Flow'!K16</f>
        <v>1</v>
      </c>
      <c r="K86" s="278">
        <f>'Cash Flow'!L16</f>
        <v>1</v>
      </c>
      <c r="L86" s="284">
        <f>'Cash Flow'!M16</f>
        <v>14</v>
      </c>
    </row>
    <row r="87" spans="2:12" x14ac:dyDescent="0.3">
      <c r="B87" s="305" t="s">
        <v>97</v>
      </c>
      <c r="C87" s="278">
        <f>IFERROR('Cash Flow'!B17,0)</f>
        <v>-474</v>
      </c>
      <c r="D87" s="278">
        <f>IFERROR('Cash Flow'!C17,0)</f>
        <v>-656</v>
      </c>
      <c r="E87" s="278">
        <f>IFERROR('Cash Flow'!D17,0)</f>
        <v>-2347</v>
      </c>
      <c r="F87" s="278">
        <f>IFERROR('Cash Flow'!E17,0)</f>
        <v>0</v>
      </c>
      <c r="G87" s="278">
        <f>IFERROR('Cash Flow'!F17,0)</f>
        <v>-3007</v>
      </c>
      <c r="H87" s="278">
        <f>'Cash Flow'!I17</f>
        <v>-6218</v>
      </c>
      <c r="I87" s="278">
        <f>'Cash Flow'!J17</f>
        <v>-650</v>
      </c>
      <c r="J87" s="278">
        <f>'Cash Flow'!K17</f>
        <v>-136</v>
      </c>
      <c r="K87" s="278">
        <f>'Cash Flow'!L17</f>
        <v>-446</v>
      </c>
      <c r="L87" s="284">
        <f>'Cash Flow'!M17</f>
        <v>-2888</v>
      </c>
    </row>
    <row r="88" spans="2:12" x14ac:dyDescent="0.3">
      <c r="B88" s="305" t="s">
        <v>98</v>
      </c>
      <c r="C88" s="278">
        <f>IFERROR('Cash Flow'!B18,0)</f>
        <v>0</v>
      </c>
      <c r="D88" s="278">
        <f>IFERROR('Cash Flow'!C18,0)</f>
        <v>493</v>
      </c>
      <c r="E88" s="278">
        <f>IFERROR('Cash Flow'!D18,0)</f>
        <v>728</v>
      </c>
      <c r="F88" s="278">
        <f>IFERROR('Cash Flow'!E18,0)</f>
        <v>33</v>
      </c>
      <c r="G88" s="278">
        <f>IFERROR('Cash Flow'!F18,0)</f>
        <v>2477</v>
      </c>
      <c r="H88" s="278">
        <f>'Cash Flow'!I18</f>
        <v>1884</v>
      </c>
      <c r="I88" s="278">
        <f>'Cash Flow'!J18</f>
        <v>3033</v>
      </c>
      <c r="J88" s="278">
        <f>'Cash Flow'!K18</f>
        <v>787</v>
      </c>
      <c r="K88" s="278">
        <f>'Cash Flow'!L18</f>
        <v>316</v>
      </c>
      <c r="L88" s="284">
        <f>'Cash Flow'!M18</f>
        <v>1962</v>
      </c>
    </row>
    <row r="89" spans="2:12" x14ac:dyDescent="0.3">
      <c r="B89" s="305" t="s">
        <v>99</v>
      </c>
      <c r="C89" s="278">
        <f>IFERROR('Cash Flow'!B19,0)</f>
        <v>6</v>
      </c>
      <c r="D89" s="278">
        <f>IFERROR('Cash Flow'!C19,0)</f>
        <v>33</v>
      </c>
      <c r="E89" s="278">
        <f>IFERROR('Cash Flow'!D19,0)</f>
        <v>67</v>
      </c>
      <c r="F89" s="278">
        <f>IFERROR('Cash Flow'!E19,0)</f>
        <v>33</v>
      </c>
      <c r="G89" s="278">
        <f>IFERROR('Cash Flow'!F19,0)</f>
        <v>24</v>
      </c>
      <c r="H89" s="278">
        <f>'Cash Flow'!I19</f>
        <v>87</v>
      </c>
      <c r="I89" s="278">
        <f>'Cash Flow'!J19</f>
        <v>88</v>
      </c>
      <c r="J89" s="278">
        <f>'Cash Flow'!K19</f>
        <v>116</v>
      </c>
      <c r="K89" s="278">
        <f>'Cash Flow'!L19</f>
        <v>98</v>
      </c>
      <c r="L89" s="284">
        <f>'Cash Flow'!M19</f>
        <v>104</v>
      </c>
    </row>
    <row r="90" spans="2:12" x14ac:dyDescent="0.3">
      <c r="B90" s="305" t="s">
        <v>254</v>
      </c>
      <c r="C90" s="278">
        <f>IFERROR('Cash Flow'!B20,0)</f>
        <v>0</v>
      </c>
      <c r="D90" s="278">
        <f>IFERROR('Cash Flow'!C20,0)</f>
        <v>1</v>
      </c>
      <c r="E90" s="278">
        <f>IFERROR('Cash Flow'!D20,0)</f>
        <v>0</v>
      </c>
      <c r="F90" s="278">
        <f>IFERROR('Cash Flow'!E20,0)</f>
        <v>0</v>
      </c>
      <c r="G90" s="278">
        <f>IFERROR('Cash Flow'!F20,0)</f>
        <v>0</v>
      </c>
      <c r="H90" s="278">
        <f>'Cash Flow'!I20</f>
        <v>0</v>
      </c>
      <c r="I90" s="278">
        <f>'Cash Flow'!J20</f>
        <v>0</v>
      </c>
      <c r="J90" s="278">
        <f>'Cash Flow'!K20</f>
        <v>0</v>
      </c>
      <c r="K90" s="278">
        <f>'Cash Flow'!L20</f>
        <v>0</v>
      </c>
      <c r="L90" s="284">
        <f>'Cash Flow'!M20</f>
        <v>0</v>
      </c>
    </row>
    <row r="91" spans="2:12" x14ac:dyDescent="0.3">
      <c r="B91" s="305" t="s">
        <v>100</v>
      </c>
      <c r="C91" s="278">
        <f>IFERROR('Cash Flow'!B21,0)</f>
        <v>-44</v>
      </c>
      <c r="D91" s="278">
        <f>IFERROR('Cash Flow'!C21,0)</f>
        <v>-415</v>
      </c>
      <c r="E91" s="278">
        <f>IFERROR('Cash Flow'!D21,0)</f>
        <v>450</v>
      </c>
      <c r="F91" s="278">
        <f>IFERROR('Cash Flow'!E21,0)</f>
        <v>-93</v>
      </c>
      <c r="G91" s="278">
        <f>IFERROR('Cash Flow'!F21,0)</f>
        <v>57</v>
      </c>
      <c r="H91" s="278">
        <f>'Cash Flow'!I21</f>
        <v>11</v>
      </c>
      <c r="I91" s="278">
        <f>'Cash Flow'!J21</f>
        <v>-598</v>
      </c>
      <c r="J91" s="278">
        <f>'Cash Flow'!K21</f>
        <v>601</v>
      </c>
      <c r="K91" s="278">
        <f>'Cash Flow'!L21</f>
        <v>-187</v>
      </c>
      <c r="L91" s="284">
        <f>'Cash Flow'!M21</f>
        <v>34</v>
      </c>
    </row>
    <row r="92" spans="2:12" ht="1.8" customHeight="1" thickBot="1" x14ac:dyDescent="0.35">
      <c r="B92" s="306"/>
      <c r="C92" s="278">
        <f>IFERROR('Cash Flow'!B22,0)</f>
        <v>-313</v>
      </c>
      <c r="D92" s="278">
        <f>IFERROR('Cash Flow'!C22,0)</f>
        <v>67</v>
      </c>
      <c r="E92" s="278">
        <f>IFERROR('Cash Flow'!D22,0)</f>
        <v>212</v>
      </c>
      <c r="F92" s="278">
        <f>IFERROR('Cash Flow'!E22,0)</f>
        <v>-438</v>
      </c>
      <c r="G92" s="278">
        <f>IFERROR('Cash Flow'!F22,0)</f>
        <v>-453</v>
      </c>
      <c r="H92" s="278"/>
      <c r="I92" s="278"/>
      <c r="J92" s="278"/>
      <c r="K92" s="278"/>
      <c r="L92" s="284"/>
    </row>
    <row r="93" spans="2:12" ht="15" thickBot="1" x14ac:dyDescent="0.35">
      <c r="B93" s="310" t="s">
        <v>111</v>
      </c>
      <c r="C93" s="311">
        <f>IFERROR(SUM(C85:C92),0)</f>
        <v>-1272</v>
      </c>
      <c r="D93" s="311">
        <f t="shared" ref="D93:G93" si="23">IFERROR(SUM(D85:D92),0)</f>
        <v>-1723</v>
      </c>
      <c r="E93" s="311">
        <f t="shared" si="23"/>
        <v>-3196</v>
      </c>
      <c r="F93" s="311">
        <f t="shared" si="23"/>
        <v>-1831</v>
      </c>
      <c r="G93" s="311">
        <f t="shared" si="23"/>
        <v>-2466</v>
      </c>
      <c r="H93" s="311">
        <f>SUM(H85:H91)</f>
        <v>-5088</v>
      </c>
      <c r="I93" s="311">
        <f t="shared" ref="I93:L93" si="24">SUM(I85:I91)</f>
        <v>168</v>
      </c>
      <c r="J93" s="311">
        <f t="shared" si="24"/>
        <v>-1922</v>
      </c>
      <c r="K93" s="311">
        <f t="shared" si="24"/>
        <v>-2382</v>
      </c>
      <c r="L93" s="312">
        <f t="shared" si="24"/>
        <v>-2082</v>
      </c>
    </row>
    <row r="94" spans="2:12" x14ac:dyDescent="0.3">
      <c r="B94" s="121"/>
      <c r="C94" s="278"/>
      <c r="D94" s="278"/>
      <c r="E94" s="278"/>
      <c r="F94" s="278"/>
      <c r="G94" s="278"/>
      <c r="H94" s="278"/>
      <c r="I94" s="278"/>
      <c r="J94" s="278"/>
      <c r="K94" s="278"/>
      <c r="L94" s="284"/>
    </row>
    <row r="95" spans="2:12" x14ac:dyDescent="0.3">
      <c r="B95" s="118" t="s">
        <v>112</v>
      </c>
      <c r="C95" s="278"/>
      <c r="D95" s="278"/>
      <c r="E95" s="278"/>
      <c r="F95" s="278"/>
      <c r="G95" s="278"/>
      <c r="H95" s="278"/>
      <c r="I95" s="278"/>
      <c r="J95" s="278"/>
      <c r="K95" s="278"/>
      <c r="L95" s="284"/>
    </row>
    <row r="96" spans="2:12" x14ac:dyDescent="0.3">
      <c r="B96" s="302" t="s">
        <v>256</v>
      </c>
      <c r="C96" s="278"/>
      <c r="D96" s="278"/>
      <c r="E96" s="278"/>
      <c r="F96" s="278"/>
      <c r="G96" s="278"/>
      <c r="H96" s="278">
        <f>'Cash Flow'!I23</f>
        <v>0</v>
      </c>
      <c r="I96" s="278">
        <f>'Cash Flow'!J23</f>
        <v>0</v>
      </c>
      <c r="J96" s="278">
        <f>'Cash Flow'!K23</f>
        <v>150</v>
      </c>
      <c r="K96" s="278">
        <f>'Cash Flow'!L23</f>
        <v>0</v>
      </c>
      <c r="L96" s="284">
        <f>'Cash Flow'!M23</f>
        <v>0</v>
      </c>
    </row>
    <row r="97" spans="2:13" x14ac:dyDescent="0.3">
      <c r="B97" s="302" t="s">
        <v>257</v>
      </c>
      <c r="C97" s="278"/>
      <c r="D97" s="278"/>
      <c r="E97" s="278"/>
      <c r="F97" s="278"/>
      <c r="G97" s="278"/>
      <c r="H97" s="278">
        <f>'Cash Flow'!I24</f>
        <v>-160</v>
      </c>
      <c r="I97" s="278">
        <f>'Cash Flow'!J24</f>
        <v>-180</v>
      </c>
      <c r="J97" s="278">
        <f>'Cash Flow'!K24</f>
        <v>0</v>
      </c>
      <c r="K97" s="278">
        <f>'Cash Flow'!L24</f>
        <v>0</v>
      </c>
      <c r="L97" s="284">
        <f>'Cash Flow'!M24</f>
        <v>0</v>
      </c>
    </row>
    <row r="98" spans="2:13" x14ac:dyDescent="0.3">
      <c r="B98" s="302" t="s">
        <v>101</v>
      </c>
      <c r="C98" s="278"/>
      <c r="D98" s="278"/>
      <c r="E98" s="278"/>
      <c r="F98" s="278"/>
      <c r="G98" s="278"/>
      <c r="H98" s="278">
        <f>'Cash Flow'!I25</f>
        <v>484</v>
      </c>
      <c r="I98" s="278">
        <f>'Cash Flow'!J25</f>
        <v>1086</v>
      </c>
      <c r="J98" s="278">
        <f>'Cash Flow'!K25</f>
        <v>8</v>
      </c>
      <c r="K98" s="278">
        <f>'Cash Flow'!L25</f>
        <v>0</v>
      </c>
      <c r="L98" s="284">
        <f>'Cash Flow'!M25</f>
        <v>920</v>
      </c>
    </row>
    <row r="99" spans="2:13" x14ac:dyDescent="0.3">
      <c r="B99" s="302" t="s">
        <v>102</v>
      </c>
      <c r="C99" s="278"/>
      <c r="D99" s="278"/>
      <c r="E99" s="278"/>
      <c r="F99" s="278"/>
      <c r="G99" s="278"/>
      <c r="H99" s="278">
        <f>'Cash Flow'!I26</f>
        <v>-182</v>
      </c>
      <c r="I99" s="278">
        <f>'Cash Flow'!J26</f>
        <v>-87</v>
      </c>
      <c r="J99" s="278">
        <f>'Cash Flow'!K26</f>
        <v>-544</v>
      </c>
      <c r="K99" s="278">
        <f>'Cash Flow'!L26</f>
        <v>-353</v>
      </c>
      <c r="L99" s="284">
        <f>'Cash Flow'!M26</f>
        <v>-101</v>
      </c>
    </row>
    <row r="100" spans="2:13" x14ac:dyDescent="0.3">
      <c r="B100" s="302" t="s">
        <v>103</v>
      </c>
      <c r="C100" s="278"/>
      <c r="D100" s="278"/>
      <c r="E100" s="278"/>
      <c r="F100" s="278"/>
      <c r="G100" s="278"/>
      <c r="H100" s="278">
        <f>'Cash Flow'!I27</f>
        <v>-254</v>
      </c>
      <c r="I100" s="278">
        <f>'Cash Flow'!J27</f>
        <v>-236</v>
      </c>
      <c r="J100" s="278">
        <f>'Cash Flow'!K27</f>
        <v>-270</v>
      </c>
      <c r="K100" s="278">
        <f>'Cash Flow'!L27</f>
        <v>-290</v>
      </c>
      <c r="L100" s="284">
        <f>'Cash Flow'!M27</f>
        <v>-273</v>
      </c>
    </row>
    <row r="101" spans="2:13" x14ac:dyDescent="0.3">
      <c r="B101" s="302" t="s">
        <v>104</v>
      </c>
      <c r="C101" s="278"/>
      <c r="D101" s="278"/>
      <c r="E101" s="278"/>
      <c r="F101" s="278"/>
      <c r="G101" s="278"/>
      <c r="H101" s="278">
        <f>'Cash Flow'!I28</f>
        <v>-42</v>
      </c>
      <c r="I101" s="278">
        <f>'Cash Flow'!J28</f>
        <v>-64</v>
      </c>
      <c r="J101" s="278">
        <f>'Cash Flow'!K28</f>
        <v>-64</v>
      </c>
      <c r="K101" s="278">
        <f>'Cash Flow'!L28</f>
        <v>-74</v>
      </c>
      <c r="L101" s="284">
        <f>'Cash Flow'!M28</f>
        <v>-85</v>
      </c>
    </row>
    <row r="102" spans="2:13" x14ac:dyDescent="0.3">
      <c r="B102" s="302" t="s">
        <v>105</v>
      </c>
      <c r="C102" s="278"/>
      <c r="D102" s="278"/>
      <c r="E102" s="278"/>
      <c r="F102" s="278"/>
      <c r="G102" s="278"/>
      <c r="H102" s="278">
        <f>'Cash Flow'!I29</f>
        <v>-98</v>
      </c>
      <c r="I102" s="278">
        <f>'Cash Flow'!J29</f>
        <v>-97</v>
      </c>
      <c r="J102" s="278">
        <f>'Cash Flow'!K29</f>
        <v>-121</v>
      </c>
      <c r="K102" s="278">
        <f>'Cash Flow'!L29</f>
        <v>-152</v>
      </c>
      <c r="L102" s="284">
        <f>'Cash Flow'!M29</f>
        <v>-181</v>
      </c>
    </row>
    <row r="103" spans="2:13" ht="15" thickBot="1" x14ac:dyDescent="0.35">
      <c r="B103" s="302" t="s">
        <v>106</v>
      </c>
      <c r="C103" s="278"/>
      <c r="D103" s="278"/>
      <c r="E103" s="278"/>
      <c r="F103" s="278"/>
      <c r="G103" s="278"/>
      <c r="H103" s="278">
        <f>'Cash Flow'!I30</f>
        <v>2</v>
      </c>
      <c r="I103" s="278">
        <f>'Cash Flow'!J30</f>
        <v>1</v>
      </c>
      <c r="J103" s="278">
        <f>'Cash Flow'!K30</f>
        <v>1</v>
      </c>
      <c r="K103" s="278">
        <f>'Cash Flow'!L30</f>
        <v>2</v>
      </c>
      <c r="L103" s="284">
        <f>'Cash Flow'!M30</f>
        <v>2</v>
      </c>
    </row>
    <row r="104" spans="2:13" ht="15" thickBot="1" x14ac:dyDescent="0.35">
      <c r="B104" s="310" t="s">
        <v>113</v>
      </c>
      <c r="C104" s="311">
        <f>IFERROR(SUM(C96:C103),0)</f>
        <v>0</v>
      </c>
      <c r="D104" s="311">
        <f t="shared" ref="D104:L104" si="25">IFERROR(SUM(D96:D103),0)</f>
        <v>0</v>
      </c>
      <c r="E104" s="311">
        <f t="shared" si="25"/>
        <v>0</v>
      </c>
      <c r="F104" s="311">
        <f t="shared" si="25"/>
        <v>0</v>
      </c>
      <c r="G104" s="311">
        <f t="shared" si="25"/>
        <v>0</v>
      </c>
      <c r="H104" s="311">
        <f t="shared" si="25"/>
        <v>-250</v>
      </c>
      <c r="I104" s="311">
        <f t="shared" si="25"/>
        <v>423</v>
      </c>
      <c r="J104" s="311">
        <f t="shared" si="25"/>
        <v>-840</v>
      </c>
      <c r="K104" s="311">
        <f t="shared" si="25"/>
        <v>-867</v>
      </c>
      <c r="L104" s="312">
        <f t="shared" si="25"/>
        <v>282</v>
      </c>
    </row>
    <row r="105" spans="2:13" ht="15" thickBot="1" x14ac:dyDescent="0.35">
      <c r="B105" s="121"/>
      <c r="C105" s="278"/>
      <c r="D105" s="278"/>
      <c r="E105" s="278"/>
      <c r="F105" s="278"/>
      <c r="G105" s="278"/>
      <c r="H105" s="278"/>
      <c r="I105" s="278"/>
      <c r="J105" s="278"/>
      <c r="K105" s="278"/>
      <c r="L105" s="284"/>
    </row>
    <row r="106" spans="2:13" ht="15.6" thickTop="1" thickBot="1" x14ac:dyDescent="0.35">
      <c r="B106" s="307" t="s">
        <v>114</v>
      </c>
      <c r="C106" s="308">
        <f>IFERROR(C82+C93+C104,0)</f>
        <v>-1272</v>
      </c>
      <c r="D106" s="308">
        <f t="shared" ref="D106:L106" si="26">IFERROR(D82+D93+D104,0)</f>
        <v>-1723</v>
      </c>
      <c r="E106" s="308">
        <f t="shared" si="26"/>
        <v>-3196</v>
      </c>
      <c r="F106" s="308">
        <f t="shared" si="26"/>
        <v>-1831</v>
      </c>
      <c r="G106" s="308">
        <f t="shared" si="26"/>
        <v>-2466</v>
      </c>
      <c r="H106" s="308">
        <f t="shared" si="26"/>
        <v>-1015</v>
      </c>
      <c r="I106" s="308">
        <f t="shared" si="26"/>
        <v>13</v>
      </c>
      <c r="J106" s="308">
        <f t="shared" si="26"/>
        <v>-7</v>
      </c>
      <c r="K106" s="308">
        <f t="shared" si="26"/>
        <v>54</v>
      </c>
      <c r="L106" s="309">
        <f t="shared" si="26"/>
        <v>69</v>
      </c>
    </row>
    <row r="107" spans="2:13" ht="15" thickTop="1" x14ac:dyDescent="0.3"/>
    <row r="108" spans="2:13" x14ac:dyDescent="0.3">
      <c r="B108" s="269"/>
      <c r="C108" s="269"/>
      <c r="D108" s="269"/>
      <c r="E108" s="269"/>
      <c r="F108" s="269"/>
      <c r="G108" s="269"/>
      <c r="H108" s="269"/>
      <c r="I108" s="269"/>
      <c r="J108" s="269"/>
      <c r="K108" s="269"/>
      <c r="L108" s="269"/>
      <c r="M108" s="269"/>
    </row>
  </sheetData>
  <mergeCells count="1">
    <mergeCell ref="B6:M6"/>
  </mergeCells>
  <pageMargins left="0.7" right="0.7" top="0.75" bottom="0.75" header="0.3" footer="0.3"/>
  <pageSetup scale="70" orientation="portrait" r:id="rId1"/>
  <rowBreaks count="1" manualBreakCount="1">
    <brk id="48" max="12" man="1"/>
  </rowBreaks>
  <ignoredErrors>
    <ignoredError sqref="M13 M10 C19:L19 M25 M28 M31 M34 M37" formulaRange="1"/>
  </ignoredError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75"/>
  <sheetViews>
    <sheetView showGridLines="0" topLeftCell="A21" zoomScaleNormal="100" workbookViewId="0">
      <selection activeCell="B1" sqref="B1:L6"/>
    </sheetView>
  </sheetViews>
  <sheetFormatPr defaultRowHeight="14.4" x14ac:dyDescent="0.3"/>
  <cols>
    <col min="1" max="1" width="1.88671875" customWidth="1"/>
    <col min="2" max="2" width="25.77734375" customWidth="1"/>
    <col min="3" max="7" width="0" hidden="1" customWidth="1"/>
    <col min="8" max="12" width="16.77734375" customWidth="1"/>
  </cols>
  <sheetData>
    <row r="1" spans="1:15" x14ac:dyDescent="0.3">
      <c r="B1" s="326"/>
      <c r="C1" s="326"/>
      <c r="D1" s="326"/>
      <c r="E1" s="326"/>
      <c r="F1" s="326"/>
      <c r="G1" s="326"/>
      <c r="H1" s="326"/>
      <c r="I1" s="326"/>
      <c r="J1" s="326"/>
      <c r="K1" s="326"/>
      <c r="L1" s="326"/>
      <c r="M1" s="387"/>
      <c r="N1" s="387"/>
      <c r="O1" s="387"/>
    </row>
    <row r="2" spans="1:15" x14ac:dyDescent="0.3">
      <c r="B2" s="621" t="s">
        <v>337</v>
      </c>
      <c r="C2" s="622"/>
      <c r="D2" s="622"/>
      <c r="E2" s="622"/>
      <c r="F2" s="622"/>
      <c r="G2" s="622"/>
      <c r="H2" s="622"/>
      <c r="I2" s="622"/>
      <c r="J2" s="622"/>
      <c r="K2" s="622"/>
      <c r="L2" s="327"/>
      <c r="M2" s="387"/>
      <c r="N2" s="387"/>
      <c r="O2" s="387"/>
    </row>
    <row r="3" spans="1:15" x14ac:dyDescent="0.3">
      <c r="B3" s="622"/>
      <c r="C3" s="622"/>
      <c r="D3" s="622"/>
      <c r="E3" s="622"/>
      <c r="F3" s="622"/>
      <c r="G3" s="622"/>
      <c r="H3" s="622"/>
      <c r="I3" s="622"/>
      <c r="J3" s="622"/>
      <c r="K3" s="622"/>
      <c r="L3" s="327"/>
      <c r="M3" s="387"/>
      <c r="N3" s="387"/>
      <c r="O3" s="387"/>
    </row>
    <row r="4" spans="1:15" x14ac:dyDescent="0.3">
      <c r="B4" s="622"/>
      <c r="C4" s="622"/>
      <c r="D4" s="622"/>
      <c r="E4" s="622"/>
      <c r="F4" s="622"/>
      <c r="G4" s="622"/>
      <c r="H4" s="622"/>
      <c r="I4" s="622"/>
      <c r="J4" s="622"/>
      <c r="K4" s="622"/>
      <c r="L4" s="327"/>
      <c r="M4" s="387"/>
      <c r="N4" s="387"/>
      <c r="O4" s="387"/>
    </row>
    <row r="5" spans="1:15" x14ac:dyDescent="0.3">
      <c r="B5" s="327"/>
      <c r="C5" s="379"/>
      <c r="D5" s="379"/>
      <c r="E5" s="379"/>
      <c r="F5" s="379"/>
      <c r="G5" s="379"/>
      <c r="H5" s="379"/>
      <c r="I5" s="379"/>
      <c r="J5" s="328">
        <v>4.5</v>
      </c>
      <c r="K5" s="327"/>
      <c r="L5" s="327"/>
      <c r="M5" s="387"/>
      <c r="N5" s="387"/>
      <c r="O5" s="387"/>
    </row>
    <row r="6" spans="1:15" x14ac:dyDescent="0.3">
      <c r="B6" s="326"/>
      <c r="C6" s="326"/>
      <c r="D6" s="326"/>
      <c r="E6" s="326"/>
      <c r="F6" s="329"/>
      <c r="G6" s="329"/>
      <c r="H6" s="329"/>
      <c r="I6" s="329"/>
      <c r="J6" s="329"/>
      <c r="K6" s="326"/>
      <c r="L6" s="326"/>
      <c r="M6" s="387"/>
      <c r="N6" s="387"/>
      <c r="O6" s="387"/>
    </row>
    <row r="7" spans="1:15" x14ac:dyDescent="0.3">
      <c r="A7" s="14"/>
      <c r="B7" s="390"/>
      <c r="C7" s="390"/>
      <c r="D7" s="390"/>
      <c r="E7" s="390"/>
      <c r="F7" s="390"/>
      <c r="G7" s="390"/>
      <c r="H7" s="390"/>
      <c r="I7" s="390"/>
      <c r="J7" s="390"/>
      <c r="K7" s="390"/>
      <c r="L7" s="390"/>
      <c r="M7" s="390"/>
      <c r="N7" s="101"/>
      <c r="O7" s="101"/>
    </row>
    <row r="8" spans="1:15" ht="15.6" x14ac:dyDescent="0.3">
      <c r="A8" s="14"/>
      <c r="B8" s="391" t="s">
        <v>56</v>
      </c>
      <c r="C8" s="392">
        <v>42430</v>
      </c>
      <c r="D8" s="392">
        <f>C8+365</f>
        <v>42795</v>
      </c>
      <c r="E8" s="392">
        <f t="shared" ref="E8:L8" si="0">D8+365</f>
        <v>43160</v>
      </c>
      <c r="F8" s="392">
        <f>E8+366</f>
        <v>43526</v>
      </c>
      <c r="G8" s="392">
        <f t="shared" si="0"/>
        <v>43891</v>
      </c>
      <c r="H8" s="392">
        <f t="shared" si="0"/>
        <v>44256</v>
      </c>
      <c r="I8" s="392">
        <f t="shared" si="0"/>
        <v>44621</v>
      </c>
      <c r="J8" s="392">
        <f>I8+366</f>
        <v>44987</v>
      </c>
      <c r="K8" s="392">
        <f t="shared" si="0"/>
        <v>45352</v>
      </c>
      <c r="L8" s="392">
        <f t="shared" si="0"/>
        <v>45717</v>
      </c>
      <c r="M8" s="277"/>
      <c r="N8" s="101"/>
      <c r="O8" s="101"/>
    </row>
    <row r="9" spans="1:15" ht="16.2" thickBot="1" x14ac:dyDescent="0.35">
      <c r="A9" s="14"/>
      <c r="B9" s="393"/>
      <c r="C9" s="394"/>
      <c r="D9" s="394"/>
      <c r="E9" s="394"/>
      <c r="F9" s="394"/>
      <c r="G9" s="394"/>
      <c r="H9" s="394"/>
      <c r="I9" s="394"/>
      <c r="J9" s="394"/>
      <c r="K9" s="394"/>
      <c r="L9" s="394"/>
      <c r="M9" s="277"/>
      <c r="N9" s="101"/>
      <c r="O9" s="101"/>
    </row>
    <row r="10" spans="1:15" ht="16.2" thickTop="1" x14ac:dyDescent="0.3">
      <c r="A10" s="58" t="s">
        <v>59</v>
      </c>
      <c r="B10" s="395" t="s">
        <v>58</v>
      </c>
      <c r="C10" s="396"/>
      <c r="D10" s="396"/>
      <c r="E10" s="396"/>
      <c r="F10" s="396"/>
      <c r="G10" s="396"/>
      <c r="H10" s="396"/>
      <c r="I10" s="396"/>
      <c r="J10" s="396"/>
      <c r="K10" s="396"/>
      <c r="L10" s="397"/>
      <c r="M10" s="388"/>
    </row>
    <row r="11" spans="1:15" ht="15.6" x14ac:dyDescent="0.3">
      <c r="A11" s="101"/>
      <c r="B11" s="398"/>
      <c r="C11" s="399"/>
      <c r="D11" s="399"/>
      <c r="E11" s="399"/>
      <c r="F11" s="399"/>
      <c r="G11" s="399"/>
      <c r="H11" s="399"/>
      <c r="I11" s="399"/>
      <c r="J11" s="399"/>
      <c r="K11" s="399"/>
      <c r="L11" s="400"/>
    </row>
    <row r="12" spans="1:15" ht="15.6" x14ac:dyDescent="0.3">
      <c r="A12" s="101"/>
      <c r="B12" s="401" t="str">
        <f>'Data Sheet'!A17</f>
        <v>Sales</v>
      </c>
      <c r="C12" s="402">
        <f>'Data Sheet'!B17/'Data Sheet'!B17</f>
        <v>1</v>
      </c>
      <c r="D12" s="402">
        <f>'Data Sheet'!C17/'Data Sheet'!C17</f>
        <v>1</v>
      </c>
      <c r="E12" s="402">
        <f>'Data Sheet'!D17/'Data Sheet'!D17</f>
        <v>1</v>
      </c>
      <c r="F12" s="402">
        <f>'Data Sheet'!E17/'Data Sheet'!E17</f>
        <v>1</v>
      </c>
      <c r="G12" s="402">
        <f>'Data Sheet'!F17/'Data Sheet'!F17</f>
        <v>1</v>
      </c>
      <c r="H12" s="402">
        <f>'Data Sheet'!G17/'Data Sheet'!G17</f>
        <v>1</v>
      </c>
      <c r="I12" s="402">
        <f>'Data Sheet'!H17/'Data Sheet'!H17</f>
        <v>1</v>
      </c>
      <c r="J12" s="402">
        <f>'Data Sheet'!I17/'Data Sheet'!I17</f>
        <v>1</v>
      </c>
      <c r="K12" s="402">
        <f>'Data Sheet'!J17/'Data Sheet'!J17</f>
        <v>1</v>
      </c>
      <c r="L12" s="403">
        <f>'Data Sheet'!K17/'Data Sheet'!K17</f>
        <v>1</v>
      </c>
    </row>
    <row r="13" spans="1:15" ht="15.6" x14ac:dyDescent="0.3">
      <c r="A13" s="101"/>
      <c r="B13" s="401" t="str">
        <f>'Data Sheet'!A18</f>
        <v>Raw Material Cost</v>
      </c>
      <c r="C13" s="404">
        <f>'Data Sheet'!B18/'Data Sheet'!B17</f>
        <v>0.55942616756386832</v>
      </c>
      <c r="D13" s="404">
        <f>'Data Sheet'!C18/'Data Sheet'!C17</f>
        <v>0.57581356369454773</v>
      </c>
      <c r="E13" s="404">
        <f>'Data Sheet'!D18/'Data Sheet'!D17</f>
        <v>0.60395313270084816</v>
      </c>
      <c r="F13" s="404">
        <f>'Data Sheet'!E18/'Data Sheet'!E17</f>
        <v>0.64271883708594102</v>
      </c>
      <c r="G13" s="404">
        <f>'Data Sheet'!F18/'Data Sheet'!F17</f>
        <v>0.59120560090359409</v>
      </c>
      <c r="H13" s="404">
        <f>'Data Sheet'!G18/'Data Sheet'!G17</f>
        <v>0.55488046705674687</v>
      </c>
      <c r="I13" s="404">
        <f>'Data Sheet'!H18/'Data Sheet'!H17</f>
        <v>0.69561181674876327</v>
      </c>
      <c r="J13" s="404">
        <f>'Data Sheet'!I18/'Data Sheet'!I17</f>
        <v>0.68612063543942559</v>
      </c>
      <c r="K13" s="404">
        <f>'Data Sheet'!J18/'Data Sheet'!J17</f>
        <v>0.60652047203017401</v>
      </c>
      <c r="L13" s="405">
        <f>'Data Sheet'!K18/'Data Sheet'!K17</f>
        <v>0.65771885267738217</v>
      </c>
    </row>
    <row r="14" spans="1:15" ht="15.6" x14ac:dyDescent="0.3">
      <c r="A14" s="101"/>
      <c r="B14" s="401" t="str">
        <f>'Data Sheet'!A19</f>
        <v>Change in Inventory</v>
      </c>
      <c r="C14" s="404">
        <f>'Data Sheet'!B19/'Data Sheet'!B17</f>
        <v>7.1756310020957008E-4</v>
      </c>
      <c r="D14" s="404">
        <f>'Data Sheet'!C19/'Data Sheet'!C17</f>
        <v>1.6978104649723606E-2</v>
      </c>
      <c r="E14" s="404">
        <f>'Data Sheet'!D19/'Data Sheet'!D17</f>
        <v>-5.1900163905813342E-3</v>
      </c>
      <c r="F14" s="404">
        <f>'Data Sheet'!E19/'Data Sheet'!E17</f>
        <v>3.8216953103403624E-2</v>
      </c>
      <c r="G14" s="404">
        <f>'Data Sheet'!F19/'Data Sheet'!F17</f>
        <v>-1.0716014529437632E-3</v>
      </c>
      <c r="H14" s="404">
        <f>'Data Sheet'!G19/'Data Sheet'!G17</f>
        <v>-2.1918033669317043E-2</v>
      </c>
      <c r="I14" s="404">
        <f>'Data Sheet'!H19/'Data Sheet'!H17</f>
        <v>4.4321867404544781E-2</v>
      </c>
      <c r="J14" s="404">
        <f>'Data Sheet'!I19/'Data Sheet'!I17</f>
        <v>1.507758277110942E-2</v>
      </c>
      <c r="K14" s="404">
        <f>'Data Sheet'!J19/'Data Sheet'!J17</f>
        <v>7.3233730903386864E-3</v>
      </c>
      <c r="L14" s="405">
        <f>'Data Sheet'!K19/'Data Sheet'!K17</f>
        <v>2.0968297664505815E-2</v>
      </c>
    </row>
    <row r="15" spans="1:15" ht="15.6" x14ac:dyDescent="0.3">
      <c r="A15" s="101"/>
      <c r="B15" s="401" t="str">
        <f>'Data Sheet'!A20</f>
        <v>Power and Fuel</v>
      </c>
      <c r="C15" s="404">
        <f>'Data Sheet'!B20/'Data Sheet'!B17</f>
        <v>4.1793590595562508E-2</v>
      </c>
      <c r="D15" s="404">
        <f>'Data Sheet'!C20/'Data Sheet'!C17</f>
        <v>4.331500643454584E-2</v>
      </c>
      <c r="E15" s="404">
        <f>'Data Sheet'!D20/'Data Sheet'!D17</f>
        <v>4.2680378314144118E-2</v>
      </c>
      <c r="F15" s="404">
        <f>'Data Sheet'!E20/'Data Sheet'!E17</f>
        <v>4.7537250057901645E-2</v>
      </c>
      <c r="G15" s="404">
        <f>'Data Sheet'!F20/'Data Sheet'!F17</f>
        <v>4.4438203700350669E-2</v>
      </c>
      <c r="H15" s="404">
        <f>'Data Sheet'!G20/'Data Sheet'!G17</f>
        <v>4.0538308144351526E-2</v>
      </c>
      <c r="I15" s="404">
        <f>'Data Sheet'!H20/'Data Sheet'!H17</f>
        <v>4.8245425578451746E-2</v>
      </c>
      <c r="J15" s="404">
        <f>'Data Sheet'!I20/'Data Sheet'!I17</f>
        <v>4.9374726457765507E-2</v>
      </c>
      <c r="K15" s="404">
        <f>'Data Sheet'!J20/'Data Sheet'!J17</f>
        <v>4.5637980144409354E-2</v>
      </c>
      <c r="L15" s="405">
        <f>'Data Sheet'!K20/'Data Sheet'!K17</f>
        <v>4.3178758547198291E-2</v>
      </c>
    </row>
    <row r="16" spans="1:15" ht="15.6" x14ac:dyDescent="0.3">
      <c r="A16" s="101"/>
      <c r="B16" s="401" t="str">
        <f>'Data Sheet'!A21</f>
        <v>Other Mfr. Exp</v>
      </c>
      <c r="C16" s="404">
        <f>'Data Sheet'!B21/'Data Sheet'!B17</f>
        <v>4.4902700326719169E-2</v>
      </c>
      <c r="D16" s="404">
        <f>'Data Sheet'!C21/'Data Sheet'!C17</f>
        <v>4.7703620196272285E-2</v>
      </c>
      <c r="E16" s="404">
        <f>'Data Sheet'!D21/'Data Sheet'!D17</f>
        <v>4.6632574792476254E-2</v>
      </c>
      <c r="F16" s="404">
        <f>'Data Sheet'!E21/'Data Sheet'!E17</f>
        <v>5.1532463521964028E-2</v>
      </c>
      <c r="G16" s="404">
        <f>'Data Sheet'!F21/'Data Sheet'!F17</f>
        <v>5.1636409322193613E-2</v>
      </c>
      <c r="H16" s="404">
        <f>'Data Sheet'!G21/'Data Sheet'!G17</f>
        <v>4.4774660340083733E-2</v>
      </c>
      <c r="I16" s="404">
        <f>'Data Sheet'!H21/'Data Sheet'!H17</f>
        <v>4.7383474877890311E-2</v>
      </c>
      <c r="J16" s="404">
        <f>'Data Sheet'!I21/'Data Sheet'!I17</f>
        <v>4.1640571045356178E-2</v>
      </c>
      <c r="K16" s="404">
        <f>'Data Sheet'!J21/'Data Sheet'!J17</f>
        <v>4.2371228107258498E-2</v>
      </c>
      <c r="L16" s="405">
        <f>'Data Sheet'!K21/'Data Sheet'!K17</f>
        <v>4.3076813782079747E-2</v>
      </c>
    </row>
    <row r="17" spans="1:12" ht="15.6" x14ac:dyDescent="0.3">
      <c r="A17" s="101"/>
      <c r="B17" s="401" t="str">
        <f>'Data Sheet'!A22</f>
        <v>Employee Cost</v>
      </c>
      <c r="C17" s="404">
        <f>'Data Sheet'!B22/'Data Sheet'!B17</f>
        <v>6.3701565110179145E-2</v>
      </c>
      <c r="D17" s="404">
        <f>'Data Sheet'!C22/'Data Sheet'!C17</f>
        <v>7.4601214734886276E-2</v>
      </c>
      <c r="E17" s="404">
        <f>'Data Sheet'!D22/'Data Sheet'!D17</f>
        <v>7.3062136419657725E-2</v>
      </c>
      <c r="F17" s="404">
        <f>'Data Sheet'!E22/'Data Sheet'!E17</f>
        <v>7.2562589809808661E-2</v>
      </c>
      <c r="G17" s="404">
        <f>'Data Sheet'!F22/'Data Sheet'!F17</f>
        <v>8.2841566804496794E-2</v>
      </c>
      <c r="H17" s="404">
        <f>'Data Sheet'!G22/'Data Sheet'!G17</f>
        <v>8.7564477998130233E-2</v>
      </c>
      <c r="I17" s="404">
        <f>'Data Sheet'!H22/'Data Sheet'!H17</f>
        <v>7.7766589962545263E-2</v>
      </c>
      <c r="J17" s="404">
        <f>'Data Sheet'!I22/'Data Sheet'!I17</f>
        <v>6.9350969844399826E-2</v>
      </c>
      <c r="K17" s="404">
        <f>'Data Sheet'!J22/'Data Sheet'!J17</f>
        <v>7.1456525617303701E-2</v>
      </c>
      <c r="L17" s="405">
        <f>'Data Sheet'!K22/'Data Sheet'!K17</f>
        <v>6.6972737767516208E-2</v>
      </c>
    </row>
    <row r="18" spans="1:12" ht="15.6" x14ac:dyDescent="0.3">
      <c r="A18" s="101"/>
      <c r="B18" s="401" t="str">
        <f>'Data Sheet'!A23</f>
        <v>Selling and admin</v>
      </c>
      <c r="C18" s="404">
        <f>'Data Sheet'!B23/'Data Sheet'!B17</f>
        <v>5.9828805698481764E-2</v>
      </c>
      <c r="D18" s="404">
        <f>'Data Sheet'!C23/'Data Sheet'!C17</f>
        <v>6.4792073951795343E-2</v>
      </c>
      <c r="E18" s="404">
        <f>'Data Sheet'!D23/'Data Sheet'!D17</f>
        <v>6.4281037949779685E-2</v>
      </c>
      <c r="F18" s="404">
        <f>'Data Sheet'!E23/'Data Sheet'!E17</f>
        <v>6.684775976669996E-2</v>
      </c>
      <c r="G18" s="404">
        <f>'Data Sheet'!F23/'Data Sheet'!F17</f>
        <v>6.5650985565405259E-2</v>
      </c>
      <c r="H18" s="404">
        <f>'Data Sheet'!G23/'Data Sheet'!G17</f>
        <v>5.3612407494142304E-2</v>
      </c>
      <c r="I18" s="404">
        <f>'Data Sheet'!H23/'Data Sheet'!H17</f>
        <v>5.7634217113215792E-2</v>
      </c>
      <c r="J18" s="404">
        <f>'Data Sheet'!I23/'Data Sheet'!I17</f>
        <v>5.3943506547411306E-2</v>
      </c>
      <c r="K18" s="404">
        <f>'Data Sheet'!J23/'Data Sheet'!J17</f>
        <v>6.1647131182224923E-2</v>
      </c>
      <c r="L18" s="405">
        <f>'Data Sheet'!K23/'Data Sheet'!K17</f>
        <v>5.612290205132759E-2</v>
      </c>
    </row>
    <row r="19" spans="1:12" ht="15.6" x14ac:dyDescent="0.3">
      <c r="B19" s="401" t="str">
        <f>'Data Sheet'!A24</f>
        <v>Other Expenses</v>
      </c>
      <c r="C19" s="404">
        <f>'Data Sheet'!B24/'Data Sheet'!B17</f>
        <v>1.1208454558384016E-2</v>
      </c>
      <c r="D19" s="404">
        <f>'Data Sheet'!C24/'Data Sheet'!C17</f>
        <v>1.3239655889734402E-2</v>
      </c>
      <c r="E19" s="404">
        <f>'Data Sheet'!D24/'Data Sheet'!D17</f>
        <v>1.1166459694617589E-2</v>
      </c>
      <c r="F19" s="404">
        <f>'Data Sheet'!E24/'Data Sheet'!E17</f>
        <v>1.2740229564455115E-2</v>
      </c>
      <c r="G19" s="404">
        <f>'Data Sheet'!F24/'Data Sheet'!F17</f>
        <v>1.6455856794630661E-2</v>
      </c>
      <c r="H19" s="404">
        <f>'Data Sheet'!G24/'Data Sheet'!G17</f>
        <v>1.3929165617426523E-2</v>
      </c>
      <c r="I19" s="404">
        <f>'Data Sheet'!H24/'Data Sheet'!H17</f>
        <v>1.0985341661209369E-2</v>
      </c>
      <c r="J19" s="404">
        <f>'Data Sheet'!I24/'Data Sheet'!I17</f>
        <v>1.0155017769651251E-2</v>
      </c>
      <c r="K19" s="404">
        <f>'Data Sheet'!J24/'Data Sheet'!J17</f>
        <v>9.9452773342159108E-3</v>
      </c>
      <c r="L19" s="405">
        <f>'Data Sheet'!K24/'Data Sheet'!K17</f>
        <v>8.4528905070597633E-3</v>
      </c>
    </row>
    <row r="20" spans="1:12" ht="15.6" x14ac:dyDescent="0.3">
      <c r="B20" s="401" t="str">
        <f>'Data Sheet'!A25</f>
        <v>Other Income</v>
      </c>
      <c r="C20" s="404">
        <f>'Data Sheet'!B25/'Data Sheet'!B17</f>
        <v>1.5711559455900841E-2</v>
      </c>
      <c r="D20" s="404">
        <f>'Data Sheet'!C25/'Data Sheet'!C17</f>
        <v>2.4417722066391392E-2</v>
      </c>
      <c r="E20" s="404">
        <f>'Data Sheet'!D25/'Data Sheet'!D17</f>
        <v>2.2046702791481181E-2</v>
      </c>
      <c r="F20" s="404">
        <f>'Data Sheet'!E25/'Data Sheet'!E17</f>
        <v>2.5889506229718858E-2</v>
      </c>
      <c r="G20" s="404">
        <f>'Data Sheet'!F25/'Data Sheet'!F17</f>
        <v>2.0654810074039038E-2</v>
      </c>
      <c r="H20" s="404">
        <f>'Data Sheet'!G25/'Data Sheet'!G17</f>
        <v>1.2685545358419403E-2</v>
      </c>
      <c r="I20" s="404">
        <f>'Data Sheet'!H25/'Data Sheet'!H17</f>
        <v>1.6296303965749756E-2</v>
      </c>
      <c r="J20" s="404">
        <f>'Data Sheet'!I25/'Data Sheet'!I17</f>
        <v>1.0649186620671731E-2</v>
      </c>
      <c r="K20" s="404">
        <f>'Data Sheet'!J25/'Data Sheet'!J17</f>
        <v>1.2164300701704061E-2</v>
      </c>
      <c r="L20" s="405">
        <f>'Data Sheet'!K25/'Data Sheet'!K17</f>
        <v>1.4409732705798775E-2</v>
      </c>
    </row>
    <row r="21" spans="1:12" ht="15.6" x14ac:dyDescent="0.3">
      <c r="B21" s="401" t="str">
        <f>'Data Sheet'!A26</f>
        <v>Depreciation</v>
      </c>
      <c r="C21" s="404">
        <f>'Data Sheet'!B26/'Data Sheet'!B17</f>
        <v>3.6528322681386623E-2</v>
      </c>
      <c r="D21" s="404">
        <f>'Data Sheet'!C26/'Data Sheet'!C17</f>
        <v>4.5524970958799524E-2</v>
      </c>
      <c r="E21" s="404">
        <f>'Data Sheet'!D26/'Data Sheet'!D17</f>
        <v>4.7260512608576742E-2</v>
      </c>
      <c r="F21" s="404">
        <f>'Data Sheet'!E26/'Data Sheet'!E17</f>
        <v>5.0281040884786937E-2</v>
      </c>
      <c r="G21" s="404">
        <f>'Data Sheet'!F26/'Data Sheet'!F17</f>
        <v>6.0497444784811352E-2</v>
      </c>
      <c r="H21" s="404">
        <f>'Data Sheet'!G26/'Data Sheet'!G17</f>
        <v>7.0581327505848418E-2</v>
      </c>
      <c r="I21" s="404">
        <f>'Data Sheet'!H26/'Data Sheet'!H17</f>
        <v>6.2384005508201466E-2</v>
      </c>
      <c r="J21" s="404">
        <f>'Data Sheet'!I26/'Data Sheet'!I17</f>
        <v>5.4460275908768688E-2</v>
      </c>
      <c r="K21" s="404">
        <f>'Data Sheet'!J26/'Data Sheet'!J17</f>
        <v>5.6815341894485741E-2</v>
      </c>
      <c r="L21" s="405">
        <f>'Data Sheet'!K26/'Data Sheet'!K17</f>
        <v>5.8735458662640974E-2</v>
      </c>
    </row>
    <row r="22" spans="1:12" ht="15.6" x14ac:dyDescent="0.3">
      <c r="B22" s="401" t="str">
        <f>'Data Sheet'!A27</f>
        <v>Interest</v>
      </c>
      <c r="C22" s="404">
        <f>'Data Sheet'!B27/'Data Sheet'!B17</f>
        <v>1.7869699857428936E-2</v>
      </c>
      <c r="D22" s="404">
        <f>'Data Sheet'!C27/'Data Sheet'!C17</f>
        <v>1.9130657814878937E-2</v>
      </c>
      <c r="E22" s="404">
        <f>'Data Sheet'!D27/'Data Sheet'!D17</f>
        <v>1.7302729556745451E-2</v>
      </c>
      <c r="F22" s="404">
        <f>'Data Sheet'!E27/'Data Sheet'!E17</f>
        <v>1.702183825891623E-2</v>
      </c>
      <c r="G22" s="404">
        <f>'Data Sheet'!F27/'Data Sheet'!F17</f>
        <v>1.852700374075128E-2</v>
      </c>
      <c r="H22" s="404">
        <f>'Data Sheet'!G27/'Data Sheet'!G17</f>
        <v>1.7425532823222165E-2</v>
      </c>
      <c r="I22" s="404">
        <f>'Data Sheet'!H27/'Data Sheet'!H17</f>
        <v>1.3604843489942614E-2</v>
      </c>
      <c r="J22" s="404">
        <f>'Data Sheet'!I27/'Data Sheet'!I17</f>
        <v>1.418833961439183E-2</v>
      </c>
      <c r="K22" s="404">
        <f>'Data Sheet'!J27/'Data Sheet'!J17</f>
        <v>1.4344386864176301E-2</v>
      </c>
      <c r="L22" s="405">
        <f>'Data Sheet'!K27/'Data Sheet'!K17</f>
        <v>1.3063493473048575E-2</v>
      </c>
    </row>
    <row r="23" spans="1:12" ht="15.6" x14ac:dyDescent="0.3">
      <c r="B23" s="401" t="str">
        <f>'Data Sheet'!A28</f>
        <v>Profit before tax</v>
      </c>
      <c r="C23" s="404">
        <f>'Data Sheet'!B28/'Data Sheet'!B17</f>
        <v>0.18116981616409994</v>
      </c>
      <c r="D23" s="404">
        <f>'Data Sheet'!C28/'Data Sheet'!C17</f>
        <v>0.15727506304065469</v>
      </c>
      <c r="E23" s="404">
        <f>'Data Sheet'!D28/'Data Sheet'!D17</f>
        <v>0.11051772436405415</v>
      </c>
      <c r="F23" s="404">
        <f>'Data Sheet'!E28/'Data Sheet'!E17</f>
        <v>0.10286445038264894</v>
      </c>
      <c r="G23" s="404">
        <f>'Data Sheet'!F28/'Data Sheet'!F17</f>
        <v>8.8330137004861628E-2</v>
      </c>
      <c r="H23" s="404">
        <f>'Data Sheet'!G28/'Data Sheet'!G17</f>
        <v>0.10746116470915063</v>
      </c>
      <c r="I23" s="404">
        <f>'Data Sheet'!H28/'Data Sheet'!H17</f>
        <v>4.7002456430074564E-2</v>
      </c>
      <c r="J23" s="404">
        <f>'Data Sheet'!I28/'Data Sheet'!I17</f>
        <v>4.64927267646109E-2</v>
      </c>
      <c r="K23" s="404">
        <f>'Data Sheet'!J28/'Data Sheet'!J17</f>
        <v>0.11074933061779439</v>
      </c>
      <c r="L23" s="405">
        <f>'Data Sheet'!K28/'Data Sheet'!K17</f>
        <v>8.8056122902051323E-2</v>
      </c>
    </row>
    <row r="24" spans="1:12" ht="15.6" x14ac:dyDescent="0.3">
      <c r="B24" s="401" t="str">
        <f>'Data Sheet'!A29</f>
        <v>Tax</v>
      </c>
      <c r="C24" s="404">
        <f>'Data Sheet'!B29/'Data Sheet'!B17</f>
        <v>5.6813851346496254E-2</v>
      </c>
      <c r="D24" s="404">
        <f>'Data Sheet'!C29/'Data Sheet'!C17</f>
        <v>4.6462192756028566E-2</v>
      </c>
      <c r="E24" s="404">
        <f>'Data Sheet'!D29/'Data Sheet'!D17</f>
        <v>3.4843527124706848E-2</v>
      </c>
      <c r="F24" s="404">
        <f>'Data Sheet'!E29/'Data Sheet'!E17</f>
        <v>3.2472860938928087E-2</v>
      </c>
      <c r="G24" s="404">
        <f>'Data Sheet'!F29/'Data Sheet'!F17</f>
        <v>7.1932787186110075E-4</v>
      </c>
      <c r="H24" s="404">
        <f>'Data Sheet'!G29/'Data Sheet'!G17</f>
        <v>2.844673067083104E-2</v>
      </c>
      <c r="I24" s="404">
        <f>'Data Sheet'!H29/'Data Sheet'!H17</f>
        <v>1.2356697460480983E-2</v>
      </c>
      <c r="J24" s="404">
        <f>'Data Sheet'!I29/'Data Sheet'!I17</f>
        <v>1.3072656729106369E-2</v>
      </c>
      <c r="K24" s="404">
        <f>'Data Sheet'!J29/'Data Sheet'!J17</f>
        <v>2.8058229398146034E-2</v>
      </c>
      <c r="L24" s="405">
        <f>'Data Sheet'!K29/'Data Sheet'!K17</f>
        <v>2.1657401651718321E-2</v>
      </c>
    </row>
    <row r="25" spans="1:12" ht="15.6" x14ac:dyDescent="0.3">
      <c r="B25" s="401" t="str">
        <f>'Data Sheet'!A30</f>
        <v>Net profit</v>
      </c>
      <c r="C25" s="404">
        <f>'Data Sheet'!B30/'Data Sheet'!B17</f>
        <v>0.12435596481760368</v>
      </c>
      <c r="D25" s="404">
        <f>'Data Sheet'!C30/'Data Sheet'!C17</f>
        <v>0.11081287028462614</v>
      </c>
      <c r="E25" s="404">
        <f>'Data Sheet'!D30/'Data Sheet'!D17</f>
        <v>7.5674197239347291E-2</v>
      </c>
      <c r="F25" s="404">
        <f>'Data Sheet'!E30/'Data Sheet'!E17</f>
        <v>7.0390966845393893E-2</v>
      </c>
      <c r="G25" s="404">
        <f>'Data Sheet'!F30/'Data Sheet'!F17</f>
        <v>8.7610193270096531E-2</v>
      </c>
      <c r="H25" s="404">
        <f>'Data Sheet'!G30/'Data Sheet'!G17</f>
        <v>7.9013815321772818E-2</v>
      </c>
      <c r="I25" s="404">
        <f>'Data Sheet'!H30/'Data Sheet'!H17</f>
        <v>3.4645241281485141E-2</v>
      </c>
      <c r="J25" s="404">
        <f>'Data Sheet'!I30/'Data Sheet'!I17</f>
        <v>3.3419635410305744E-2</v>
      </c>
      <c r="K25" s="404">
        <f>'Data Sheet'!J30/'Data Sheet'!J17</f>
        <v>8.2690703901229817E-2</v>
      </c>
      <c r="L25" s="405">
        <f>'Data Sheet'!K30/'Data Sheet'!K17</f>
        <v>6.6398366042092177E-2</v>
      </c>
    </row>
    <row r="26" spans="1:12" ht="16.2" thickBot="1" x14ac:dyDescent="0.35">
      <c r="B26" s="406" t="str">
        <f>'Data Sheet'!A31</f>
        <v>Dividend Amount</v>
      </c>
      <c r="C26" s="407">
        <f>'Data Sheet'!B31/'Data Sheet'!B17</f>
        <v>2.1011516193981884E-3</v>
      </c>
      <c r="D26" s="407">
        <f>'Data Sheet'!C31/'Data Sheet'!C17</f>
        <v>1.8968116564444626E-3</v>
      </c>
      <c r="E26" s="407">
        <f>'Data Sheet'!D31/'Data Sheet'!D17</f>
        <v>1.7012500576779944E-3</v>
      </c>
      <c r="F26" s="407">
        <f>'Data Sheet'!E31/'Data Sheet'!E17</f>
        <v>1.5838901437704059E-3</v>
      </c>
      <c r="G26" s="407">
        <f>'Data Sheet'!F31/'Data Sheet'!F17</f>
        <v>2.611258712920434E-3</v>
      </c>
      <c r="H26" s="407">
        <f>'Data Sheet'!G31/'Data Sheet'!G17</f>
        <v>3.9350372374553676E-3</v>
      </c>
      <c r="I26" s="407">
        <f>'Data Sheet'!H31/'Data Sheet'!H17</f>
        <v>3.2924963697121392E-3</v>
      </c>
      <c r="J26" s="407">
        <f>'Data Sheet'!I31/'Data Sheet'!I17</f>
        <v>3.2249189749973162E-3</v>
      </c>
      <c r="K26" s="407">
        <f>'Data Sheet'!J31/'Data Sheet'!J17</f>
        <v>3.3692601891315136E-3</v>
      </c>
      <c r="L26" s="408">
        <f>'Data Sheet'!K31/'Data Sheet'!K17</f>
        <v>3.53929491164195E-3</v>
      </c>
    </row>
    <row r="27" spans="1:12" ht="16.8" thickTop="1" thickBot="1" x14ac:dyDescent="0.35">
      <c r="B27" s="409"/>
      <c r="C27" s="409"/>
      <c r="D27" s="409"/>
      <c r="E27" s="409"/>
      <c r="F27" s="409"/>
      <c r="G27" s="409"/>
      <c r="H27" s="409"/>
      <c r="I27" s="409"/>
      <c r="J27" s="409"/>
      <c r="K27" s="409"/>
      <c r="L27" s="409"/>
    </row>
    <row r="28" spans="1:12" ht="16.2" thickTop="1" x14ac:dyDescent="0.3">
      <c r="A28" s="58" t="s">
        <v>59</v>
      </c>
      <c r="B28" s="395" t="s">
        <v>82</v>
      </c>
      <c r="C28" s="396"/>
      <c r="D28" s="396"/>
      <c r="E28" s="396"/>
      <c r="F28" s="396"/>
      <c r="G28" s="396"/>
      <c r="H28" s="396"/>
      <c r="I28" s="396"/>
      <c r="J28" s="396"/>
      <c r="K28" s="396"/>
      <c r="L28" s="397"/>
    </row>
    <row r="29" spans="1:12" ht="15.6" x14ac:dyDescent="0.3">
      <c r="B29" s="398"/>
      <c r="C29" s="399"/>
      <c r="D29" s="399"/>
      <c r="E29" s="399"/>
      <c r="F29" s="399"/>
      <c r="G29" s="399"/>
      <c r="H29" s="399"/>
      <c r="I29" s="399"/>
      <c r="J29" s="399"/>
      <c r="K29" s="399"/>
      <c r="L29" s="400"/>
    </row>
    <row r="30" spans="1:12" ht="15.6" x14ac:dyDescent="0.3">
      <c r="B30" s="401" t="str">
        <f>'Raw Balance Sheet'!A4</f>
        <v>Equity Capital</v>
      </c>
      <c r="C30" s="410" t="s">
        <v>60</v>
      </c>
      <c r="D30" s="410" t="s">
        <v>60</v>
      </c>
      <c r="E30" s="410" t="s">
        <v>60</v>
      </c>
      <c r="F30" s="410" t="s">
        <v>60</v>
      </c>
      <c r="G30" s="410" t="s">
        <v>60</v>
      </c>
      <c r="H30" s="411">
        <f>'Raw Balance Sheet'!B4/'Raw Balance Sheet'!B16</f>
        <v>1.7713222920910459E-4</v>
      </c>
      <c r="I30" s="411">
        <f>'Raw Balance Sheet'!C4/'Raw Balance Sheet'!C16</f>
        <v>1.7346053772766696E-4</v>
      </c>
      <c r="J30" s="411">
        <f>'Raw Balance Sheet'!D4/'Raw Balance Sheet'!D16</f>
        <v>1.6414296852558578E-4</v>
      </c>
      <c r="K30" s="411">
        <f>'Raw Balance Sheet'!E4/'Raw Balance Sheet'!E16</f>
        <v>1.4898134008715409E-4</v>
      </c>
      <c r="L30" s="412">
        <f>'Raw Balance Sheet'!F4/'Raw Balance Sheet'!F16</f>
        <v>1.3528596069942842E-4</v>
      </c>
    </row>
    <row r="31" spans="1:12" ht="15.6" x14ac:dyDescent="0.3">
      <c r="B31" s="401" t="str">
        <f>'Raw Balance Sheet'!A5</f>
        <v>Reserves</v>
      </c>
      <c r="C31" s="410" t="s">
        <v>60</v>
      </c>
      <c r="D31" s="410" t="s">
        <v>60</v>
      </c>
      <c r="E31" s="410" t="s">
        <v>60</v>
      </c>
      <c r="F31" s="410" t="s">
        <v>60</v>
      </c>
      <c r="G31" s="410" t="s">
        <v>60</v>
      </c>
      <c r="H31" s="411">
        <f>'Raw Balance Sheet'!B5/'Raw Balance Sheet'!B16</f>
        <v>0.59379151536622088</v>
      </c>
      <c r="I31" s="411">
        <f>'Raw Balance Sheet'!C5/'Raw Balance Sheet'!C16</f>
        <v>0.60832610581092805</v>
      </c>
      <c r="J31" s="411">
        <f>'Raw Balance Sheet'!D5/'Raw Balance Sheet'!D16</f>
        <v>0.60334851655792199</v>
      </c>
      <c r="K31" s="411">
        <f>'Raw Balance Sheet'!E5/'Raw Balance Sheet'!E16</f>
        <v>0.62195984952884653</v>
      </c>
      <c r="L31" s="412">
        <f>'Raw Balance Sheet'!F5/'Raw Balance Sheet'!F16</f>
        <v>0.62515642439205876</v>
      </c>
    </row>
    <row r="32" spans="1:12" ht="15.6" x14ac:dyDescent="0.3">
      <c r="B32" s="401"/>
      <c r="C32" s="410"/>
      <c r="D32" s="410"/>
      <c r="E32" s="410"/>
      <c r="F32" s="410"/>
      <c r="G32" s="410"/>
      <c r="H32" s="411"/>
      <c r="I32" s="411"/>
      <c r="J32" s="411"/>
      <c r="K32" s="411"/>
      <c r="L32" s="412"/>
    </row>
    <row r="33" spans="2:12" ht="15.6" x14ac:dyDescent="0.3">
      <c r="B33" s="401" t="s">
        <v>121</v>
      </c>
      <c r="C33" s="410">
        <f>SUM(C30:C31)</f>
        <v>0</v>
      </c>
      <c r="D33" s="410"/>
      <c r="E33" s="410"/>
      <c r="F33" s="410"/>
      <c r="G33" s="410"/>
      <c r="H33" s="411">
        <f>SUM('Raw Balance Sheet'!B4:B5)/'Raw Balance Sheet'!B16</f>
        <v>0.59396864759543</v>
      </c>
      <c r="I33" s="411">
        <f>SUM('Raw Balance Sheet'!C4:C5)/'Raw Balance Sheet'!C16</f>
        <v>0.60849956634865565</v>
      </c>
      <c r="J33" s="411">
        <f>SUM('Raw Balance Sheet'!D4:D5)/'Raw Balance Sheet'!D16</f>
        <v>0.6035126595264475</v>
      </c>
      <c r="K33" s="411">
        <f>SUM('Raw Balance Sheet'!E4:E5)/'Raw Balance Sheet'!E16</f>
        <v>0.62210883086893365</v>
      </c>
      <c r="L33" s="412">
        <f>SUM('Raw Balance Sheet'!F4:F5)/'Raw Balance Sheet'!F16</f>
        <v>0.6252917103527581</v>
      </c>
    </row>
    <row r="34" spans="2:12" ht="15.6" x14ac:dyDescent="0.3">
      <c r="B34" s="401"/>
      <c r="C34" s="410"/>
      <c r="D34" s="410"/>
      <c r="E34" s="410"/>
      <c r="F34" s="410"/>
      <c r="G34" s="410"/>
      <c r="H34" s="411"/>
      <c r="I34" s="411"/>
      <c r="J34" s="411"/>
      <c r="K34" s="411"/>
      <c r="L34" s="412"/>
    </row>
    <row r="35" spans="2:12" ht="15.6" x14ac:dyDescent="0.3">
      <c r="B35" s="401" t="str">
        <f>'Raw Balance Sheet'!A7</f>
        <v>Long term Borrowings</v>
      </c>
      <c r="C35" s="410" t="s">
        <v>60</v>
      </c>
      <c r="D35" s="410" t="s">
        <v>60</v>
      </c>
      <c r="E35" s="410" t="s">
        <v>60</v>
      </c>
      <c r="F35" s="410" t="s">
        <v>60</v>
      </c>
      <c r="G35" s="410" t="s">
        <v>60</v>
      </c>
      <c r="H35" s="411">
        <f>'Raw Balance Sheet'!B7/'Raw Balance Sheet'!B16</f>
        <v>3.5957842529448232E-2</v>
      </c>
      <c r="I35" s="411">
        <f>'Raw Balance Sheet'!C7/'Raw Balance Sheet'!C16</f>
        <v>3.5429314830875976E-2</v>
      </c>
      <c r="J35" s="411">
        <f>'Raw Balance Sheet'!D7/'Raw Balance Sheet'!D16</f>
        <v>3.3813451516270673E-2</v>
      </c>
      <c r="K35" s="411">
        <f>'Raw Balance Sheet'!E7/'Raw Balance Sheet'!E16</f>
        <v>2.696562255577489E-2</v>
      </c>
      <c r="L35" s="412">
        <f>'Raw Balance Sheet'!F7/'Raw Balance Sheet'!F16</f>
        <v>1.2649237325396558E-2</v>
      </c>
    </row>
    <row r="36" spans="2:12" ht="15.6" x14ac:dyDescent="0.3">
      <c r="B36" s="401" t="str">
        <f>'Raw Balance Sheet'!A8</f>
        <v>Short term Borrowings</v>
      </c>
      <c r="C36" s="410" t="s">
        <v>60</v>
      </c>
      <c r="D36" s="410" t="s">
        <v>60</v>
      </c>
      <c r="E36" s="410" t="s">
        <v>60</v>
      </c>
      <c r="F36" s="410" t="s">
        <v>60</v>
      </c>
      <c r="G36" s="410" t="s">
        <v>60</v>
      </c>
      <c r="H36" s="411">
        <f>'Raw Balance Sheet'!B8/'Raw Balance Sheet'!B16</f>
        <v>5.3538216278451865E-2</v>
      </c>
      <c r="I36" s="411">
        <f>'Raw Balance Sheet'!C8/'Raw Balance Sheet'!C16</f>
        <v>8.677363399826539E-2</v>
      </c>
      <c r="J36" s="411">
        <f>'Raw Balance Sheet'!D8/'Raw Balance Sheet'!D16</f>
        <v>6.5903401863022695E-2</v>
      </c>
      <c r="K36" s="411">
        <f>'Raw Balance Sheet'!E8/'Raw Balance Sheet'!E16</f>
        <v>5.0318447614436289E-2</v>
      </c>
      <c r="L36" s="412">
        <f>'Raw Balance Sheet'!F8/'Raw Balance Sheet'!F16</f>
        <v>8.5568370142388467E-2</v>
      </c>
    </row>
    <row r="37" spans="2:12" ht="15.6" x14ac:dyDescent="0.3">
      <c r="B37" s="401" t="str">
        <f>'Raw Balance Sheet'!A9</f>
        <v>Lease Liabilities</v>
      </c>
      <c r="C37" s="410" t="s">
        <v>60</v>
      </c>
      <c r="D37" s="410" t="s">
        <v>60</v>
      </c>
      <c r="E37" s="410" t="s">
        <v>60</v>
      </c>
      <c r="F37" s="410" t="s">
        <v>60</v>
      </c>
      <c r="G37" s="410" t="s">
        <v>60</v>
      </c>
      <c r="H37" s="411">
        <f>'Raw Balance Sheet'!B9/'Raw Balance Sheet'!B16</f>
        <v>1.6296165087237621E-2</v>
      </c>
      <c r="I37" s="411">
        <f>'Raw Balance Sheet'!C9/'Raw Balance Sheet'!C16</f>
        <v>1.7823070251517779E-2</v>
      </c>
      <c r="J37" s="411">
        <f>'Raw Balance Sheet'!D9/'Raw Balance Sheet'!D16</f>
        <v>2.3964873404735524E-2</v>
      </c>
      <c r="K37" s="411">
        <f>'Raw Balance Sheet'!E9/'Raw Balance Sheet'!E16</f>
        <v>2.7785019926254238E-2</v>
      </c>
      <c r="L37" s="412">
        <f>'Raw Balance Sheet'!F9/'Raw Balance Sheet'!F16</f>
        <v>2.9289410491426252E-2</v>
      </c>
    </row>
    <row r="38" spans="2:12" ht="15.6" x14ac:dyDescent="0.3">
      <c r="B38" s="401"/>
      <c r="C38" s="410"/>
      <c r="D38" s="410"/>
      <c r="E38" s="410"/>
      <c r="F38" s="410"/>
      <c r="G38" s="410"/>
      <c r="H38" s="411"/>
      <c r="I38" s="411"/>
      <c r="J38" s="411"/>
      <c r="K38" s="411"/>
      <c r="L38" s="412"/>
    </row>
    <row r="39" spans="2:12" ht="15.6" x14ac:dyDescent="0.3">
      <c r="B39" s="401" t="s">
        <v>338</v>
      </c>
      <c r="C39" s="410">
        <f>SUM(C35:C37)</f>
        <v>0</v>
      </c>
      <c r="D39" s="410"/>
      <c r="E39" s="410"/>
      <c r="F39" s="410"/>
      <c r="G39" s="410"/>
      <c r="H39" s="411">
        <f>'Raw Balance Sheet'!B6/'Raw Balance Sheet'!B16</f>
        <v>0.10574794083783544</v>
      </c>
      <c r="I39" s="411">
        <f>'Raw Balance Sheet'!C6/'Raw Balance Sheet'!C16</f>
        <v>0.14002601908065915</v>
      </c>
      <c r="J39" s="411">
        <f>'Raw Balance Sheet'!D6/'Raw Balance Sheet'!D16</f>
        <v>0.12368172678402889</v>
      </c>
      <c r="K39" s="411">
        <f>'Raw Balance Sheet'!E6/'Raw Balance Sheet'!E16</f>
        <v>0.1051063354314872</v>
      </c>
      <c r="L39" s="412">
        <f>'Raw Balance Sheet'!F6/'Raw Balance Sheet'!F16</f>
        <v>0.12754083944938613</v>
      </c>
    </row>
    <row r="40" spans="2:12" ht="15.6" x14ac:dyDescent="0.3">
      <c r="B40" s="401"/>
      <c r="C40" s="410"/>
      <c r="D40" s="410"/>
      <c r="E40" s="410"/>
      <c r="F40" s="410"/>
      <c r="G40" s="410"/>
      <c r="H40" s="411"/>
      <c r="I40" s="411"/>
      <c r="J40" s="411"/>
      <c r="K40" s="411"/>
      <c r="L40" s="412"/>
    </row>
    <row r="41" spans="2:12" ht="15.6" x14ac:dyDescent="0.3">
      <c r="B41" s="401" t="str">
        <f>'Raw Balance Sheet'!A13</f>
        <v>Trade Payables</v>
      </c>
      <c r="C41" s="410" t="s">
        <v>60</v>
      </c>
      <c r="D41" s="410" t="s">
        <v>60</v>
      </c>
      <c r="E41" s="410" t="s">
        <v>60</v>
      </c>
      <c r="F41" s="410" t="s">
        <v>60</v>
      </c>
      <c r="G41" s="410" t="s">
        <v>60</v>
      </c>
      <c r="H41" s="411">
        <f>'Raw Balance Sheet'!B13/'Raw Balance Sheet'!B16</f>
        <v>0.14639978744132495</v>
      </c>
      <c r="I41" s="411">
        <f>'Raw Balance Sheet'!C13/'Raw Balance Sheet'!C16</f>
        <v>8.9202081526452731E-2</v>
      </c>
      <c r="J41" s="411">
        <f>'Raw Balance Sheet'!D13/'Raw Balance Sheet'!D16</f>
        <v>9.996306783208174E-2</v>
      </c>
      <c r="K41" s="411">
        <f>'Raw Balance Sheet'!E13/'Raw Balance Sheet'!E16</f>
        <v>9.8811873812804943E-2</v>
      </c>
      <c r="L41" s="412">
        <f>'Raw Balance Sheet'!F13/'Raw Balance Sheet'!F16</f>
        <v>9.5444245273446748E-2</v>
      </c>
    </row>
    <row r="42" spans="2:12" ht="15.6" x14ac:dyDescent="0.3">
      <c r="B42" s="401" t="str">
        <f>'Raw Balance Sheet'!A15</f>
        <v>Other liability items</v>
      </c>
      <c r="C42" s="410" t="s">
        <v>60</v>
      </c>
      <c r="D42" s="410" t="s">
        <v>60</v>
      </c>
      <c r="E42" s="410" t="s">
        <v>60</v>
      </c>
      <c r="F42" s="410" t="s">
        <v>60</v>
      </c>
      <c r="G42" s="410" t="s">
        <v>60</v>
      </c>
      <c r="H42" s="411">
        <f>'Raw Balance Sheet'!B15/'Raw Balance Sheet'!B16</f>
        <v>0.15383934106810734</v>
      </c>
      <c r="I42" s="411">
        <f>'Raw Balance Sheet'!C15/'Raw Balance Sheet'!C16</f>
        <v>0.16227233304423244</v>
      </c>
      <c r="J42" s="411">
        <f>'Raw Balance Sheet'!D15/'Raw Balance Sheet'!D16</f>
        <v>0.17284254585744183</v>
      </c>
      <c r="K42" s="411">
        <f>'Raw Balance Sheet'!E15/'Raw Balance Sheet'!E16</f>
        <v>0.17401020522179597</v>
      </c>
      <c r="L42" s="412">
        <f>'Raw Balance Sheet'!F15/'Raw Balance Sheet'!F16</f>
        <v>0.1516893834342341</v>
      </c>
    </row>
    <row r="43" spans="2:12" ht="15.6" x14ac:dyDescent="0.3">
      <c r="B43" s="401"/>
      <c r="C43" s="410"/>
      <c r="D43" s="410"/>
      <c r="E43" s="410"/>
      <c r="F43" s="410"/>
      <c r="G43" s="410"/>
      <c r="H43" s="411"/>
      <c r="I43" s="411"/>
      <c r="J43" s="411"/>
      <c r="K43" s="411"/>
      <c r="L43" s="412"/>
    </row>
    <row r="44" spans="2:12" ht="15.6" x14ac:dyDescent="0.3">
      <c r="B44" s="401" t="s">
        <v>162</v>
      </c>
      <c r="C44" s="410">
        <f>SUM(C41:C42)</f>
        <v>0</v>
      </c>
      <c r="D44" s="410"/>
      <c r="E44" s="410"/>
      <c r="F44" s="410"/>
      <c r="G44" s="410"/>
      <c r="H44" s="411">
        <f>'Raw Balance Sheet'!B11/'Raw Balance Sheet'!B16</f>
        <v>0.3002391285094323</v>
      </c>
      <c r="I44" s="411">
        <f>'Raw Balance Sheet'!C11/'Raw Balance Sheet'!C16</f>
        <v>0.25147441457068515</v>
      </c>
      <c r="J44" s="411">
        <f>'Raw Balance Sheet'!D11/'Raw Balance Sheet'!D16</f>
        <v>0.27280561368952355</v>
      </c>
      <c r="K44" s="411">
        <f>'Raw Balance Sheet'!E11/'Raw Balance Sheet'!E16</f>
        <v>0.27282207903460093</v>
      </c>
      <c r="L44" s="412">
        <f>'Raw Balance Sheet'!F11/'Raw Balance Sheet'!F16</f>
        <v>0.24713362870768085</v>
      </c>
    </row>
    <row r="45" spans="2:12" ht="15.6" x14ac:dyDescent="0.3">
      <c r="B45" s="401"/>
      <c r="C45" s="410"/>
      <c r="D45" s="410"/>
      <c r="E45" s="410"/>
      <c r="F45" s="410"/>
      <c r="G45" s="410"/>
      <c r="H45" s="411"/>
      <c r="I45" s="411"/>
      <c r="J45" s="411"/>
      <c r="K45" s="411"/>
      <c r="L45" s="412"/>
    </row>
    <row r="46" spans="2:12" ht="15.6" x14ac:dyDescent="0.3">
      <c r="B46" s="401" t="str">
        <f>'Raw Balance Sheet'!A16</f>
        <v>Total Liabilities</v>
      </c>
      <c r="C46" s="410">
        <f>SUM(C44,C39)</f>
        <v>0</v>
      </c>
      <c r="D46" s="410" t="s">
        <v>60</v>
      </c>
      <c r="E46" s="410" t="s">
        <v>60</v>
      </c>
      <c r="F46" s="410" t="s">
        <v>60</v>
      </c>
      <c r="G46" s="410" t="s">
        <v>60</v>
      </c>
      <c r="H46" s="411">
        <f>SUM('Raw Balance Sheet'!B6,'Raw Balance Sheet'!B11)/'Raw Balance Sheet'!B16</f>
        <v>0.40598706934726775</v>
      </c>
      <c r="I46" s="411">
        <f>SUM('Raw Balance Sheet'!C6,'Raw Balance Sheet'!C11)/'Raw Balance Sheet'!C16</f>
        <v>0.39150043365134429</v>
      </c>
      <c r="J46" s="411">
        <f>SUM('Raw Balance Sheet'!D6,'Raw Balance Sheet'!D11)/'Raw Balance Sheet'!D16</f>
        <v>0.39648734047355244</v>
      </c>
      <c r="K46" s="411">
        <f>SUM('Raw Balance Sheet'!E6,'Raw Balance Sheet'!E11)/'Raw Balance Sheet'!E16</f>
        <v>0.3779284144660881</v>
      </c>
      <c r="L46" s="412">
        <f>SUM('Raw Balance Sheet'!F6,'Raw Balance Sheet'!F11)/'Raw Balance Sheet'!F16</f>
        <v>0.37467446815706701</v>
      </c>
    </row>
    <row r="47" spans="2:12" ht="15.6" x14ac:dyDescent="0.3">
      <c r="B47" s="401"/>
      <c r="C47" s="410"/>
      <c r="D47" s="410"/>
      <c r="E47" s="410"/>
      <c r="F47" s="410"/>
      <c r="G47" s="410"/>
      <c r="H47" s="411"/>
      <c r="I47" s="411"/>
      <c r="J47" s="411"/>
      <c r="K47" s="411"/>
      <c r="L47" s="412"/>
    </row>
    <row r="48" spans="2:12" ht="15.6" x14ac:dyDescent="0.3">
      <c r="B48" s="401" t="s">
        <v>340</v>
      </c>
      <c r="C48" s="410">
        <f>SUM(C44,C39,C33)</f>
        <v>0</v>
      </c>
      <c r="D48" s="410"/>
      <c r="E48" s="410"/>
      <c r="F48" s="410"/>
      <c r="G48" s="410"/>
      <c r="H48" s="411">
        <f>'Raw Balance Sheet'!B16/'Raw Balance Sheet'!B16</f>
        <v>1</v>
      </c>
      <c r="I48" s="411">
        <f>'Raw Balance Sheet'!C16/'Raw Balance Sheet'!C16</f>
        <v>1</v>
      </c>
      <c r="J48" s="411">
        <f>'Raw Balance Sheet'!D16/'Raw Balance Sheet'!D16</f>
        <v>1</v>
      </c>
      <c r="K48" s="411">
        <f>'Raw Balance Sheet'!E16/'Raw Balance Sheet'!E16</f>
        <v>1</v>
      </c>
      <c r="L48" s="412">
        <f>'Raw Balance Sheet'!F16/'Raw Balance Sheet'!F16</f>
        <v>1</v>
      </c>
    </row>
    <row r="49" spans="2:12" ht="15.6" x14ac:dyDescent="0.3">
      <c r="B49" s="401"/>
      <c r="C49" s="410"/>
      <c r="D49" s="410"/>
      <c r="E49" s="410"/>
      <c r="F49" s="410"/>
      <c r="G49" s="410"/>
      <c r="H49" s="411"/>
      <c r="I49" s="411"/>
      <c r="J49" s="411"/>
      <c r="K49" s="411"/>
      <c r="L49" s="412"/>
    </row>
    <row r="50" spans="2:12" ht="15.6" x14ac:dyDescent="0.3">
      <c r="B50" s="401" t="str">
        <f>'Raw Balance Sheet'!A18</f>
        <v>Land</v>
      </c>
      <c r="C50" s="410" t="s">
        <v>60</v>
      </c>
      <c r="D50" s="410" t="s">
        <v>60</v>
      </c>
      <c r="E50" s="410" t="s">
        <v>60</v>
      </c>
      <c r="F50" s="410" t="s">
        <v>60</v>
      </c>
      <c r="G50" s="410" t="s">
        <v>60</v>
      </c>
      <c r="H50" s="411">
        <f>'Raw Balance Sheet'!B18/'Raw Balance Sheet'!B36</f>
        <v>2.9979629793640952E-2</v>
      </c>
      <c r="I50" s="411">
        <f>'Raw Balance Sheet'!C18/'Raw Balance Sheet'!C36</f>
        <v>2.940156114483955E-2</v>
      </c>
      <c r="J50" s="411">
        <f>'Raw Balance Sheet'!D18/'Raw Balance Sheet'!D36</f>
        <v>2.8068447617875171E-2</v>
      </c>
      <c r="K50" s="411">
        <f>'Raw Balance Sheet'!E18/'Raw Balance Sheet'!E36</f>
        <v>2.6332451860404484E-2</v>
      </c>
      <c r="L50" s="412">
        <f>'Raw Balance Sheet'!F18/'Raw Balance Sheet'!F36</f>
        <v>2.4114722494673117E-2</v>
      </c>
    </row>
    <row r="51" spans="2:12" ht="15.6" x14ac:dyDescent="0.3">
      <c r="B51" s="401" t="str">
        <f>'Raw Balance Sheet'!A19</f>
        <v>Building</v>
      </c>
      <c r="C51" s="410" t="s">
        <v>60</v>
      </c>
      <c r="D51" s="410" t="s">
        <v>60</v>
      </c>
      <c r="E51" s="410" t="s">
        <v>60</v>
      </c>
      <c r="F51" s="410" t="s">
        <v>60</v>
      </c>
      <c r="G51" s="410" t="s">
        <v>60</v>
      </c>
      <c r="H51" s="411">
        <f>'Raw Balance Sheet'!B19/'Raw Balance Sheet'!B36</f>
        <v>0.1539279071827119</v>
      </c>
      <c r="I51" s="411">
        <f>'Raw Balance Sheet'!C19/'Raw Balance Sheet'!C36</f>
        <v>0.16066782307025151</v>
      </c>
      <c r="J51" s="411">
        <f>'Raw Balance Sheet'!D19/'Raw Balance Sheet'!D36</f>
        <v>0.17612540522795356</v>
      </c>
      <c r="K51" s="411">
        <f>'Raw Balance Sheet'!E19/'Raw Balance Sheet'!E36</f>
        <v>0.1901746806212522</v>
      </c>
      <c r="L51" s="412">
        <f>'Raw Balance Sheet'!F19/'Raw Balance Sheet'!F36</f>
        <v>0.1918354922717895</v>
      </c>
    </row>
    <row r="52" spans="2:12" ht="15.6" x14ac:dyDescent="0.3">
      <c r="B52" s="401" t="str">
        <f>'Raw Balance Sheet'!A20</f>
        <v>Plant Machinery</v>
      </c>
      <c r="C52" s="410" t="s">
        <v>60</v>
      </c>
      <c r="D52" s="410" t="s">
        <v>60</v>
      </c>
      <c r="E52" s="410" t="s">
        <v>60</v>
      </c>
      <c r="F52" s="410" t="s">
        <v>60</v>
      </c>
      <c r="G52" s="410" t="s">
        <v>60</v>
      </c>
      <c r="H52" s="411">
        <f>'Raw Balance Sheet'!B20/'Raw Balance Sheet'!B36</f>
        <v>0.37290762554246742</v>
      </c>
      <c r="I52" s="411">
        <f>'Raw Balance Sheet'!C20/'Raw Balance Sheet'!C36</f>
        <v>0.39956634865568086</v>
      </c>
      <c r="J52" s="411">
        <f>'Raw Balance Sheet'!D20/'Raw Balance Sheet'!D36</f>
        <v>0.41466617423776109</v>
      </c>
      <c r="K52" s="411">
        <f>'Raw Balance Sheet'!E20/'Raw Balance Sheet'!E36</f>
        <v>0.45454206860590712</v>
      </c>
      <c r="L52" s="412">
        <f>'Raw Balance Sheet'!F20/'Raw Balance Sheet'!F36</f>
        <v>0.47603747421111375</v>
      </c>
    </row>
    <row r="53" spans="2:12" ht="15.6" x14ac:dyDescent="0.3">
      <c r="B53" s="401" t="str">
        <f>'Raw Balance Sheet'!A21</f>
        <v>Equipments</v>
      </c>
      <c r="C53" s="410" t="s">
        <v>60</v>
      </c>
      <c r="D53" s="410" t="s">
        <v>60</v>
      </c>
      <c r="E53" s="410" t="s">
        <v>60</v>
      </c>
      <c r="F53" s="410" t="s">
        <v>60</v>
      </c>
      <c r="G53" s="410" t="s">
        <v>60</v>
      </c>
      <c r="H53" s="411">
        <f>'Raw Balance Sheet'!B21/'Raw Balance Sheet'!B36</f>
        <v>3.3079443804800282E-2</v>
      </c>
      <c r="I53" s="411">
        <f>'Raw Balance Sheet'!C21/'Raw Balance Sheet'!C36</f>
        <v>3.7684301821335649E-2</v>
      </c>
      <c r="J53" s="411">
        <f>'Raw Balance Sheet'!D21/'Raw Balance Sheet'!D36</f>
        <v>3.9927777093848739E-2</v>
      </c>
      <c r="K53" s="411">
        <f>'Raw Balance Sheet'!E21/'Raw Balance Sheet'!E36</f>
        <v>4.3241833960296475E-2</v>
      </c>
      <c r="L53" s="412">
        <f>'Raw Balance Sheet'!F21/'Raw Balance Sheet'!F36</f>
        <v>4.393411573713938E-2</v>
      </c>
    </row>
    <row r="54" spans="2:12" ht="15.6" x14ac:dyDescent="0.3">
      <c r="B54" s="401" t="str">
        <f>'Raw Balance Sheet'!A22</f>
        <v>Computers</v>
      </c>
      <c r="C54" s="410" t="s">
        <v>60</v>
      </c>
      <c r="D54" s="410" t="s">
        <v>60</v>
      </c>
      <c r="E54" s="410" t="s">
        <v>60</v>
      </c>
      <c r="F54" s="410" t="s">
        <v>60</v>
      </c>
      <c r="G54" s="410" t="s">
        <v>60</v>
      </c>
      <c r="H54" s="411">
        <f>'Raw Balance Sheet'!B22/'Raw Balance Sheet'!B36</f>
        <v>2.3912850943229123E-3</v>
      </c>
      <c r="I54" s="411">
        <f>'Raw Balance Sheet'!C22/'Raw Balance Sheet'!C36</f>
        <v>2.4718126626192541E-3</v>
      </c>
      <c r="J54" s="411">
        <f>'Raw Balance Sheet'!D22/'Raw Balance Sheet'!D36</f>
        <v>2.7493947228035619E-3</v>
      </c>
      <c r="K54" s="411">
        <f>'Raw Balance Sheet'!E22/'Raw Balance Sheet'!E36</f>
        <v>2.9796268017430816E-3</v>
      </c>
      <c r="L54" s="412">
        <f>'Raw Balance Sheet'!F22/'Raw Balance Sheet'!F36</f>
        <v>3.0777556059119965E-3</v>
      </c>
    </row>
    <row r="55" spans="2:12" ht="15.6" x14ac:dyDescent="0.3">
      <c r="B55" s="401" t="str">
        <f>'Raw Balance Sheet'!A23</f>
        <v>Furniture n fittings</v>
      </c>
      <c r="C55" s="410" t="s">
        <v>60</v>
      </c>
      <c r="D55" s="410" t="s">
        <v>60</v>
      </c>
      <c r="E55" s="410" t="s">
        <v>60</v>
      </c>
      <c r="F55" s="410" t="s">
        <v>60</v>
      </c>
      <c r="G55" s="410" t="s">
        <v>60</v>
      </c>
      <c r="H55" s="411">
        <f>'Raw Balance Sheet'!B23/'Raw Balance Sheet'!B36</f>
        <v>1.5056239482773891E-3</v>
      </c>
      <c r="I55" s="411">
        <f>'Raw Balance Sheet'!C23/'Raw Balance Sheet'!C36</f>
        <v>1.6045099739809194E-3</v>
      </c>
      <c r="J55" s="411">
        <f>'Raw Balance Sheet'!D23/'Raw Balance Sheet'!D36</f>
        <v>1.6003939431244614E-3</v>
      </c>
      <c r="K55" s="411">
        <f>'Raw Balance Sheet'!E23/'Raw Balance Sheet'!E36</f>
        <v>1.5643040709151178E-3</v>
      </c>
      <c r="L55" s="412">
        <f>'Raw Balance Sheet'!F23/'Raw Balance Sheet'!F36</f>
        <v>1.6572530185679981E-3</v>
      </c>
    </row>
    <row r="56" spans="2:12" ht="15.6" x14ac:dyDescent="0.3">
      <c r="B56" s="401" t="str">
        <f>'Raw Balance Sheet'!A24</f>
        <v>Vehicles</v>
      </c>
      <c r="C56" s="410" t="s">
        <v>60</v>
      </c>
      <c r="D56" s="410" t="s">
        <v>60</v>
      </c>
      <c r="E56" s="410" t="s">
        <v>60</v>
      </c>
      <c r="F56" s="410" t="s">
        <v>60</v>
      </c>
      <c r="G56" s="410" t="s">
        <v>60</v>
      </c>
      <c r="H56" s="411">
        <f>'Raw Balance Sheet'!B24/'Raw Balance Sheet'!B36</f>
        <v>7.2181383402710126E-3</v>
      </c>
      <c r="I56" s="411">
        <f>'Raw Balance Sheet'!C24/'Raw Balance Sheet'!C36</f>
        <v>7.8057241977450131E-3</v>
      </c>
      <c r="J56" s="411">
        <f>'Raw Balance Sheet'!D24/'Raw Balance Sheet'!D36</f>
        <v>8.7816488161188387E-3</v>
      </c>
      <c r="K56" s="411">
        <f>'Raw Balance Sheet'!E24/'Raw Balance Sheet'!E36</f>
        <v>8.6036723900331478E-3</v>
      </c>
      <c r="L56" s="412">
        <f>'Raw Balance Sheet'!F24/'Raw Balance Sheet'!F36</f>
        <v>8.1509791321405616E-3</v>
      </c>
    </row>
    <row r="57" spans="2:12" ht="15.6" x14ac:dyDescent="0.3">
      <c r="B57" s="401" t="str">
        <f>'Raw Balance Sheet'!A25</f>
        <v>Other fixed assets</v>
      </c>
      <c r="C57" s="410" t="s">
        <v>60</v>
      </c>
      <c r="D57" s="410" t="s">
        <v>60</v>
      </c>
      <c r="E57" s="410" t="s">
        <v>60</v>
      </c>
      <c r="F57" s="410" t="s">
        <v>60</v>
      </c>
      <c r="G57" s="410" t="s">
        <v>60</v>
      </c>
      <c r="H57" s="411">
        <f>'Raw Balance Sheet'!B25/'Raw Balance Sheet'!B36</f>
        <v>2.2451510052254008E-2</v>
      </c>
      <c r="I57" s="411">
        <f>'Raw Balance Sheet'!C25/'Raw Balance Sheet'!C36</f>
        <v>2.3764093668690374E-2</v>
      </c>
      <c r="J57" s="411">
        <f>'Raw Balance Sheet'!D25/'Raw Balance Sheet'!D36</f>
        <v>2.4539373794575076E-2</v>
      </c>
      <c r="K57" s="411">
        <f>'Raw Balance Sheet'!E25/'Raw Balance Sheet'!E36</f>
        <v>2.592275317516481E-2</v>
      </c>
      <c r="L57" s="412">
        <f>'Raw Balance Sheet'!F25/'Raw Balance Sheet'!F36</f>
        <v>2.6482226806913114E-2</v>
      </c>
    </row>
    <row r="58" spans="2:12" ht="15.6" x14ac:dyDescent="0.3">
      <c r="B58" s="401" t="str">
        <f>'Raw Balance Sheet'!A28</f>
        <v>CWIP</v>
      </c>
      <c r="C58" s="410" t="s">
        <v>60</v>
      </c>
      <c r="D58" s="410" t="s">
        <v>60</v>
      </c>
      <c r="E58" s="410" t="s">
        <v>60</v>
      </c>
      <c r="F58" s="410" t="s">
        <v>60</v>
      </c>
      <c r="G58" s="410" t="s">
        <v>60</v>
      </c>
      <c r="H58" s="411">
        <f>'Raw Balance Sheet'!B28/'Raw Balance Sheet'!B36</f>
        <v>4.4371623416880702E-2</v>
      </c>
      <c r="I58" s="411">
        <f>'Raw Balance Sheet'!C28/'Raw Balance Sheet'!C36</f>
        <v>5.346921075455334E-2</v>
      </c>
      <c r="J58" s="411">
        <f>'Raw Balance Sheet'!D28/'Raw Balance Sheet'!D36</f>
        <v>0.12499487053223357</v>
      </c>
      <c r="K58" s="411">
        <f>'Raw Balance Sheet'!E28/'Raw Balance Sheet'!E36</f>
        <v>8.8830124026965621E-2</v>
      </c>
      <c r="L58" s="412">
        <f>'Raw Balance Sheet'!F28/'Raw Balance Sheet'!F36</f>
        <v>3.9537322014407954E-2</v>
      </c>
    </row>
    <row r="59" spans="2:12" ht="15.6" x14ac:dyDescent="0.3">
      <c r="B59" s="401" t="str">
        <f>'Raw Balance Sheet'!A29</f>
        <v>Investments</v>
      </c>
      <c r="C59" s="410" t="s">
        <v>60</v>
      </c>
      <c r="D59" s="410" t="s">
        <v>60</v>
      </c>
      <c r="E59" s="410" t="s">
        <v>60</v>
      </c>
      <c r="F59" s="410" t="s">
        <v>60</v>
      </c>
      <c r="G59" s="410" t="s">
        <v>60</v>
      </c>
      <c r="H59" s="411">
        <f>'Raw Balance Sheet'!B29/'Raw Balance Sheet'!B36</f>
        <v>0.26011867859357007</v>
      </c>
      <c r="I59" s="411">
        <f>'Raw Balance Sheet'!C29/'Raw Balance Sheet'!C36</f>
        <v>0.1585429314830876</v>
      </c>
      <c r="J59" s="411">
        <f>'Raw Balance Sheet'!D29/'Raw Balance Sheet'!D36</f>
        <v>0.12659526447535804</v>
      </c>
      <c r="K59" s="411">
        <f>'Raw Balance Sheet'!E29/'Raw Balance Sheet'!E36</f>
        <v>0.12600096837871055</v>
      </c>
      <c r="L59" s="412">
        <f>'Raw Balance Sheet'!F29/'Raw Balance Sheet'!F36</f>
        <v>0.1538201373152501</v>
      </c>
    </row>
    <row r="60" spans="2:12" ht="15.6" x14ac:dyDescent="0.3">
      <c r="B60" s="401"/>
      <c r="C60" s="410"/>
      <c r="D60" s="410"/>
      <c r="E60" s="410"/>
      <c r="F60" s="410"/>
      <c r="G60" s="410"/>
      <c r="H60" s="411"/>
      <c r="I60" s="411"/>
      <c r="J60" s="411"/>
      <c r="K60" s="411"/>
      <c r="L60" s="412"/>
    </row>
    <row r="61" spans="2:12" ht="15.6" x14ac:dyDescent="0.3">
      <c r="B61" s="401" t="s">
        <v>339</v>
      </c>
      <c r="C61" s="410">
        <f>SUM(C50:C59)</f>
        <v>0</v>
      </c>
      <c r="D61" s="410"/>
      <c r="E61" s="410"/>
      <c r="F61" s="410"/>
      <c r="G61" s="410"/>
      <c r="H61" s="411">
        <f>'Raw Balance Sheet'!B17/'Raw Balance Sheet'!B36</f>
        <v>0.41807634399078913</v>
      </c>
      <c r="I61" s="411">
        <f>'Raw Balance Sheet'!C17/'Raw Balance Sheet'!C36</f>
        <v>0.41292281006071119</v>
      </c>
      <c r="J61" s="411">
        <f>'Raw Balance Sheet'!D17/'Raw Balance Sheet'!D36</f>
        <v>0.41519963888546924</v>
      </c>
      <c r="K61" s="411">
        <f>'Raw Balance Sheet'!E17/'Raw Balance Sheet'!E36</f>
        <v>0.44865730567246453</v>
      </c>
      <c r="L61" s="412">
        <f>'Raw Balance Sheet'!F17/'Raw Balance Sheet'!F36</f>
        <v>0.4471539216017858</v>
      </c>
    </row>
    <row r="62" spans="2:12" ht="15.6" x14ac:dyDescent="0.3">
      <c r="B62" s="401"/>
      <c r="C62" s="410"/>
      <c r="D62" s="410"/>
      <c r="E62" s="410"/>
      <c r="F62" s="410"/>
      <c r="G62" s="410"/>
      <c r="H62" s="411"/>
      <c r="I62" s="411"/>
      <c r="J62" s="411"/>
      <c r="K62" s="411"/>
      <c r="L62" s="412"/>
    </row>
    <row r="63" spans="2:12" ht="15.6" x14ac:dyDescent="0.3">
      <c r="B63" s="401" t="str">
        <f>'Raw Balance Sheet'!A31</f>
        <v>Inventories</v>
      </c>
      <c r="C63" s="410" t="s">
        <v>60</v>
      </c>
      <c r="D63" s="410" t="s">
        <v>60</v>
      </c>
      <c r="E63" s="410" t="s">
        <v>60</v>
      </c>
      <c r="F63" s="410" t="s">
        <v>60</v>
      </c>
      <c r="G63" s="410" t="s">
        <v>60</v>
      </c>
      <c r="H63" s="411">
        <f>'Raw Balance Sheet'!B31/'Raw Balance Sheet'!B36</f>
        <v>0.1301479054113896</v>
      </c>
      <c r="I63" s="411">
        <f>'Raw Balance Sheet'!C31/'Raw Balance Sheet'!C36</f>
        <v>0.17909800520381614</v>
      </c>
      <c r="J63" s="411">
        <f>'Raw Balance Sheet'!D31/'Raw Balance Sheet'!D36</f>
        <v>0.16992900816611267</v>
      </c>
      <c r="K63" s="411">
        <f>'Raw Balance Sheet'!E31/'Raw Balance Sheet'!E36</f>
        <v>0.16644940221237289</v>
      </c>
      <c r="L63" s="412">
        <f>'Raw Balance Sheet'!F31/'Raw Balance Sheet'!F36</f>
        <v>0.19024588223357122</v>
      </c>
    </row>
    <row r="64" spans="2:12" ht="15.6" x14ac:dyDescent="0.3">
      <c r="B64" s="401" t="str">
        <f>'Raw Balance Sheet'!A32</f>
        <v>Trade receivables</v>
      </c>
      <c r="C64" s="410" t="s">
        <v>60</v>
      </c>
      <c r="D64" s="410" t="s">
        <v>60</v>
      </c>
      <c r="E64" s="410" t="s">
        <v>60</v>
      </c>
      <c r="F64" s="410" t="s">
        <v>60</v>
      </c>
      <c r="G64" s="410" t="s">
        <v>60</v>
      </c>
      <c r="H64" s="411">
        <f>'Raw Balance Sheet'!B32/'Raw Balance Sheet'!B36</f>
        <v>9.5031440970684611E-2</v>
      </c>
      <c r="I64" s="411">
        <f>'Raw Balance Sheet'!C32/'Raw Balance Sheet'!C36</f>
        <v>0.10117085862966176</v>
      </c>
      <c r="J64" s="411">
        <f>'Raw Balance Sheet'!D32/'Raw Balance Sheet'!D36</f>
        <v>0.10271246255488531</v>
      </c>
      <c r="K64" s="411">
        <f>'Raw Balance Sheet'!E32/'Raw Balance Sheet'!E36</f>
        <v>0.10845841558344817</v>
      </c>
      <c r="L64" s="412">
        <f>'Raw Balance Sheet'!F32/'Raw Balance Sheet'!F36</f>
        <v>0.11397842188926845</v>
      </c>
    </row>
    <row r="65" spans="2:12" ht="15.6" x14ac:dyDescent="0.3">
      <c r="B65" s="401" t="str">
        <f>'Raw Balance Sheet'!A33</f>
        <v>Cash Equivalents</v>
      </c>
      <c r="C65" s="410" t="s">
        <v>60</v>
      </c>
      <c r="D65" s="410" t="s">
        <v>60</v>
      </c>
      <c r="E65" s="410" t="s">
        <v>60</v>
      </c>
      <c r="F65" s="410" t="s">
        <v>60</v>
      </c>
      <c r="G65" s="410" t="s">
        <v>60</v>
      </c>
      <c r="H65" s="411">
        <f>'Raw Balance Sheet'!B33/'Raw Balance Sheet'!B36</f>
        <v>7.4838366840846689E-3</v>
      </c>
      <c r="I65" s="411">
        <f>'Raw Balance Sheet'!C33/'Raw Balance Sheet'!C36</f>
        <v>1.1101474414570685E-2</v>
      </c>
      <c r="J65" s="411">
        <f>'Raw Balance Sheet'!D33/'Raw Balance Sheet'!D36</f>
        <v>1.0587221469900283E-2</v>
      </c>
      <c r="K65" s="411">
        <f>'Raw Balance Sheet'!E33/'Raw Balance Sheet'!E36</f>
        <v>1.2849640582517041E-2</v>
      </c>
      <c r="L65" s="412">
        <f>'Raw Balance Sheet'!F33/'Raw Balance Sheet'!F36</f>
        <v>1.2716880305746272E-2</v>
      </c>
    </row>
    <row r="66" spans="2:12" ht="15.6" x14ac:dyDescent="0.3">
      <c r="B66" s="401" t="str">
        <f>'Raw Balance Sheet'!A34</f>
        <v>Loans n Advances</v>
      </c>
      <c r="C66" s="410" t="s">
        <v>60</v>
      </c>
      <c r="D66" s="410" t="s">
        <v>60</v>
      </c>
      <c r="E66" s="410" t="s">
        <v>60</v>
      </c>
      <c r="F66" s="410" t="s">
        <v>60</v>
      </c>
      <c r="G66" s="410" t="s">
        <v>60</v>
      </c>
      <c r="H66" s="411">
        <f>'Raw Balance Sheet'!B34/'Raw Balance Sheet'!B36</f>
        <v>3.0998140111593306E-3</v>
      </c>
      <c r="I66" s="411">
        <f>'Raw Balance Sheet'!C34/'Raw Balance Sheet'!C36</f>
        <v>3.2523850823937554E-3</v>
      </c>
      <c r="J66" s="411">
        <f>'Raw Balance Sheet'!D34/'Raw Balance Sheet'!D36</f>
        <v>3.2828593705117159E-3</v>
      </c>
      <c r="K66" s="411">
        <f>'Raw Balance Sheet'!E34/'Raw Balance Sheet'!E36</f>
        <v>3.6500428321352752E-3</v>
      </c>
      <c r="L66" s="412">
        <f>'Raw Balance Sheet'!F34/'Raw Balance Sheet'!F36</f>
        <v>3.7541854094091387E-3</v>
      </c>
    </row>
    <row r="67" spans="2:12" ht="15.6" x14ac:dyDescent="0.3">
      <c r="B67" s="401" t="str">
        <f>'Raw Balance Sheet'!A35</f>
        <v>Other asset items</v>
      </c>
      <c r="C67" s="410" t="s">
        <v>60</v>
      </c>
      <c r="D67" s="410" t="s">
        <v>60</v>
      </c>
      <c r="E67" s="410" t="s">
        <v>60</v>
      </c>
      <c r="F67" s="410" t="s">
        <v>60</v>
      </c>
      <c r="G67" s="410" t="s">
        <v>60</v>
      </c>
      <c r="H67" s="411">
        <f>'Raw Balance Sheet'!B35/'Raw Balance Sheet'!B36</f>
        <v>4.1626073864139579E-2</v>
      </c>
      <c r="I67" s="411">
        <f>'Raw Balance Sheet'!C35/'Raw Balance Sheet'!C36</f>
        <v>8.0442324371205548E-2</v>
      </c>
      <c r="J67" s="411">
        <f>'Raw Balance Sheet'!D35/'Raw Balance Sheet'!D36</f>
        <v>4.6698674545529159E-2</v>
      </c>
      <c r="K67" s="411">
        <f>'Raw Balance Sheet'!E35/'Raw Balance Sheet'!E36</f>
        <v>4.5141346046407689E-2</v>
      </c>
      <c r="L67" s="412">
        <f>'Raw Balance Sheet'!F35/'Raw Balance Sheet'!F36</f>
        <v>3.8759427740386244E-2</v>
      </c>
    </row>
    <row r="68" spans="2:12" ht="15.6" x14ac:dyDescent="0.3">
      <c r="B68" s="401"/>
      <c r="C68" s="410"/>
      <c r="D68" s="410"/>
      <c r="E68" s="410"/>
      <c r="F68" s="410"/>
      <c r="G68" s="410"/>
      <c r="H68" s="411"/>
      <c r="I68" s="411"/>
      <c r="J68" s="411"/>
      <c r="K68" s="411"/>
      <c r="L68" s="412"/>
    </row>
    <row r="69" spans="2:12" ht="15.6" x14ac:dyDescent="0.3">
      <c r="B69" s="401" t="s">
        <v>86</v>
      </c>
      <c r="C69" s="410">
        <f>SUM(C63:C67)</f>
        <v>0</v>
      </c>
      <c r="D69" s="410"/>
      <c r="E69" s="410"/>
      <c r="F69" s="410"/>
      <c r="G69" s="410"/>
      <c r="H69" s="411">
        <f>'Raw Balance Sheet'!B30/'Raw Balance Sheet'!B36</f>
        <v>0.27743335399876007</v>
      </c>
      <c r="I69" s="411">
        <f>'Raw Balance Sheet'!C30/'Raw Balance Sheet'!C36</f>
        <v>0.37502168256721596</v>
      </c>
      <c r="J69" s="411">
        <f>'Raw Balance Sheet'!D30/'Raw Balance Sheet'!D36</f>
        <v>0.33321022610693912</v>
      </c>
      <c r="K69" s="411">
        <f>'Raw Balance Sheet'!E30/'Raw Balance Sheet'!E36</f>
        <v>0.33654884725688106</v>
      </c>
      <c r="L69" s="412">
        <f>'Raw Balance Sheet'!F30/'Raw Balance Sheet'!F36</f>
        <v>0.35948861906855617</v>
      </c>
    </row>
    <row r="70" spans="2:12" ht="15.6" x14ac:dyDescent="0.3">
      <c r="B70" s="401"/>
      <c r="C70" s="410"/>
      <c r="D70" s="410"/>
      <c r="E70" s="410"/>
      <c r="F70" s="410"/>
      <c r="G70" s="410"/>
      <c r="H70" s="411"/>
      <c r="I70" s="411"/>
      <c r="J70" s="411"/>
      <c r="K70" s="411"/>
      <c r="L70" s="412"/>
    </row>
    <row r="71" spans="2:12" ht="16.2" thickBot="1" x14ac:dyDescent="0.35">
      <c r="B71" s="406" t="str">
        <f>'Raw Balance Sheet'!A36</f>
        <v>Total Assets</v>
      </c>
      <c r="C71" s="413">
        <f>SUM(C61,C69)</f>
        <v>0</v>
      </c>
      <c r="D71" s="414">
        <v>1</v>
      </c>
      <c r="E71" s="414">
        <v>1</v>
      </c>
      <c r="F71" s="414">
        <v>1</v>
      </c>
      <c r="G71" s="414">
        <v>1</v>
      </c>
      <c r="H71" s="415">
        <f>'Raw Balance Sheet'!B36/'Raw Balance Sheet'!B36</f>
        <v>1</v>
      </c>
      <c r="I71" s="415">
        <f>'Raw Balance Sheet'!C36/'Raw Balance Sheet'!C36</f>
        <v>1</v>
      </c>
      <c r="J71" s="415">
        <f>'Raw Balance Sheet'!D36/'Raw Balance Sheet'!D36</f>
        <v>1</v>
      </c>
      <c r="K71" s="415">
        <f>'Raw Balance Sheet'!E36/'Raw Balance Sheet'!E36</f>
        <v>1</v>
      </c>
      <c r="L71" s="416">
        <f>'Raw Balance Sheet'!F36/'Raw Balance Sheet'!F36</f>
        <v>1</v>
      </c>
    </row>
    <row r="72" spans="2:12" ht="15" thickTop="1" x14ac:dyDescent="0.3">
      <c r="B72" s="389"/>
    </row>
    <row r="73" spans="2:12" x14ac:dyDescent="0.3">
      <c r="B73" s="417"/>
      <c r="C73" s="100"/>
      <c r="D73" s="100"/>
      <c r="E73" s="100"/>
      <c r="F73" s="100"/>
      <c r="G73" s="100"/>
      <c r="H73" s="100"/>
      <c r="I73" s="100"/>
      <c r="J73" s="100"/>
      <c r="K73" s="100"/>
      <c r="L73" s="100"/>
    </row>
    <row r="74" spans="2:12" x14ac:dyDescent="0.3">
      <c r="B74" s="389"/>
    </row>
    <row r="75" spans="2:12" x14ac:dyDescent="0.3">
      <c r="B75" s="389"/>
    </row>
  </sheetData>
  <mergeCells count="1">
    <mergeCell ref="B2:K4"/>
  </mergeCells>
  <pageMargins left="1.5748031496062993" right="0.98425196850393704" top="0.98425196850393704" bottom="0.98425196850393704" header="0.51181102362204722" footer="0.51181102362204722"/>
  <pageSetup scale="56"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88"/>
  <sheetViews>
    <sheetView showGridLines="0" topLeftCell="A54" zoomScale="102" zoomScaleNormal="102" workbookViewId="0">
      <selection activeCell="C1" sqref="C1"/>
    </sheetView>
  </sheetViews>
  <sheetFormatPr defaultRowHeight="14.4" x14ac:dyDescent="0.3"/>
  <cols>
    <col min="1" max="1" width="1.88671875" customWidth="1"/>
    <col min="2" max="2" width="25.21875" bestFit="1" customWidth="1"/>
    <col min="3" max="3" width="11.77734375" customWidth="1"/>
    <col min="4" max="8" width="10.77734375" customWidth="1"/>
    <col min="9" max="11" width="11.77734375" customWidth="1"/>
    <col min="12" max="13" width="10.77734375" customWidth="1"/>
  </cols>
  <sheetData>
    <row r="1" spans="2:15" x14ac:dyDescent="0.3">
      <c r="B1" s="441"/>
      <c r="C1" s="441"/>
      <c r="D1" s="441"/>
      <c r="E1" s="441"/>
      <c r="F1" s="441"/>
      <c r="G1" s="441"/>
      <c r="H1" s="441"/>
      <c r="I1" s="441"/>
      <c r="J1" s="441"/>
      <c r="K1" s="441"/>
      <c r="L1" s="100"/>
      <c r="M1" s="100"/>
      <c r="N1" s="101"/>
    </row>
    <row r="2" spans="2:15" x14ac:dyDescent="0.3">
      <c r="B2" s="509" t="s">
        <v>423</v>
      </c>
      <c r="C2" s="510"/>
      <c r="D2" s="510"/>
      <c r="E2" s="510"/>
      <c r="F2" s="510"/>
      <c r="G2" s="510"/>
      <c r="H2" s="510"/>
      <c r="I2" s="510"/>
      <c r="J2" s="510"/>
      <c r="K2" s="510"/>
    </row>
    <row r="3" spans="2:15" x14ac:dyDescent="0.3">
      <c r="B3" s="510"/>
      <c r="C3" s="510"/>
      <c r="D3" s="510"/>
      <c r="E3" s="510"/>
      <c r="F3" s="510"/>
      <c r="G3" s="510"/>
      <c r="H3" s="510"/>
      <c r="I3" s="510"/>
      <c r="J3" s="510"/>
      <c r="K3" s="510"/>
    </row>
    <row r="4" spans="2:15" x14ac:dyDescent="0.3">
      <c r="B4" s="510"/>
      <c r="C4" s="510"/>
      <c r="D4" s="510"/>
      <c r="E4" s="510"/>
      <c r="F4" s="510"/>
      <c r="G4" s="510"/>
      <c r="H4" s="510"/>
      <c r="I4" s="510"/>
      <c r="J4" s="510"/>
      <c r="K4" s="510"/>
    </row>
    <row r="5" spans="2:15" x14ac:dyDescent="0.3">
      <c r="B5" s="443"/>
      <c r="C5" s="444"/>
      <c r="D5" s="444"/>
      <c r="E5" s="444"/>
      <c r="F5" s="444"/>
      <c r="G5" s="444"/>
      <c r="H5" s="444"/>
      <c r="I5" s="444"/>
      <c r="J5" s="445">
        <v>4.5</v>
      </c>
      <c r="K5" s="443"/>
    </row>
    <row r="6" spans="2:15" x14ac:dyDescent="0.3">
      <c r="B6" s="441"/>
      <c r="C6" s="441"/>
      <c r="D6" s="441"/>
      <c r="E6" s="441"/>
      <c r="F6" s="446"/>
      <c r="G6" s="446"/>
      <c r="H6" s="446"/>
      <c r="I6" s="446"/>
      <c r="J6" s="446"/>
      <c r="K6" s="441"/>
      <c r="L6" s="100"/>
      <c r="M6" s="100"/>
      <c r="N6" s="101"/>
    </row>
    <row r="7" spans="2:15" ht="6" customHeight="1" x14ac:dyDescent="0.3"/>
    <row r="8" spans="2:15" s="484" customFormat="1" x14ac:dyDescent="0.3">
      <c r="B8" s="507" t="s">
        <v>424</v>
      </c>
      <c r="C8" s="511"/>
      <c r="D8" s="511"/>
      <c r="E8" s="511"/>
      <c r="F8" s="511"/>
      <c r="G8" s="511"/>
      <c r="H8" s="511"/>
      <c r="I8" s="511"/>
      <c r="J8" s="511"/>
      <c r="K8" s="511"/>
      <c r="L8" s="511"/>
      <c r="M8" s="511"/>
    </row>
    <row r="9" spans="2:15" x14ac:dyDescent="0.3">
      <c r="B9" s="100"/>
      <c r="C9" s="100"/>
      <c r="D9" s="486">
        <f>'Historical FS'!H7</f>
        <v>44286</v>
      </c>
      <c r="E9" s="486">
        <f>'Historical FS'!I7</f>
        <v>44651</v>
      </c>
      <c r="F9" s="486">
        <f>'Historical FS'!J7</f>
        <v>45016</v>
      </c>
      <c r="G9" s="486">
        <f>'Historical FS'!K7</f>
        <v>45382</v>
      </c>
      <c r="H9" s="486">
        <f>'Historical FS'!L7</f>
        <v>45747</v>
      </c>
      <c r="I9" s="515" t="s">
        <v>419</v>
      </c>
      <c r="J9" s="515"/>
      <c r="K9" s="515"/>
      <c r="L9" s="452" t="s">
        <v>417</v>
      </c>
      <c r="M9" s="452" t="s">
        <v>130</v>
      </c>
      <c r="N9" s="495"/>
      <c r="O9" s="13"/>
    </row>
    <row r="10" spans="2:15" ht="6" customHeight="1" thickBot="1" x14ac:dyDescent="0.35">
      <c r="I10" s="514"/>
      <c r="J10" s="514"/>
      <c r="K10" s="514"/>
      <c r="L10" s="129"/>
      <c r="M10" s="129"/>
      <c r="N10" s="101"/>
    </row>
    <row r="11" spans="2:15" ht="15" thickTop="1" x14ac:dyDescent="0.3">
      <c r="B11" s="505" t="s">
        <v>418</v>
      </c>
      <c r="C11" s="488"/>
      <c r="D11" s="490">
        <f>'Historical FS'!H66/'Historical FS'!H54</f>
        <v>0.77495442450987917</v>
      </c>
      <c r="E11" s="490">
        <f>'Historical FS'!I66/'Historical FS'!I54</f>
        <v>1.1585503807526765</v>
      </c>
      <c r="F11" s="490">
        <f>'Historical FS'!J66/'Historical FS'!J54</f>
        <v>1.0383069550280228</v>
      </c>
      <c r="G11" s="490">
        <f>'Historical FS'!K66/'Historical FS'!K54</f>
        <v>1.0547417453248764</v>
      </c>
      <c r="H11" s="490">
        <f>'Historical FS'!L66/'Historical FS'!L54</f>
        <v>1.2824750902171367</v>
      </c>
      <c r="I11" s="508"/>
      <c r="J11" s="508"/>
      <c r="K11" s="508"/>
      <c r="L11" s="494">
        <f>AVERAGE(D11:H11)</f>
        <v>1.0618057191665184</v>
      </c>
      <c r="M11" s="494">
        <f>MEDIAN(D11:H11)</f>
        <v>1.0547417453248764</v>
      </c>
      <c r="N11" s="485"/>
    </row>
    <row r="12" spans="2:15" x14ac:dyDescent="0.3">
      <c r="B12" s="503" t="s">
        <v>420</v>
      </c>
      <c r="C12" s="489"/>
      <c r="D12" s="491">
        <f>('Historical FS'!H66-'Historical FS'!H64)/'Historical FS'!H54</f>
        <v>0.34149906489123844</v>
      </c>
      <c r="E12" s="491">
        <f>('Historical FS'!I66-'Historical FS'!I64)/'Historical FS'!I54</f>
        <v>0.4464204420041939</v>
      </c>
      <c r="F12" s="491">
        <f>('Historical FS'!J66-'Historical FS'!J64)/'Historical FS'!J54</f>
        <v>0.41541844786662124</v>
      </c>
      <c r="G12" s="491">
        <f>('Historical FS'!K66-'Historical FS'!K64)/'Historical FS'!K54</f>
        <v>0.44469169713335538</v>
      </c>
      <c r="H12" s="491">
        <f>('Historical FS'!L66-'Historical FS'!L64)/'Historical FS'!L54</f>
        <v>0.51273440375949197</v>
      </c>
      <c r="I12" s="508"/>
      <c r="J12" s="508"/>
      <c r="K12" s="508"/>
      <c r="L12" s="494">
        <f t="shared" ref="L12:L14" si="0">AVERAGE(D12:H12)</f>
        <v>0.4321528111309802</v>
      </c>
      <c r="M12" s="494">
        <f t="shared" ref="M12:M14" si="1">MEDIAN(D12:H12)</f>
        <v>0.44469169713335538</v>
      </c>
      <c r="N12" s="482"/>
    </row>
    <row r="13" spans="2:15" x14ac:dyDescent="0.3">
      <c r="B13" s="503" t="s">
        <v>421</v>
      </c>
      <c r="C13" s="489"/>
      <c r="D13" s="491">
        <f>'Historical FS'!H65/'Historical FS'!H54</f>
        <v>2.4983923208986483E-2</v>
      </c>
      <c r="E13" s="491">
        <f>'Historical FS'!I65/'Historical FS'!I54</f>
        <v>4.4167655336055621E-2</v>
      </c>
      <c r="F13" s="491">
        <f>'Historical FS'!J65/'Historical FS'!J54</f>
        <v>3.8881551832542632E-2</v>
      </c>
      <c r="G13" s="491">
        <f>'Historical FS'!K65/'Historical FS'!K54</f>
        <v>4.7151239464077524E-2</v>
      </c>
      <c r="H13" s="491">
        <f>'Historical FS'!L65/'Historical FS'!L54</f>
        <v>5.1521956599980573E-2</v>
      </c>
      <c r="I13" s="508"/>
      <c r="J13" s="508"/>
      <c r="K13" s="508"/>
      <c r="L13" s="494">
        <f t="shared" si="0"/>
        <v>4.1341265288328564E-2</v>
      </c>
      <c r="M13" s="494">
        <f t="shared" si="1"/>
        <v>4.4167655336055621E-2</v>
      </c>
      <c r="N13" s="482"/>
    </row>
    <row r="14" spans="2:15" x14ac:dyDescent="0.3">
      <c r="B14" s="2" t="s">
        <v>422</v>
      </c>
      <c r="C14" s="487"/>
      <c r="D14" s="492">
        <f>'Historical FS'!H82/'Historical FS'!H54</f>
        <v>0.63761438120578884</v>
      </c>
      <c r="E14" s="492">
        <f>'Historical FS'!I82/'Historical FS'!I54</f>
        <v>-9.9671669793621021E-2</v>
      </c>
      <c r="F14" s="492">
        <f>'Historical FS'!J82/'Historical FS'!J54</f>
        <v>0.41440162210783765</v>
      </c>
      <c r="G14" s="492">
        <f>'Historical FS'!K82/'Historical FS'!K54</f>
        <v>0.45092519529170205</v>
      </c>
      <c r="H14" s="492">
        <f>'Historical FS'!L82/'Historical FS'!L54</f>
        <v>0.25576917550363537</v>
      </c>
      <c r="I14" s="508"/>
      <c r="J14" s="508"/>
      <c r="K14" s="508"/>
      <c r="L14" s="494">
        <f t="shared" si="0"/>
        <v>0.33180774086306858</v>
      </c>
      <c r="M14" s="494">
        <f t="shared" si="1"/>
        <v>0.41440162210783765</v>
      </c>
      <c r="N14" s="482"/>
    </row>
    <row r="15" spans="2:15" ht="6" customHeight="1" thickBot="1" x14ac:dyDescent="0.35">
      <c r="B15" s="514"/>
      <c r="C15" s="514"/>
      <c r="D15" s="514"/>
      <c r="E15" s="129"/>
      <c r="F15" s="129"/>
      <c r="G15" s="129"/>
      <c r="H15" s="129"/>
      <c r="I15" s="514"/>
      <c r="J15" s="514"/>
      <c r="K15" s="514"/>
      <c r="L15" s="129"/>
      <c r="M15" s="129"/>
      <c r="N15" s="496"/>
    </row>
    <row r="16" spans="2:15" ht="5.4" customHeight="1" thickTop="1" x14ac:dyDescent="0.3">
      <c r="B16" s="482"/>
      <c r="C16" s="482"/>
      <c r="D16" s="482"/>
      <c r="E16" s="482"/>
      <c r="F16" s="482"/>
      <c r="G16" s="482"/>
      <c r="H16" s="482"/>
      <c r="I16" s="508"/>
      <c r="J16" s="508"/>
      <c r="K16" s="508"/>
      <c r="L16" s="482"/>
      <c r="M16" s="482"/>
      <c r="N16" s="482"/>
      <c r="O16" s="482"/>
    </row>
    <row r="17" spans="2:15" x14ac:dyDescent="0.3">
      <c r="B17" s="512" t="s">
        <v>425</v>
      </c>
      <c r="C17" s="513"/>
      <c r="D17" s="513"/>
      <c r="E17" s="513"/>
      <c r="F17" s="513"/>
      <c r="G17" s="513"/>
      <c r="H17" s="513"/>
      <c r="I17" s="513"/>
      <c r="J17" s="513"/>
      <c r="K17" s="513"/>
      <c r="L17" s="513"/>
      <c r="M17" s="513"/>
      <c r="N17" s="482"/>
      <c r="O17" s="482"/>
    </row>
    <row r="18" spans="2:15" ht="6" customHeight="1" thickBot="1" x14ac:dyDescent="0.35">
      <c r="B18" s="482"/>
      <c r="C18" s="482"/>
      <c r="D18" s="482"/>
      <c r="E18" s="482"/>
      <c r="F18" s="482"/>
      <c r="G18" s="482"/>
      <c r="H18" s="482"/>
      <c r="I18" s="508"/>
      <c r="J18" s="508"/>
      <c r="K18" s="508"/>
      <c r="L18" s="482"/>
      <c r="M18" s="482"/>
      <c r="N18" s="482"/>
      <c r="O18" s="482"/>
    </row>
    <row r="19" spans="2:15" ht="15" thickTop="1" x14ac:dyDescent="0.3">
      <c r="B19" s="502" t="s">
        <v>426</v>
      </c>
      <c r="C19" s="485"/>
      <c r="D19" s="493">
        <f>'Historical FS'!H53/('Historical FS'!H51+'Historical FS'!H52)</f>
        <v>0.17804448745197995</v>
      </c>
      <c r="E19" s="493">
        <f>'Historical FS'!I53/('Historical FS'!I51+'Historical FS'!I52)</f>
        <v>0.23011741229711188</v>
      </c>
      <c r="F19" s="493">
        <f>'Historical FS'!J53/('Historical FS'!J51+'Historical FS'!J52)</f>
        <v>0.20490071160198156</v>
      </c>
      <c r="G19" s="493">
        <f>'Historical FS'!K53/('Historical FS'!K51+'Historical FS'!K52)</f>
        <v>0.16892185171636934</v>
      </c>
      <c r="H19" s="493">
        <f>'Historical FS'!L53/('Historical FS'!L51+'Historical FS'!L52)</f>
        <v>0.2039737219865797</v>
      </c>
      <c r="I19" s="516"/>
      <c r="J19" s="516"/>
      <c r="K19" s="516"/>
      <c r="L19" s="493">
        <f>AVERAGE(D19:H19)</f>
        <v>0.1971916370108045</v>
      </c>
      <c r="M19" s="493">
        <f>MEDIAN(D19:H19)</f>
        <v>0.2039737219865797</v>
      </c>
      <c r="N19" s="482"/>
      <c r="O19" s="482"/>
    </row>
    <row r="20" spans="2:15" x14ac:dyDescent="0.3">
      <c r="B20" s="503" t="s">
        <v>427</v>
      </c>
      <c r="C20" s="489"/>
      <c r="D20" s="491">
        <f>'Historical FS'!H53/'Historical FS'!H68</f>
        <v>0.10575878160612104</v>
      </c>
      <c r="E20" s="491">
        <f>'Historical FS'!I53/'Historical FS'!I68</f>
        <v>0.14002542960154798</v>
      </c>
      <c r="F20" s="491">
        <f>'Historical FS'!J53/'Historical FS'!J68</f>
        <v>0.12366364224657059</v>
      </c>
      <c r="G20" s="491">
        <f>'Historical FS'!K53/'Historical FS'!K68</f>
        <v>0.10508602975929097</v>
      </c>
      <c r="H20" s="491">
        <f>'Historical FS'!L53/'Historical FS'!L68</f>
        <v>0.12754629402587142</v>
      </c>
      <c r="I20" s="508"/>
      <c r="J20" s="508"/>
      <c r="K20" s="508"/>
      <c r="L20" s="494">
        <f t="shared" ref="L20:L23" si="2">AVERAGE(D20:H20)</f>
        <v>0.1204160354478804</v>
      </c>
      <c r="M20" s="494">
        <f t="shared" ref="M20:M23" si="3">MEDIAN(D20:H20)</f>
        <v>0.12366364224657059</v>
      </c>
      <c r="N20" s="482"/>
      <c r="O20" s="482"/>
    </row>
    <row r="21" spans="2:15" x14ac:dyDescent="0.3">
      <c r="B21" s="483" t="s">
        <v>428</v>
      </c>
      <c r="C21" s="482"/>
      <c r="D21" s="494">
        <f>('Historical FS'!H22-'Historical FS'!H28)/'Historical FS'!H25</f>
        <v>6.4388936230649021</v>
      </c>
      <c r="E21" s="494">
        <f>('Historical FS'!I22-'Historical FS'!I28)/'Historical FS'!I25</f>
        <v>3.2570015220700284</v>
      </c>
      <c r="F21" s="494">
        <f>('Historical FS'!J22-'Historical FS'!J28)/'Historical FS'!J25</f>
        <v>3.5262674222698664</v>
      </c>
      <c r="G21" s="494">
        <f>('Historical FS'!K22-'Historical FS'!K28)/'Historical FS'!K25</f>
        <v>7.8727252582887806</v>
      </c>
      <c r="H21" s="494">
        <f>('Historical FS'!L22-'Historical FS'!L28)/'Historical FS'!L25</f>
        <v>6.6375723957908441</v>
      </c>
      <c r="I21" s="508"/>
      <c r="J21" s="508"/>
      <c r="K21" s="508"/>
      <c r="L21" s="494">
        <f t="shared" si="2"/>
        <v>5.5464920442968841</v>
      </c>
      <c r="M21" s="494">
        <f t="shared" si="3"/>
        <v>6.4388936230649021</v>
      </c>
      <c r="N21" s="482"/>
      <c r="O21" s="482"/>
    </row>
    <row r="22" spans="2:15" x14ac:dyDescent="0.3">
      <c r="B22" s="504" t="s">
        <v>429</v>
      </c>
      <c r="C22" s="482"/>
      <c r="D22" s="494">
        <f>('Historical FS'!H51+'Historical FS'!H52)/'Historical FS'!H68</f>
        <v>0.59400199983526614</v>
      </c>
      <c r="E22" s="494">
        <f>('Historical FS'!I51+'Historical FS'!I52)/'Historical FS'!I68</f>
        <v>0.60849558581319652</v>
      </c>
      <c r="F22" s="494">
        <f>('Historical FS'!J51+'Historical FS'!J52)/'Historical FS'!J68</f>
        <v>0.6035295889395762</v>
      </c>
      <c r="G22" s="494">
        <f>('Historical FS'!K51+'Historical FS'!K52)/'Historical FS'!K68</f>
        <v>0.62209849520082927</v>
      </c>
      <c r="H22" s="494">
        <f>('Historical FS'!L51+'Historical FS'!L52)/'Historical FS'!L68</f>
        <v>0.62530747972654654</v>
      </c>
      <c r="I22" s="508"/>
      <c r="J22" s="508"/>
      <c r="K22" s="508"/>
      <c r="L22" s="494">
        <f t="shared" si="2"/>
        <v>0.61068662990308309</v>
      </c>
      <c r="M22" s="494">
        <f t="shared" si="3"/>
        <v>0.60849558581319652</v>
      </c>
      <c r="N22" s="482"/>
      <c r="O22" s="482"/>
    </row>
    <row r="23" spans="2:15" x14ac:dyDescent="0.3">
      <c r="B23" s="504" t="s">
        <v>430</v>
      </c>
      <c r="C23" s="482"/>
      <c r="D23" s="494">
        <f>'Historical FS'!H53/('Historical FS'!H53+'Historical FS'!H51+'Historical FS'!H52)</f>
        <v>0.15113562293141963</v>
      </c>
      <c r="E23" s="494">
        <f>'Historical FS'!I53/('Historical FS'!I53+'Historical FS'!I51+'Historical FS'!I52)</f>
        <v>0.1870694699519718</v>
      </c>
      <c r="F23" s="494">
        <f>'Historical FS'!J53/('Historical FS'!J53+'Historical FS'!J51+'Historical FS'!J52)</f>
        <v>0.17005609643101199</v>
      </c>
      <c r="G23" s="494">
        <f>'Historical FS'!K53/('Historical FS'!K53+'Historical FS'!K51+'Historical FS'!K52)</f>
        <v>0.14451081692786855</v>
      </c>
      <c r="H23" s="494">
        <f>'Historical FS'!L53/('Historical FS'!L53+'Historical FS'!L51+'Historical FS'!L52)</f>
        <v>0.169417087982634</v>
      </c>
      <c r="I23" s="508"/>
      <c r="J23" s="508"/>
      <c r="K23" s="508"/>
      <c r="L23" s="494">
        <f t="shared" si="2"/>
        <v>0.16443781884498118</v>
      </c>
      <c r="M23" s="494">
        <f t="shared" si="3"/>
        <v>0.169417087982634</v>
      </c>
      <c r="N23" s="482"/>
      <c r="O23" s="482"/>
    </row>
    <row r="24" spans="2:15" ht="6" customHeight="1" thickBot="1" x14ac:dyDescent="0.35">
      <c r="B24" s="129"/>
      <c r="C24" s="129"/>
      <c r="D24" s="129"/>
      <c r="E24" s="129"/>
      <c r="F24" s="129"/>
      <c r="G24" s="129"/>
      <c r="H24" s="129"/>
      <c r="I24" s="129"/>
      <c r="J24" s="129"/>
      <c r="K24" s="129"/>
      <c r="L24" s="129"/>
      <c r="M24" s="129"/>
      <c r="N24" s="482"/>
      <c r="O24" s="482"/>
    </row>
    <row r="25" spans="2:15" ht="5.4" customHeight="1" thickTop="1" x14ac:dyDescent="0.3">
      <c r="B25" s="484"/>
      <c r="C25" s="484"/>
      <c r="D25" s="484"/>
    </row>
    <row r="26" spans="2:15" x14ac:dyDescent="0.3">
      <c r="B26" s="507" t="s">
        <v>431</v>
      </c>
      <c r="C26" s="511"/>
      <c r="D26" s="511"/>
      <c r="E26" s="511"/>
      <c r="F26" s="511"/>
      <c r="G26" s="511"/>
      <c r="H26" s="511"/>
      <c r="I26" s="511"/>
      <c r="J26" s="511"/>
      <c r="K26" s="511"/>
      <c r="L26" s="511"/>
      <c r="M26" s="511"/>
    </row>
    <row r="27" spans="2:15" ht="6" customHeight="1" thickBot="1" x14ac:dyDescent="0.35">
      <c r="B27" s="484"/>
      <c r="C27" s="484"/>
      <c r="D27" s="484"/>
    </row>
    <row r="28" spans="2:15" ht="15" thickTop="1" x14ac:dyDescent="0.3">
      <c r="B28" s="502" t="s">
        <v>432</v>
      </c>
      <c r="C28" s="485"/>
      <c r="D28" s="493">
        <f>'Historical FS'!H17</f>
        <v>0.25032405279137054</v>
      </c>
      <c r="E28" s="493">
        <f>'Historical FS'!I17</f>
        <v>0.17531456023689423</v>
      </c>
      <c r="F28" s="493">
        <f>'Historical FS'!J17</f>
        <v>0.16859067998416216</v>
      </c>
      <c r="G28" s="493">
        <f>'Historical FS'!K17</f>
        <v>0.24133716719119311</v>
      </c>
      <c r="H28" s="493">
        <f>'Historical FS'!L17</f>
        <v>0.21002113489032942</v>
      </c>
      <c r="I28" s="516"/>
      <c r="J28" s="516"/>
      <c r="K28" s="516"/>
      <c r="L28" s="493">
        <f>AVERAGE(D28:H28)</f>
        <v>0.20911751901878989</v>
      </c>
      <c r="M28" s="493">
        <f>MEDIAN(D28:H28)</f>
        <v>0.21002113489032942</v>
      </c>
    </row>
    <row r="29" spans="2:15" x14ac:dyDescent="0.3">
      <c r="B29" s="483" t="s">
        <v>433</v>
      </c>
      <c r="C29" s="482"/>
      <c r="D29" s="494">
        <f>('Historical FS'!H22-'Historical FS'!H28)/'Historical FS'!H16</f>
        <v>0.44822361623981044</v>
      </c>
      <c r="E29" s="494">
        <f>('Historical FS'!I22-'Historical FS'!I28)/'Historical FS'!I16</f>
        <v>0.25275137384135271</v>
      </c>
      <c r="F29" s="494">
        <f>('Historical FS'!J22-'Historical FS'!J28)/'Historical FS'!J16</f>
        <v>0.29676539511573846</v>
      </c>
      <c r="G29" s="494">
        <f>('Historical FS'!K22-'Historical FS'!K28)/'Historical FS'!K16</f>
        <v>0.46793213865314476</v>
      </c>
      <c r="H29" s="494">
        <f>('Historical FS'!L22-'Historical FS'!L28)/'Historical FS'!L16</f>
        <v>0.41286265648731002</v>
      </c>
      <c r="I29" s="508"/>
      <c r="J29" s="508"/>
      <c r="K29" s="508"/>
      <c r="L29" s="494">
        <f t="shared" ref="L29:L33" si="4">AVERAGE(D29:H29)</f>
        <v>0.3757070360674713</v>
      </c>
      <c r="M29" s="494">
        <f t="shared" ref="M29:M33" si="5">MEDIAN(D29:H29)</f>
        <v>0.41286265648731002</v>
      </c>
    </row>
    <row r="30" spans="2:15" x14ac:dyDescent="0.3">
      <c r="B30" s="483" t="s">
        <v>346</v>
      </c>
      <c r="C30" s="482"/>
      <c r="D30" s="494">
        <f>'Historical FS'!H37/'Historical FS'!H16</f>
        <v>0.31564611726555053</v>
      </c>
      <c r="E30" s="494">
        <f>'Historical FS'!I37/'Historical FS'!I16</f>
        <v>0.19761759225628878</v>
      </c>
      <c r="F30" s="494">
        <f>'Historical FS'!J37/'Historical FS'!J16</f>
        <v>0.19822943601298285</v>
      </c>
      <c r="G30" s="494">
        <f>'Historical FS'!K37/'Historical FS'!K16</f>
        <v>0.34263559510384178</v>
      </c>
      <c r="H30" s="494">
        <f>'Historical FS'!L37/'Historical FS'!L16</f>
        <v>0.31615087727606378</v>
      </c>
      <c r="I30" s="508"/>
      <c r="J30" s="508"/>
      <c r="K30" s="508"/>
      <c r="L30" s="494">
        <f t="shared" si="4"/>
        <v>0.2740559235829455</v>
      </c>
      <c r="M30" s="494">
        <f t="shared" si="5"/>
        <v>0.31564611726555053</v>
      </c>
    </row>
    <row r="31" spans="2:15" x14ac:dyDescent="0.3">
      <c r="B31" s="483" t="s">
        <v>434</v>
      </c>
      <c r="C31" s="482"/>
      <c r="D31" s="494">
        <f>'Historical FS'!H37/(('Historical FS'!G68+'Historical FS'!H68)/2)</f>
        <v>6.0777361615450144E-2</v>
      </c>
      <c r="E31" s="494">
        <f>'Historical FS'!I37/(('Historical FS'!H68+'Historical FS'!I68)/2)</f>
        <v>2.9325439949519742E-2</v>
      </c>
      <c r="F31" s="494">
        <f>'Historical FS'!J37/(('Historical FS'!I68+'Historical FS'!J68)/2)</f>
        <v>3.2424363497975395E-2</v>
      </c>
      <c r="G31" s="494">
        <f>'Historical FS'!K37/(('Historical FS'!J68+'Historical FS'!K68)/2)</f>
        <v>8.1267752256786743E-2</v>
      </c>
      <c r="H31" s="494">
        <f>'Historical FS'!L37/(('Historical FS'!K68+'Historical FS'!L68)/2)</f>
        <v>6.6267232128518608E-2</v>
      </c>
      <c r="I31" s="508"/>
      <c r="J31" s="508"/>
      <c r="K31" s="508"/>
      <c r="L31" s="494">
        <f t="shared" si="4"/>
        <v>5.4012429889650125E-2</v>
      </c>
      <c r="M31" s="494">
        <f t="shared" si="5"/>
        <v>6.0777361615450144E-2</v>
      </c>
    </row>
    <row r="32" spans="2:15" x14ac:dyDescent="0.3">
      <c r="B32" s="483" t="s">
        <v>342</v>
      </c>
      <c r="C32" s="482"/>
      <c r="D32" s="494">
        <f>'Historical FS'!H37/(('Historical FS'!G51+'Historical FS'!G52+'Historical FS'!H51+'Historical FS'!H52))/2</f>
        <v>2.4914957558768835E-2</v>
      </c>
      <c r="E32" s="494">
        <f>'Historical FS'!I37/(('Historical FS'!H51+'Historical FS'!H52+'Historical FS'!I51+'Historical FS'!I52))/2</f>
        <v>1.2192016008499781E-2</v>
      </c>
      <c r="F32" s="494">
        <f>'Historical FS'!J37/(('Historical FS'!I51+'Historical FS'!I52+'Historical FS'!J51+'Historical FS'!J52))/2</f>
        <v>1.3377623270623857E-2</v>
      </c>
      <c r="G32" s="494">
        <f>'Historical FS'!K37/(('Historical FS'!J51+'Historical FS'!J52+'Historical FS'!K51+'Historical FS'!K52))/2</f>
        <v>3.3129209360519433E-2</v>
      </c>
      <c r="H32" s="494">
        <f>'Historical FS'!L37/(('Historical FS'!K51+'Historical FS'!K52+'Historical FS'!L51+'Historical FS'!L52))/2</f>
        <v>2.6558723780918374E-2</v>
      </c>
      <c r="I32" s="508"/>
      <c r="J32" s="508"/>
      <c r="K32" s="508"/>
      <c r="L32" s="494">
        <f t="shared" si="4"/>
        <v>2.2034505995866059E-2</v>
      </c>
      <c r="M32" s="494">
        <f t="shared" si="5"/>
        <v>2.4914957558768835E-2</v>
      </c>
    </row>
    <row r="33" spans="2:13" x14ac:dyDescent="0.3">
      <c r="B33" s="483" t="s">
        <v>435</v>
      </c>
      <c r="C33" s="482"/>
      <c r="D33" s="494">
        <f>('Historical FS'!H22-'Historical FS'!H28)/('Historical FS'!H68-'Historical FS'!H54)</f>
        <v>0.11476151602022536</v>
      </c>
      <c r="E33" s="494">
        <f>('Historical FS'!I22-'Historical FS'!I28)/('Historical FS'!I68-'Historical FS'!I54)</f>
        <v>4.9588950621933268E-2</v>
      </c>
      <c r="F33" s="494">
        <f>('Historical FS'!J22-'Historical FS'!J28)/('Historical FS'!J68-'Historical FS'!J54)</f>
        <v>6.4958662669210368E-2</v>
      </c>
      <c r="G33" s="494">
        <f>('Historical FS'!K22-'Historical FS'!K28)/('Historical FS'!K68-'Historical FS'!K54)</f>
        <v>0.14557563347365274</v>
      </c>
      <c r="H33" s="494">
        <f>('Historical FS'!L22-'Historical FS'!L28)/('Historical FS'!L68-'Historical FS'!L54)</f>
        <v>0.10966494486428784</v>
      </c>
      <c r="I33" s="508"/>
      <c r="J33" s="508"/>
      <c r="K33" s="508"/>
      <c r="L33" s="494">
        <f t="shared" si="4"/>
        <v>9.6909941529861904E-2</v>
      </c>
      <c r="M33" s="494">
        <f t="shared" si="5"/>
        <v>0.10966494486428784</v>
      </c>
    </row>
    <row r="34" spans="2:13" ht="6" customHeight="1" thickBot="1" x14ac:dyDescent="0.35">
      <c r="B34" s="129"/>
      <c r="C34" s="129"/>
      <c r="D34" s="129"/>
      <c r="E34" s="129"/>
      <c r="F34" s="129"/>
      <c r="G34" s="129"/>
      <c r="H34" s="129"/>
      <c r="I34" s="129"/>
      <c r="J34" s="129"/>
      <c r="K34" s="129"/>
      <c r="L34" s="129"/>
      <c r="M34" s="129"/>
    </row>
    <row r="35" spans="2:13" ht="4.8" customHeight="1" thickTop="1" x14ac:dyDescent="0.3"/>
    <row r="36" spans="2:13" x14ac:dyDescent="0.3">
      <c r="B36" s="507" t="s">
        <v>436</v>
      </c>
      <c r="C36" s="511"/>
      <c r="D36" s="511"/>
      <c r="E36" s="511"/>
      <c r="F36" s="511"/>
      <c r="G36" s="511"/>
      <c r="H36" s="511"/>
      <c r="I36" s="511"/>
      <c r="J36" s="511"/>
      <c r="K36" s="511"/>
      <c r="L36" s="511"/>
      <c r="M36" s="511"/>
    </row>
    <row r="37" spans="2:13" ht="6" customHeight="1" thickBot="1" x14ac:dyDescent="0.35"/>
    <row r="38" spans="2:13" ht="15" thickTop="1" x14ac:dyDescent="0.3">
      <c r="B38" s="502" t="s">
        <v>416</v>
      </c>
      <c r="C38" s="485"/>
      <c r="D38" s="493">
        <f>'Historical FS'!H13/(('Historical FS'!G64+'Historical FS'!H64)/2)</f>
        <v>4.1466977185108123</v>
      </c>
      <c r="E38" s="493">
        <f>'Historical FS'!I13/(('Historical FS'!H64+'Historical FS'!I64)/2)</f>
        <v>4.5073792385350169</v>
      </c>
      <c r="F38" s="493">
        <f>'Historical FS'!J13/(('Historical FS'!I64+'Historical FS'!J64)/2)</f>
        <v>4.6257979958214044</v>
      </c>
      <c r="G38" s="493">
        <f>'Historical FS'!K13/(('Historical FS'!J64+'Historical FS'!K64)/2)</f>
        <v>4.4356331224454477</v>
      </c>
      <c r="H38" s="493">
        <f>'Historical FS'!L13/(('Historical FS'!K64+'Historical FS'!L64)/2)</f>
        <v>4.4068337996464999</v>
      </c>
      <c r="I38" s="516"/>
      <c r="J38" s="516"/>
      <c r="K38" s="516"/>
      <c r="L38" s="493">
        <f>AVERAGE(D38:H38)</f>
        <v>4.4244683749918359</v>
      </c>
      <c r="M38" s="493">
        <f>MEDIAN(D38:H38)</f>
        <v>4.4356331224454477</v>
      </c>
    </row>
    <row r="39" spans="2:13" x14ac:dyDescent="0.3">
      <c r="B39" s="483" t="s">
        <v>437</v>
      </c>
      <c r="C39" s="482"/>
      <c r="D39" s="494">
        <f>'Historical FS'!H10/'Raw Balance Sheet'!B32</f>
        <v>7.5314492078285182</v>
      </c>
      <c r="E39" s="494">
        <f>'Historical FS'!I10/'Raw Balance Sheet'!C32</f>
        <v>8.2797471067295341</v>
      </c>
      <c r="F39" s="494">
        <f>'Historical FS'!J10/'Raw Balance Sheet'!D32</f>
        <v>9.1923012385137834</v>
      </c>
      <c r="G39" s="494">
        <f>'Historical FS'!K10/'Raw Balance Sheet'!E32</f>
        <v>8.6431078296703294</v>
      </c>
      <c r="H39" s="494">
        <f>'Historical FS'!L10/'Raw Balance Sheet'!F32</f>
        <v>8.3538575667655781</v>
      </c>
      <c r="I39" s="508"/>
      <c r="J39" s="508"/>
      <c r="K39" s="508"/>
      <c r="L39" s="494">
        <f t="shared" ref="L39:L42" si="6">AVERAGE(D39:H39)</f>
        <v>8.4000925899015488</v>
      </c>
      <c r="M39" s="494">
        <f t="shared" ref="M39:M42" si="7">MEDIAN(D39:H39)</f>
        <v>8.3538575667655781</v>
      </c>
    </row>
    <row r="40" spans="2:13" x14ac:dyDescent="0.3">
      <c r="B40" s="483" t="s">
        <v>438</v>
      </c>
      <c r="C40" s="482"/>
      <c r="D40" s="494">
        <f>'Historical FS'!H10/'Raw Balance Sheet'!B13</f>
        <v>4.888835450695705</v>
      </c>
      <c r="E40" s="494">
        <f>'Historical FS'!I10/'Raw Balance Sheet'!C13</f>
        <v>9.3906903257170651</v>
      </c>
      <c r="F40" s="494">
        <f>'Historical FS'!J10/'Raw Balance Sheet'!D13</f>
        <v>9.4451272577996725</v>
      </c>
      <c r="G40" s="494">
        <f>'Historical FS'!K10/'Raw Balance Sheet'!E13</f>
        <v>9.4868940821711263</v>
      </c>
      <c r="H40" s="494">
        <f>'Historical FS'!L10/'Raw Balance Sheet'!F13</f>
        <v>9.9760807937632876</v>
      </c>
      <c r="I40" s="508"/>
      <c r="J40" s="508"/>
      <c r="K40" s="508"/>
      <c r="L40" s="494">
        <f t="shared" si="6"/>
        <v>8.6375255820293724</v>
      </c>
      <c r="M40" s="494">
        <f t="shared" si="7"/>
        <v>9.4451272577996725</v>
      </c>
    </row>
    <row r="41" spans="2:13" x14ac:dyDescent="0.3">
      <c r="B41" s="483" t="s">
        <v>348</v>
      </c>
      <c r="C41" s="482"/>
      <c r="D41" s="494">
        <f>'Historical FS'!H10/(('Historical FS'!G68+'Historical FS'!H68)/2)</f>
        <v>0.76919917571304153</v>
      </c>
      <c r="E41" s="494">
        <f>'Historical FS'!I10/(('Historical FS'!H68+'Historical FS'!I68)/2)</f>
        <v>0.84644929187408002</v>
      </c>
      <c r="F41" s="494">
        <f>'Historical FS'!J10/(('Historical FS'!I68+'Historical FS'!J68)/2)</f>
        <v>0.97021894763030758</v>
      </c>
      <c r="G41" s="494">
        <f>'Historical FS'!K10/(('Historical FS'!J68+'Historical FS'!K68)/2)</f>
        <v>0.98279187892580144</v>
      </c>
      <c r="H41" s="494">
        <f>'Historical FS'!L10/(('Historical FS'!K68+'Historical FS'!L68)/2)</f>
        <v>0.99802504306370388</v>
      </c>
      <c r="I41" s="508"/>
      <c r="J41" s="508"/>
      <c r="K41" s="508"/>
      <c r="L41" s="494">
        <f t="shared" si="6"/>
        <v>0.91333686744138698</v>
      </c>
      <c r="M41" s="494">
        <f t="shared" si="7"/>
        <v>0.97021894763030758</v>
      </c>
    </row>
    <row r="42" spans="2:13" x14ac:dyDescent="0.3">
      <c r="B42" s="483" t="s">
        <v>439</v>
      </c>
      <c r="C42" s="482"/>
      <c r="D42" s="494">
        <f>'Historical FS'!H10/('Historical FS'!H66-'Historical FS'!H54)</f>
        <v>-10.592797221129905</v>
      </c>
      <c r="E42" s="494">
        <f>'Historical FS'!I10/('Historical FS'!I66-'Historical FS'!I54)</f>
        <v>21.00914687200904</v>
      </c>
      <c r="F42" s="494">
        <f>'Historical FS'!J10/('Historical FS'!J66-'Historical FS'!J54)</f>
        <v>90.345663014882305</v>
      </c>
      <c r="G42" s="494">
        <f>'Historical FS'!K10/('Historical FS'!K66-'Historical FS'!K54)</f>
        <v>62.7680432939298</v>
      </c>
      <c r="H42" s="494">
        <f>'Historical FS'!L10/('Historical FS'!L66-'Historical FS'!L54)</f>
        <v>13.638785940944222</v>
      </c>
      <c r="I42" s="508"/>
      <c r="J42" s="508"/>
      <c r="K42" s="508"/>
      <c r="L42" s="494">
        <f t="shared" si="6"/>
        <v>35.433768380127091</v>
      </c>
      <c r="M42" s="494">
        <f t="shared" si="7"/>
        <v>21.00914687200904</v>
      </c>
    </row>
    <row r="43" spans="2:13" ht="6" customHeight="1" thickBot="1" x14ac:dyDescent="0.35">
      <c r="B43" s="129"/>
      <c r="C43" s="129"/>
      <c r="D43" s="129"/>
      <c r="E43" s="129"/>
      <c r="F43" s="129"/>
      <c r="G43" s="129"/>
      <c r="H43" s="129"/>
      <c r="I43" s="129"/>
      <c r="J43" s="129"/>
      <c r="K43" s="129"/>
      <c r="L43" s="129"/>
      <c r="M43" s="129"/>
    </row>
    <row r="44" spans="2:13" ht="5.4" customHeight="1" thickTop="1" x14ac:dyDescent="0.3"/>
    <row r="45" spans="2:13" x14ac:dyDescent="0.3">
      <c r="B45" s="507" t="s">
        <v>440</v>
      </c>
      <c r="C45" s="511"/>
      <c r="D45" s="511"/>
      <c r="E45" s="511"/>
      <c r="F45" s="511"/>
      <c r="G45" s="511"/>
      <c r="H45" s="511"/>
      <c r="I45" s="511"/>
      <c r="J45" s="511"/>
      <c r="K45" s="511"/>
      <c r="L45" s="511"/>
      <c r="M45" s="511"/>
    </row>
    <row r="46" spans="2:13" ht="6" customHeight="1" thickBot="1" x14ac:dyDescent="0.35"/>
    <row r="47" spans="2:13" ht="15" thickTop="1" x14ac:dyDescent="0.3">
      <c r="B47" s="502" t="s">
        <v>441</v>
      </c>
      <c r="C47" s="485"/>
      <c r="D47" s="497">
        <f>('Historical FS'!H37-'Historical FS'!H45)/'Data Sheet'!G70</f>
        <v>2.6540756314310279E-4</v>
      </c>
      <c r="E47" s="497">
        <f>('Historical FS'!I37-'Historical FS'!I45)/'Data Sheet'!H70</f>
        <v>1.1613928918061318E-4</v>
      </c>
      <c r="F47" s="497">
        <f>('Historical FS'!J37-'Historical FS'!J45)/'Data Sheet'!I70</f>
        <v>1.3369632622508556E-4</v>
      </c>
      <c r="G47" s="497">
        <f>('Historical FS'!K37-'Historical FS'!K45)/'Data Sheet'!J70</f>
        <v>4.3478418548063683E-4</v>
      </c>
      <c r="H47" s="497">
        <f>('Historical FS'!L37-'Historical FS'!L45)/'Data Sheet'!K70</f>
        <v>4.4074910937924047E-4</v>
      </c>
      <c r="I47" s="516"/>
      <c r="J47" s="516"/>
      <c r="K47" s="516"/>
      <c r="L47" s="498">
        <f>AVERAGE(D47:H47)</f>
        <v>2.7815529468173576E-4</v>
      </c>
      <c r="M47" s="498">
        <f>MEDIAN(D47:H47)</f>
        <v>2.6540756314310279E-4</v>
      </c>
    </row>
    <row r="48" spans="2:13" x14ac:dyDescent="0.3">
      <c r="B48" s="483" t="s">
        <v>442</v>
      </c>
      <c r="C48" s="482"/>
      <c r="D48" s="499">
        <f>('Data Sheet'!G90/Ratios!D47)/10000000</f>
        <v>30.993634478926754</v>
      </c>
      <c r="E48" s="499">
        <f>('Data Sheet'!H90/Ratios!E47)/10000000</f>
        <v>55.986307871129945</v>
      </c>
      <c r="F48" s="499">
        <f>('Data Sheet'!I90/Ratios!F47)/10000000</f>
        <v>62.864255416040102</v>
      </c>
      <c r="G48" s="499">
        <f>('Data Sheet'!J90/Ratios!G47)/10000000</f>
        <v>30.678967739487941</v>
      </c>
      <c r="H48" s="499">
        <f>('Data Sheet'!K90/Ratios!H47)/10000000</f>
        <v>25.565054495220082</v>
      </c>
      <c r="I48" s="508"/>
      <c r="J48" s="508"/>
      <c r="K48" s="508"/>
      <c r="L48" s="499">
        <f t="shared" ref="L48:L49" si="8">AVERAGE(D48:H48)</f>
        <v>41.217644000160966</v>
      </c>
      <c r="M48" s="499">
        <f>MEDIAN(D48:H48)</f>
        <v>30.993634478926754</v>
      </c>
    </row>
    <row r="49" spans="2:13" x14ac:dyDescent="0.3">
      <c r="B49" s="483" t="s">
        <v>225</v>
      </c>
      <c r="C49" s="482"/>
      <c r="D49" s="500">
        <f>'Historical FS'!H45/'Data Sheet'!G90</f>
        <v>1.840865352595616E-3</v>
      </c>
      <c r="E49" s="500">
        <f>'Historical FS'!I45/'Data Sheet'!H90</f>
        <v>2.7170249294726978E-3</v>
      </c>
      <c r="F49" s="500">
        <f>'Historical FS'!J45/'Data Sheet'!I90</f>
        <v>2.4022782663165685E-3</v>
      </c>
      <c r="G49" s="500">
        <f>'Historical FS'!K45/'Data Sheet'!J90</f>
        <v>1.7785658397620708E-3</v>
      </c>
      <c r="H49" s="500">
        <f>'Historical FS'!L45/'Data Sheet'!K90</f>
        <v>0</v>
      </c>
      <c r="I49" s="508"/>
      <c r="J49" s="508"/>
      <c r="K49" s="508"/>
      <c r="L49" s="501">
        <f t="shared" si="8"/>
        <v>1.7477468776293907E-3</v>
      </c>
      <c r="M49" s="501">
        <f>MEDIAN(D49:H49)</f>
        <v>1.840865352595616E-3</v>
      </c>
    </row>
    <row r="50" spans="2:13" ht="6.6" customHeight="1" thickBot="1" x14ac:dyDescent="0.35">
      <c r="B50" s="129"/>
      <c r="C50" s="129"/>
      <c r="D50" s="129"/>
      <c r="E50" s="129"/>
      <c r="F50" s="129"/>
      <c r="G50" s="129"/>
      <c r="H50" s="129"/>
      <c r="I50" s="129"/>
      <c r="J50" s="129"/>
      <c r="K50" s="129"/>
      <c r="L50" s="129"/>
      <c r="M50" s="129"/>
    </row>
    <row r="51" spans="2:13" ht="5.4" customHeight="1" thickTop="1" x14ac:dyDescent="0.3"/>
    <row r="52" spans="2:13" ht="3.6" customHeight="1" x14ac:dyDescent="0.3"/>
    <row r="53" spans="2:13" ht="40.799999999999997" customHeight="1" x14ac:dyDescent="0.3">
      <c r="B53" s="517" t="s">
        <v>443</v>
      </c>
      <c r="C53" s="517"/>
      <c r="D53" s="517"/>
      <c r="E53" s="517"/>
      <c r="F53" s="517"/>
      <c r="G53" s="517"/>
      <c r="H53" s="517"/>
      <c r="I53" s="517"/>
      <c r="J53" s="517"/>
      <c r="K53" s="517"/>
      <c r="L53" s="517"/>
      <c r="M53" s="517"/>
    </row>
    <row r="54" spans="2:13" ht="3" customHeight="1" x14ac:dyDescent="0.3">
      <c r="B54" s="484"/>
      <c r="C54" s="484"/>
      <c r="D54" s="484"/>
      <c r="E54" s="484"/>
      <c r="F54" s="484"/>
      <c r="G54" s="484"/>
      <c r="H54" s="484"/>
      <c r="I54" s="484"/>
      <c r="J54" s="484"/>
      <c r="K54" s="484"/>
      <c r="L54" s="484"/>
      <c r="M54" s="484"/>
    </row>
    <row r="55" spans="2:13" ht="28.2" customHeight="1" x14ac:dyDescent="0.3">
      <c r="B55" s="517" t="s">
        <v>444</v>
      </c>
      <c r="C55" s="517"/>
      <c r="D55" s="517"/>
      <c r="E55" s="517"/>
      <c r="F55" s="517"/>
      <c r="G55" s="517"/>
      <c r="H55" s="517"/>
      <c r="I55" s="517"/>
      <c r="J55" s="517"/>
      <c r="K55" s="517"/>
      <c r="L55" s="517"/>
      <c r="M55" s="517"/>
    </row>
    <row r="56" spans="2:13" ht="3" customHeight="1" x14ac:dyDescent="0.3">
      <c r="B56" s="484"/>
      <c r="C56" s="484"/>
      <c r="D56" s="484"/>
      <c r="E56" s="484"/>
      <c r="F56" s="484"/>
      <c r="G56" s="484"/>
      <c r="H56" s="484"/>
      <c r="I56" s="484"/>
      <c r="J56" s="484"/>
      <c r="K56" s="484"/>
      <c r="L56" s="484"/>
      <c r="M56" s="484"/>
    </row>
    <row r="57" spans="2:13" ht="28.2" customHeight="1" x14ac:dyDescent="0.3">
      <c r="B57" s="517" t="s">
        <v>445</v>
      </c>
      <c r="C57" s="517"/>
      <c r="D57" s="517"/>
      <c r="E57" s="517"/>
      <c r="F57" s="517"/>
      <c r="G57" s="517"/>
      <c r="H57" s="517"/>
      <c r="I57" s="517"/>
      <c r="J57" s="517"/>
      <c r="K57" s="517"/>
      <c r="L57" s="517"/>
      <c r="M57" s="517"/>
    </row>
    <row r="58" spans="2:13" ht="2.4" customHeight="1" x14ac:dyDescent="0.3"/>
    <row r="59" spans="2:13" s="484" customFormat="1" ht="27" customHeight="1" x14ac:dyDescent="0.3">
      <c r="B59" s="517" t="s">
        <v>446</v>
      </c>
      <c r="C59" s="517"/>
      <c r="D59" s="517"/>
      <c r="E59" s="517"/>
      <c r="F59" s="517"/>
      <c r="G59" s="517"/>
      <c r="H59" s="517"/>
      <c r="I59" s="517"/>
      <c r="J59" s="517"/>
      <c r="K59" s="517"/>
      <c r="L59" s="517"/>
      <c r="M59" s="517"/>
    </row>
    <row r="60" spans="2:13" s="484" customFormat="1" ht="3" customHeight="1" x14ac:dyDescent="0.3">
      <c r="B60" s="481"/>
      <c r="C60" s="481"/>
      <c r="D60" s="481"/>
      <c r="E60" s="481"/>
      <c r="F60" s="481"/>
      <c r="G60" s="481"/>
      <c r="H60" s="481"/>
      <c r="I60" s="481"/>
      <c r="J60" s="481"/>
      <c r="K60" s="481"/>
      <c r="L60" s="481"/>
      <c r="M60" s="481"/>
    </row>
    <row r="61" spans="2:13" s="484" customFormat="1" ht="27" customHeight="1" x14ac:dyDescent="0.3">
      <c r="B61" s="517" t="s">
        <v>447</v>
      </c>
      <c r="C61" s="517"/>
      <c r="D61" s="517"/>
      <c r="E61" s="517"/>
      <c r="F61" s="517"/>
      <c r="G61" s="517"/>
      <c r="H61" s="517"/>
      <c r="I61" s="517"/>
      <c r="J61" s="517"/>
      <c r="K61" s="517"/>
      <c r="L61" s="517"/>
      <c r="M61" s="517"/>
    </row>
    <row r="62" spans="2:13" s="484" customFormat="1" ht="2.4" customHeight="1" x14ac:dyDescent="0.3">
      <c r="B62" s="481"/>
      <c r="C62" s="481"/>
      <c r="D62" s="481"/>
      <c r="E62" s="481"/>
      <c r="F62" s="481"/>
      <c r="G62" s="481"/>
      <c r="H62" s="481"/>
      <c r="I62" s="481"/>
      <c r="J62" s="481"/>
      <c r="K62" s="481"/>
      <c r="L62" s="481"/>
      <c r="M62" s="481"/>
    </row>
    <row r="63" spans="2:13" s="484" customFormat="1" ht="26.4" customHeight="1" x14ac:dyDescent="0.3">
      <c r="B63" s="517" t="s">
        <v>448</v>
      </c>
      <c r="C63" s="517"/>
      <c r="D63" s="517"/>
      <c r="E63" s="517"/>
      <c r="F63" s="517"/>
      <c r="G63" s="517"/>
      <c r="H63" s="517"/>
      <c r="I63" s="517"/>
      <c r="J63" s="517"/>
      <c r="K63" s="517"/>
      <c r="L63" s="517"/>
      <c r="M63" s="517"/>
    </row>
    <row r="64" spans="2:13" ht="3" customHeight="1" x14ac:dyDescent="0.3">
      <c r="B64" s="100"/>
      <c r="C64" s="100"/>
      <c r="D64" s="100"/>
      <c r="E64" s="100"/>
      <c r="F64" s="100"/>
      <c r="G64" s="100"/>
      <c r="H64" s="100"/>
      <c r="I64" s="100"/>
      <c r="J64" s="100"/>
      <c r="K64" s="100"/>
      <c r="L64" s="100"/>
      <c r="M64" s="100"/>
    </row>
    <row r="87" spans="2:13" ht="6" customHeight="1" x14ac:dyDescent="0.3"/>
    <row r="88" spans="2:13" x14ac:dyDescent="0.3">
      <c r="B88" s="100"/>
      <c r="C88" s="100"/>
      <c r="D88" s="100"/>
      <c r="E88" s="100"/>
      <c r="F88" s="100"/>
      <c r="G88" s="100"/>
      <c r="H88" s="100"/>
      <c r="I88" s="100"/>
      <c r="J88" s="100"/>
      <c r="K88" s="100"/>
      <c r="L88" s="100"/>
      <c r="M88" s="100"/>
    </row>
  </sheetData>
  <mergeCells count="41">
    <mergeCell ref="B59:M59"/>
    <mergeCell ref="B61:M61"/>
    <mergeCell ref="B63:M63"/>
    <mergeCell ref="I48:K48"/>
    <mergeCell ref="I49:K49"/>
    <mergeCell ref="B53:M53"/>
    <mergeCell ref="B55:M55"/>
    <mergeCell ref="B57:M57"/>
    <mergeCell ref="I40:K40"/>
    <mergeCell ref="I41:K41"/>
    <mergeCell ref="I42:K42"/>
    <mergeCell ref="B45:M45"/>
    <mergeCell ref="I47:K47"/>
    <mergeCell ref="I32:K32"/>
    <mergeCell ref="I33:K33"/>
    <mergeCell ref="B36:M36"/>
    <mergeCell ref="I38:K38"/>
    <mergeCell ref="I39:K39"/>
    <mergeCell ref="B26:M26"/>
    <mergeCell ref="I28:K28"/>
    <mergeCell ref="I29:K29"/>
    <mergeCell ref="I30:K30"/>
    <mergeCell ref="I31:K31"/>
    <mergeCell ref="I22:K22"/>
    <mergeCell ref="I23:K23"/>
    <mergeCell ref="B15:D15"/>
    <mergeCell ref="I9:K9"/>
    <mergeCell ref="I10:K10"/>
    <mergeCell ref="I11:K11"/>
    <mergeCell ref="I12:K12"/>
    <mergeCell ref="I13:K13"/>
    <mergeCell ref="I14:K14"/>
    <mergeCell ref="I15:K15"/>
    <mergeCell ref="I16:K16"/>
    <mergeCell ref="I18:K18"/>
    <mergeCell ref="I19:K19"/>
    <mergeCell ref="I20:K20"/>
    <mergeCell ref="B2:K4"/>
    <mergeCell ref="B8:M8"/>
    <mergeCell ref="B17:M17"/>
    <mergeCell ref="I21:K21"/>
  </mergeCells>
  <pageMargins left="0.7" right="0.7" top="0.75" bottom="0.75" header="0.3" footer="0.3"/>
  <pageSetup scale="59" orientation="portrait" r:id="rId1"/>
  <colBreaks count="1" manualBreakCount="1">
    <brk id="13" max="1048575" man="1"/>
  </colBreaks>
  <drawing r:id="rId2"/>
  <extLst>
    <ext xmlns:x14="http://schemas.microsoft.com/office/spreadsheetml/2009/9/main" uri="{05C60535-1F16-4fd2-B633-F4F36F0B64E0}">
      <x14:sparklineGroups xmlns:xm="http://schemas.microsoft.com/office/excel/2006/main">
        <x14:sparklineGroup displayEmptyCellsAs="gap" markers="1">
          <x14:colorSeries rgb="FF323232"/>
          <x14:colorNegative rgb="FFD00000"/>
          <x14:colorAxis rgb="FF000000"/>
          <x14:colorMarkers rgb="FFD00000"/>
          <x14:colorFirst rgb="FFD00000"/>
          <x14:colorLast rgb="FFD00000"/>
          <x14:colorHigh rgb="FFD00000"/>
          <x14:colorLow rgb="FFD00000"/>
          <x14:sparklines>
            <x14:sparkline>
              <xm:f>Ratios!D47:H47</xm:f>
              <xm:sqref>I47</xm:sqref>
            </x14:sparkline>
            <x14:sparkline>
              <xm:f>Ratios!D48:H48</xm:f>
              <xm:sqref>I48</xm:sqref>
            </x14:sparkline>
            <x14:sparkline>
              <xm:f>Ratios!D49:H49</xm:f>
              <xm:sqref>I49</xm:sqref>
            </x14:sparkline>
          </x14:sparklines>
        </x14:sparklineGroup>
        <x14:sparklineGroup displayEmptyCellsAs="gap" markers="1">
          <x14:colorSeries rgb="FF323232"/>
          <x14:colorNegative rgb="FFD00000"/>
          <x14:colorAxis rgb="FF000000"/>
          <x14:colorMarkers rgb="FFD00000"/>
          <x14:colorFirst rgb="FFD00000"/>
          <x14:colorLast rgb="FFD00000"/>
          <x14:colorHigh rgb="FFD00000"/>
          <x14:colorLow rgb="FFD00000"/>
          <x14:sparklines>
            <x14:sparkline>
              <xm:f>Ratios!D38:H38</xm:f>
              <xm:sqref>I38</xm:sqref>
            </x14:sparkline>
            <x14:sparkline>
              <xm:f>Ratios!D39:H39</xm:f>
              <xm:sqref>I39</xm:sqref>
            </x14:sparkline>
            <x14:sparkline>
              <xm:f>Ratios!D40:H40</xm:f>
              <xm:sqref>I40</xm:sqref>
            </x14:sparkline>
            <x14:sparkline>
              <xm:f>Ratios!D41:H41</xm:f>
              <xm:sqref>I41</xm:sqref>
            </x14:sparkline>
            <x14:sparkline>
              <xm:f>Ratios!D42:H42</xm:f>
              <xm:sqref>I42</xm:sqref>
            </x14:sparkline>
          </x14:sparklines>
        </x14:sparklineGroup>
        <x14:sparklineGroup displayEmptyCellsAs="gap" markers="1">
          <x14:colorSeries rgb="FF323232"/>
          <x14:colorNegative rgb="FFD00000"/>
          <x14:colorAxis rgb="FF000000"/>
          <x14:colorMarkers rgb="FFD00000"/>
          <x14:colorFirst rgb="FFD00000"/>
          <x14:colorLast rgb="FFD00000"/>
          <x14:colorHigh rgb="FFD00000"/>
          <x14:colorLow rgb="FFD00000"/>
          <x14:sparklines>
            <x14:sparkline>
              <xm:f>Ratios!D28:H28</xm:f>
              <xm:sqref>I28</xm:sqref>
            </x14:sparkline>
            <x14:sparkline>
              <xm:f>Ratios!D29:H29</xm:f>
              <xm:sqref>I29</xm:sqref>
            </x14:sparkline>
            <x14:sparkline>
              <xm:f>Ratios!D30:H30</xm:f>
              <xm:sqref>I30</xm:sqref>
            </x14:sparkline>
            <x14:sparkline>
              <xm:f>Ratios!D31:H31</xm:f>
              <xm:sqref>I31</xm:sqref>
            </x14:sparkline>
            <x14:sparkline>
              <xm:f>Ratios!D32:H32</xm:f>
              <xm:sqref>I32</xm:sqref>
            </x14:sparkline>
            <x14:sparkline>
              <xm:f>Ratios!D33:H33</xm:f>
              <xm:sqref>I33</xm:sqref>
            </x14:sparkline>
          </x14:sparklines>
        </x14:sparklineGroup>
        <x14:sparklineGroup displayEmptyCellsAs="gap" markers="1">
          <x14:colorSeries rgb="FF323232"/>
          <x14:colorNegative rgb="FFD00000"/>
          <x14:colorAxis rgb="FF000000"/>
          <x14:colorMarkers rgb="FFD00000"/>
          <x14:colorFirst rgb="FFD00000"/>
          <x14:colorLast rgb="FFD00000"/>
          <x14:colorHigh rgb="FFD00000"/>
          <x14:colorLow rgb="FFD00000"/>
          <x14:sparklines>
            <x14:sparkline>
              <xm:f>Ratios!D19:H19</xm:f>
              <xm:sqref>I19</xm:sqref>
            </x14:sparkline>
            <x14:sparkline>
              <xm:f>Ratios!D20:H20</xm:f>
              <xm:sqref>I20</xm:sqref>
            </x14:sparkline>
            <x14:sparkline>
              <xm:f>Ratios!D21:H21</xm:f>
              <xm:sqref>I21</xm:sqref>
            </x14:sparkline>
            <x14:sparkline>
              <xm:f>Ratios!D22:H22</xm:f>
              <xm:sqref>I22</xm:sqref>
            </x14:sparkline>
            <x14:sparkline>
              <xm:f>Ratios!D23:H23</xm:f>
              <xm:sqref>I23</xm:sqref>
            </x14:sparkline>
          </x14:sparklines>
        </x14:sparklineGroup>
        <x14:sparklineGroup lineWeight="1" displayEmptyCellsAs="gap" markers="1" high="1" low="1" negative="1">
          <x14:colorSeries rgb="FF323232"/>
          <x14:colorNegative rgb="FFD00000"/>
          <x14:colorAxis rgb="FF000000"/>
          <x14:colorMarkers rgb="FFD00000"/>
          <x14:colorFirst rgb="FFD00000"/>
          <x14:colorLast rgb="FFD00000"/>
          <x14:colorHigh rgb="FFD00000"/>
          <x14:colorLow rgb="FFD00000"/>
          <x14:sparklines>
            <x14:sparkline>
              <xm:f>Ratios!D11:H11</xm:f>
              <xm:sqref>I11</xm:sqref>
            </x14:sparkline>
            <x14:sparkline>
              <xm:f>Ratios!D12:H12</xm:f>
              <xm:sqref>I12</xm:sqref>
            </x14:sparkline>
            <x14:sparkline>
              <xm:f>Ratios!D13:H13</xm:f>
              <xm:sqref>I13</xm:sqref>
            </x14:sparkline>
            <x14:sparkline>
              <xm:f>Ratios!D14:H14</xm:f>
              <xm:sqref>I14</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36"/>
  <sheetViews>
    <sheetView showGridLines="0" zoomScaleNormal="100" workbookViewId="0">
      <selection activeCell="B1" sqref="B1:O6"/>
    </sheetView>
  </sheetViews>
  <sheetFormatPr defaultColWidth="0" defaultRowHeight="13.8" x14ac:dyDescent="0.25"/>
  <cols>
    <col min="1" max="1" width="1.88671875" style="325" customWidth="1"/>
    <col min="2" max="2" width="27.5546875" style="325" bestFit="1" customWidth="1"/>
    <col min="3" max="3" width="10" style="325" customWidth="1"/>
    <col min="4" max="4" width="12.5546875" style="325" bestFit="1" customWidth="1"/>
    <col min="5" max="7" width="10" style="325" customWidth="1"/>
    <col min="8" max="8" width="4" style="325" bestFit="1" customWidth="1"/>
    <col min="9" max="10" width="10" style="325" customWidth="1"/>
    <col min="11" max="11" width="11.44140625" style="325" bestFit="1" customWidth="1"/>
    <col min="12" max="12" width="1.88671875" style="325" customWidth="1"/>
    <col min="13" max="13" width="12.5546875" style="325" bestFit="1" customWidth="1"/>
    <col min="14" max="14" width="11.5546875" style="325" bestFit="1" customWidth="1"/>
    <col min="15" max="15" width="12.77734375" style="325" bestFit="1" customWidth="1"/>
    <col min="16" max="16384" width="0" style="325" hidden="1"/>
  </cols>
  <sheetData>
    <row r="1" spans="2:15" x14ac:dyDescent="0.25">
      <c r="B1" s="326"/>
      <c r="C1" s="326"/>
      <c r="D1" s="326"/>
      <c r="E1" s="326"/>
      <c r="F1" s="326"/>
      <c r="G1" s="326"/>
      <c r="H1" s="326"/>
      <c r="I1" s="326"/>
      <c r="J1" s="326"/>
      <c r="K1" s="326"/>
      <c r="L1" s="326"/>
      <c r="M1" s="326"/>
      <c r="N1" s="326"/>
      <c r="O1" s="326"/>
    </row>
    <row r="2" spans="2:15" ht="14.4" customHeight="1" x14ac:dyDescent="0.25">
      <c r="B2" s="607" t="s">
        <v>335</v>
      </c>
      <c r="C2" s="608"/>
      <c r="D2" s="608"/>
      <c r="E2" s="608"/>
      <c r="F2" s="608"/>
      <c r="G2" s="608"/>
      <c r="H2" s="608"/>
      <c r="I2" s="608"/>
      <c r="J2" s="608"/>
      <c r="K2" s="608"/>
    </row>
    <row r="3" spans="2:15" ht="14.4" customHeight="1" x14ac:dyDescent="0.25">
      <c r="B3" s="608"/>
      <c r="C3" s="608"/>
      <c r="D3" s="608"/>
      <c r="E3" s="608"/>
      <c r="F3" s="608"/>
      <c r="G3" s="608"/>
      <c r="H3" s="608"/>
      <c r="I3" s="608"/>
      <c r="J3" s="608"/>
      <c r="K3" s="608"/>
    </row>
    <row r="4" spans="2:15" ht="14.4" customHeight="1" x14ac:dyDescent="0.25">
      <c r="B4" s="608"/>
      <c r="C4" s="608"/>
      <c r="D4" s="608"/>
      <c r="E4" s="608"/>
      <c r="F4" s="608"/>
      <c r="G4" s="608"/>
      <c r="H4" s="608"/>
      <c r="I4" s="608"/>
      <c r="J4" s="608"/>
      <c r="K4" s="608"/>
    </row>
    <row r="5" spans="2:15" x14ac:dyDescent="0.25">
      <c r="C5" s="379"/>
      <c r="D5" s="379"/>
      <c r="E5" s="379"/>
      <c r="F5" s="379"/>
      <c r="G5" s="379"/>
      <c r="H5" s="379"/>
      <c r="I5" s="379"/>
      <c r="J5" s="328">
        <v>4.5</v>
      </c>
    </row>
    <row r="6" spans="2:15" x14ac:dyDescent="0.25">
      <c r="B6" s="326"/>
      <c r="C6" s="326"/>
      <c r="D6" s="326"/>
      <c r="E6" s="326"/>
      <c r="F6" s="329"/>
      <c r="G6" s="329"/>
      <c r="H6" s="329"/>
      <c r="I6" s="329"/>
      <c r="J6" s="329"/>
      <c r="K6" s="326"/>
      <c r="L6" s="326"/>
      <c r="M6" s="326"/>
      <c r="N6" s="326"/>
      <c r="O6" s="326"/>
    </row>
    <row r="7" spans="2:15" ht="14.4" thickBot="1" x14ac:dyDescent="0.3">
      <c r="F7" s="328"/>
      <c r="G7" s="328">
        <v>0</v>
      </c>
      <c r="H7" s="328">
        <v>0.5</v>
      </c>
      <c r="I7" s="328">
        <v>2.5</v>
      </c>
      <c r="J7" s="328">
        <v>3.5</v>
      </c>
      <c r="K7" s="328">
        <v>4.5</v>
      </c>
    </row>
    <row r="8" spans="2:15" ht="14.4" thickTop="1" x14ac:dyDescent="0.25">
      <c r="B8" s="330"/>
      <c r="C8" s="613" t="s">
        <v>305</v>
      </c>
      <c r="D8" s="613"/>
      <c r="E8" s="613"/>
      <c r="F8" s="613"/>
      <c r="G8" s="613"/>
      <c r="H8" s="331"/>
      <c r="I8" s="613" t="s">
        <v>306</v>
      </c>
      <c r="J8" s="613"/>
      <c r="K8" s="613"/>
      <c r="L8" s="331"/>
      <c r="M8" s="613" t="s">
        <v>307</v>
      </c>
      <c r="N8" s="613"/>
      <c r="O8" s="614"/>
    </row>
    <row r="9" spans="2:15" x14ac:dyDescent="0.25">
      <c r="B9" s="332"/>
      <c r="C9" s="333" t="s">
        <v>308</v>
      </c>
      <c r="D9" s="333" t="s">
        <v>309</v>
      </c>
      <c r="E9" s="333" t="s">
        <v>126</v>
      </c>
      <c r="F9" s="333"/>
      <c r="G9" s="333" t="s">
        <v>310</v>
      </c>
      <c r="H9" s="333"/>
      <c r="I9" s="333"/>
      <c r="J9" s="333"/>
      <c r="K9" s="333"/>
      <c r="L9" s="333"/>
      <c r="M9" s="333"/>
      <c r="N9" s="333"/>
      <c r="O9" s="334"/>
    </row>
    <row r="10" spans="2:15" x14ac:dyDescent="0.25">
      <c r="B10" s="335" t="s">
        <v>311</v>
      </c>
      <c r="C10" s="333" t="s">
        <v>312</v>
      </c>
      <c r="D10" s="333" t="s">
        <v>313</v>
      </c>
      <c r="E10" s="333" t="s">
        <v>314</v>
      </c>
      <c r="F10" s="333" t="s">
        <v>315</v>
      </c>
      <c r="G10" s="333" t="s">
        <v>314</v>
      </c>
      <c r="H10" s="333"/>
      <c r="I10" s="333" t="s">
        <v>316</v>
      </c>
      <c r="J10" s="333" t="s">
        <v>317</v>
      </c>
      <c r="K10" s="333" t="s">
        <v>318</v>
      </c>
      <c r="L10" s="333"/>
      <c r="M10" s="333" t="s">
        <v>319</v>
      </c>
      <c r="N10" s="333" t="s">
        <v>320</v>
      </c>
      <c r="O10" s="334" t="s">
        <v>290</v>
      </c>
    </row>
    <row r="11" spans="2:15" x14ac:dyDescent="0.25">
      <c r="B11" s="336"/>
      <c r="C11" s="337"/>
      <c r="D11" s="385" t="s">
        <v>336</v>
      </c>
      <c r="E11" s="337"/>
      <c r="F11" s="337"/>
      <c r="G11" s="337"/>
      <c r="H11" s="337"/>
      <c r="I11" s="337"/>
      <c r="J11" s="337"/>
      <c r="K11" s="337"/>
      <c r="L11" s="337"/>
      <c r="M11" s="337"/>
      <c r="N11" s="337"/>
      <c r="O11" s="338"/>
    </row>
    <row r="12" spans="2:15" x14ac:dyDescent="0.25">
      <c r="B12" s="339" t="s">
        <v>321</v>
      </c>
      <c r="C12" s="380">
        <f>'Rel Data'!D3</f>
        <v>148060</v>
      </c>
      <c r="D12" s="380">
        <f>'Rel Data'!J3</f>
        <v>0.42</v>
      </c>
      <c r="E12" s="340">
        <f>'Rel Data'!E3</f>
        <v>62794.36</v>
      </c>
      <c r="F12" s="340">
        <f>'Rel Data'!F3</f>
        <v>3771.16</v>
      </c>
      <c r="G12" s="340">
        <f>'Rel Data'!K3</f>
        <v>66189.03</v>
      </c>
      <c r="H12" s="340"/>
      <c r="I12" s="340">
        <f>'Rel Data'!M3</f>
        <v>28152.5</v>
      </c>
      <c r="J12" s="340">
        <f>'Rel Data'!Q3</f>
        <v>4499.22</v>
      </c>
      <c r="K12" s="340">
        <f>'Rel Data'!P3</f>
        <v>1869.29</v>
      </c>
      <c r="L12" s="340"/>
      <c r="M12" s="341">
        <f>G12/I12</f>
        <v>2.3510888908622678</v>
      </c>
      <c r="N12" s="341">
        <f>G12/J12</f>
        <v>14.71122327870164</v>
      </c>
      <c r="O12" s="342">
        <f>'Rel Data'!H3</f>
        <v>33.61</v>
      </c>
    </row>
    <row r="13" spans="2:15" x14ac:dyDescent="0.25">
      <c r="B13" s="343" t="s">
        <v>322</v>
      </c>
      <c r="C13" s="381">
        <f>'Rel Data'!D4</f>
        <v>2745.3</v>
      </c>
      <c r="D13" s="381">
        <f>'Rel Data'!J4</f>
        <v>19.329999999999998</v>
      </c>
      <c r="E13" s="344">
        <f>'Rel Data'!E4</f>
        <v>53071.37</v>
      </c>
      <c r="F13" s="344">
        <f>'Rel Data'!F4</f>
        <v>3267.45</v>
      </c>
      <c r="G13" s="344">
        <f>'Rel Data'!K4</f>
        <v>56252.57</v>
      </c>
      <c r="H13" s="344"/>
      <c r="I13" s="344">
        <f>'Rel Data'!M4</f>
        <v>10446.950000000001</v>
      </c>
      <c r="J13" s="344">
        <f>'Rel Data'!Q4</f>
        <v>2815.62</v>
      </c>
      <c r="K13" s="344">
        <f>'Rel Data'!P4</f>
        <v>1654.96</v>
      </c>
      <c r="L13" s="344"/>
      <c r="M13" s="345">
        <f t="shared" ref="M13:M18" si="0">G13/I13</f>
        <v>5.3845926322993787</v>
      </c>
      <c r="N13" s="345">
        <f t="shared" ref="N13:N18" si="1">G13/J13</f>
        <v>19.978750683686009</v>
      </c>
      <c r="O13" s="346">
        <f>'Rel Data'!H4</f>
        <v>34.96</v>
      </c>
    </row>
    <row r="14" spans="2:15" x14ac:dyDescent="0.25">
      <c r="B14" s="347" t="s">
        <v>259</v>
      </c>
      <c r="C14" s="382">
        <f>'Rel Data'!D5</f>
        <v>455.15</v>
      </c>
      <c r="D14" s="382">
        <f>'Rel Data'!J5</f>
        <v>63.51</v>
      </c>
      <c r="E14" s="344">
        <f>'Rel Data'!E5</f>
        <v>28906.62</v>
      </c>
      <c r="F14" s="344">
        <f>'Rel Data'!F5</f>
        <v>4410.43</v>
      </c>
      <c r="G14" s="344">
        <f>'Rel Data'!K5</f>
        <v>32419.55</v>
      </c>
      <c r="H14" s="348"/>
      <c r="I14" s="344">
        <f>'Rel Data'!M5</f>
        <v>26123.42</v>
      </c>
      <c r="J14" s="344">
        <f>'Rel Data'!Q5</f>
        <v>3671.04</v>
      </c>
      <c r="K14" s="344">
        <f>'Rel Data'!P5</f>
        <v>1121.32</v>
      </c>
      <c r="L14" s="348"/>
      <c r="M14" s="345">
        <f t="shared" si="0"/>
        <v>1.2410147675916861</v>
      </c>
      <c r="N14" s="345">
        <f t="shared" si="1"/>
        <v>8.8311622864365411</v>
      </c>
      <c r="O14" s="346">
        <f>'Rel Data'!H5</f>
        <v>23.42</v>
      </c>
    </row>
    <row r="15" spans="2:15" x14ac:dyDescent="0.25">
      <c r="B15" s="343" t="s">
        <v>260</v>
      </c>
      <c r="C15" s="381">
        <f>'Rel Data'!D6</f>
        <v>3827.3</v>
      </c>
      <c r="D15" s="381">
        <f>'Rel Data'!J6</f>
        <v>4.05</v>
      </c>
      <c r="E15" s="344">
        <f>'Rel Data'!E6</f>
        <v>15481.46</v>
      </c>
      <c r="F15" s="344">
        <f>'Rel Data'!F6</f>
        <v>2136.38</v>
      </c>
      <c r="G15" s="344">
        <f>'Rel Data'!K6</f>
        <v>17564.599999999999</v>
      </c>
      <c r="H15" s="344"/>
      <c r="I15" s="344">
        <f>'Rel Data'!M6</f>
        <v>13554.46</v>
      </c>
      <c r="J15" s="344">
        <f>'Rel Data'!Q6</f>
        <v>1511.29</v>
      </c>
      <c r="K15" s="344">
        <f>'Rel Data'!P6</f>
        <v>429.49</v>
      </c>
      <c r="L15" s="344"/>
      <c r="M15" s="345">
        <f t="shared" si="0"/>
        <v>1.2958539108160709</v>
      </c>
      <c r="N15" s="345">
        <f t="shared" si="1"/>
        <v>11.622256482872247</v>
      </c>
      <c r="O15" s="346">
        <f>'Rel Data'!H6</f>
        <v>33.75</v>
      </c>
    </row>
    <row r="16" spans="2:15" x14ac:dyDescent="0.25">
      <c r="B16" s="349" t="s">
        <v>323</v>
      </c>
      <c r="C16" s="381">
        <f>'Rel Data'!D7</f>
        <v>369.4</v>
      </c>
      <c r="D16" s="381">
        <f>'Rel Data'!J7</f>
        <v>27.4</v>
      </c>
      <c r="E16" s="344">
        <f>'Rel Data'!E7</f>
        <v>10122.299999999999</v>
      </c>
      <c r="F16" s="344">
        <f>'Rel Data'!F7</f>
        <v>4911.1499999999996</v>
      </c>
      <c r="G16" s="344">
        <f>'Rel Data'!K7</f>
        <v>14322.07</v>
      </c>
      <c r="H16" s="344"/>
      <c r="I16" s="344">
        <f>'Rel Data'!M7</f>
        <v>14692.92</v>
      </c>
      <c r="J16" s="344">
        <f>'Rel Data'!Q7</f>
        <v>1677.21</v>
      </c>
      <c r="K16" s="344">
        <f>'Rel Data'!P7</f>
        <v>509.31</v>
      </c>
      <c r="L16" s="344"/>
      <c r="M16" s="345">
        <f t="shared" si="0"/>
        <v>0.97475995241245439</v>
      </c>
      <c r="N16" s="345">
        <f t="shared" si="1"/>
        <v>8.5392228760858799</v>
      </c>
      <c r="O16" s="346">
        <f>'Rel Data'!H7</f>
        <v>19.59</v>
      </c>
    </row>
    <row r="17" spans="2:15" x14ac:dyDescent="0.25">
      <c r="B17" s="349" t="s">
        <v>303</v>
      </c>
      <c r="C17" s="381">
        <f>'Rel Data'!D8</f>
        <v>3187.1</v>
      </c>
      <c r="D17" s="381">
        <f>'Rel Data'!J8</f>
        <v>0.77</v>
      </c>
      <c r="E17" s="344">
        <f>'Rel Data'!E8</f>
        <v>2441.3200000000002</v>
      </c>
      <c r="F17" s="344">
        <f>'Rel Data'!F8</f>
        <v>886.02</v>
      </c>
      <c r="G17" s="344">
        <f>'Rel Data'!K8</f>
        <v>3310.13</v>
      </c>
      <c r="H17" s="344"/>
      <c r="I17" s="344">
        <f>'Rel Data'!M8</f>
        <v>3253.83</v>
      </c>
      <c r="J17" s="344">
        <f>'Rel Data'!Q8</f>
        <v>230.8</v>
      </c>
      <c r="K17" s="344">
        <f>'Rel Data'!P8</f>
        <v>20.52</v>
      </c>
      <c r="L17" s="344"/>
      <c r="M17" s="345">
        <f t="shared" si="0"/>
        <v>1.0173026863726746</v>
      </c>
      <c r="N17" s="345">
        <f t="shared" si="1"/>
        <v>14.341984402079722</v>
      </c>
      <c r="O17" s="346">
        <f>'Rel Data'!H8</f>
        <v>90.65</v>
      </c>
    </row>
    <row r="18" spans="2:15" x14ac:dyDescent="0.25">
      <c r="B18" s="350" t="s">
        <v>324</v>
      </c>
      <c r="C18" s="383">
        <f>'Rel Data'!D9</f>
        <v>1012.45</v>
      </c>
      <c r="D18" s="383">
        <f>'Rel Data'!J9</f>
        <v>2.31</v>
      </c>
      <c r="E18" s="351">
        <f>'Rel Data'!E9</f>
        <v>2335.7199999999998</v>
      </c>
      <c r="F18" s="351">
        <f>'Rel Data'!F9</f>
        <v>29.15</v>
      </c>
      <c r="G18" s="351">
        <f>'Rel Data'!K9</f>
        <v>2170.7199999999998</v>
      </c>
      <c r="H18" s="351"/>
      <c r="I18" s="351">
        <f>'Rel Data'!M9</f>
        <v>2608.0500000000002</v>
      </c>
      <c r="J18" s="351">
        <f>'Rel Data'!Q9</f>
        <v>134.11000000000001</v>
      </c>
      <c r="K18" s="351">
        <f>'Rel Data'!P9</f>
        <v>55.12</v>
      </c>
      <c r="L18" s="351"/>
      <c r="M18" s="352">
        <f t="shared" si="0"/>
        <v>0.83231533137784919</v>
      </c>
      <c r="N18" s="352">
        <f t="shared" si="1"/>
        <v>16.186115875027959</v>
      </c>
      <c r="O18" s="353">
        <f>'Rel Data'!H9</f>
        <v>42.38</v>
      </c>
    </row>
    <row r="19" spans="2:15" x14ac:dyDescent="0.25">
      <c r="B19" s="336"/>
      <c r="C19" s="337"/>
      <c r="D19" s="337"/>
      <c r="E19" s="337"/>
      <c r="F19" s="337"/>
      <c r="G19" s="337"/>
      <c r="H19" s="337"/>
      <c r="I19" s="337"/>
      <c r="J19" s="337"/>
      <c r="K19" s="337"/>
      <c r="L19" s="337"/>
      <c r="M19" s="354"/>
      <c r="N19" s="354"/>
      <c r="O19" s="355"/>
    </row>
    <row r="20" spans="2:15" x14ac:dyDescent="0.25">
      <c r="B20" s="356" t="s">
        <v>325</v>
      </c>
      <c r="C20" s="357"/>
      <c r="D20" s="357"/>
      <c r="E20" s="357"/>
      <c r="F20" s="357"/>
      <c r="G20" s="357"/>
      <c r="H20" s="357"/>
      <c r="I20" s="357"/>
      <c r="J20" s="357"/>
      <c r="K20" s="357"/>
      <c r="L20" s="357"/>
      <c r="M20" s="358">
        <f>MAX(M12:M18)</f>
        <v>5.3845926322993787</v>
      </c>
      <c r="N20" s="358">
        <f>MAX(N12:N18)</f>
        <v>19.978750683686009</v>
      </c>
      <c r="O20" s="359">
        <f>MAX(O12:O18)</f>
        <v>90.65</v>
      </c>
    </row>
    <row r="21" spans="2:15" x14ac:dyDescent="0.25">
      <c r="B21" s="356" t="s">
        <v>326</v>
      </c>
      <c r="C21" s="357"/>
      <c r="D21" s="357"/>
      <c r="E21" s="357"/>
      <c r="F21" s="357"/>
      <c r="G21" s="357"/>
      <c r="H21" s="357"/>
      <c r="I21" s="357"/>
      <c r="J21" s="357"/>
      <c r="K21" s="357"/>
      <c r="L21" s="357"/>
      <c r="M21" s="358">
        <f>QUARTILE(M12:M18,3)</f>
        <v>1.8234714008391695</v>
      </c>
      <c r="N21" s="358">
        <f>QUARTILE(N12:N18,3)</f>
        <v>15.448669576864798</v>
      </c>
      <c r="O21" s="359">
        <f>QUARTILE(O12:O18,3)</f>
        <v>38.67</v>
      </c>
    </row>
    <row r="22" spans="2:15" x14ac:dyDescent="0.25">
      <c r="B22" s="356" t="s">
        <v>129</v>
      </c>
      <c r="C22" s="357"/>
      <c r="D22" s="357"/>
      <c r="E22" s="357"/>
      <c r="F22" s="357"/>
      <c r="G22" s="357"/>
      <c r="H22" s="357"/>
      <c r="I22" s="357"/>
      <c r="J22" s="357"/>
      <c r="K22" s="357"/>
      <c r="L22" s="357"/>
      <c r="M22" s="358">
        <f>AVERAGE(M12:M18)</f>
        <v>1.8709897388189116</v>
      </c>
      <c r="N22" s="358">
        <f>AVERAGE(N12:N18)</f>
        <v>13.458673697841428</v>
      </c>
      <c r="O22" s="359">
        <f>AVERAGE(O12:O18)</f>
        <v>39.765714285714289</v>
      </c>
    </row>
    <row r="23" spans="2:15" x14ac:dyDescent="0.25">
      <c r="B23" s="384" t="s">
        <v>130</v>
      </c>
      <c r="C23" s="357"/>
      <c r="D23" s="357"/>
      <c r="E23" s="357"/>
      <c r="F23" s="357"/>
      <c r="G23" s="357"/>
      <c r="H23" s="357"/>
      <c r="I23" s="357"/>
      <c r="J23" s="357"/>
      <c r="K23" s="357"/>
      <c r="L23" s="357"/>
      <c r="M23" s="358">
        <f>MEDIAN(M12:M18)</f>
        <v>1.2410147675916861</v>
      </c>
      <c r="N23" s="358">
        <f>MEDIAN(N12:N18)</f>
        <v>14.341984402079722</v>
      </c>
      <c r="O23" s="359">
        <f>MEDIAN(O12:O18)</f>
        <v>33.75</v>
      </c>
    </row>
    <row r="24" spans="2:15" x14ac:dyDescent="0.25">
      <c r="B24" s="356" t="s">
        <v>327</v>
      </c>
      <c r="C24" s="357"/>
      <c r="D24" s="357"/>
      <c r="E24" s="357"/>
      <c r="F24" s="357"/>
      <c r="G24" s="357"/>
      <c r="H24" s="357"/>
      <c r="I24" s="357"/>
      <c r="J24" s="357"/>
      <c r="K24" s="357"/>
      <c r="L24" s="357"/>
      <c r="M24" s="358">
        <f>QUARTILE(M12:M18,1)</f>
        <v>0.99603131939256451</v>
      </c>
      <c r="N24" s="358">
        <f>QUARTILE(N12:N18,1)</f>
        <v>10.226709384654395</v>
      </c>
      <c r="O24" s="359">
        <f>QUARTILE(O12:O18,1)</f>
        <v>28.515000000000001</v>
      </c>
    </row>
    <row r="25" spans="2:15" ht="14.4" thickBot="1" x14ac:dyDescent="0.3">
      <c r="B25" s="360" t="s">
        <v>328</v>
      </c>
      <c r="C25" s="361"/>
      <c r="D25" s="361"/>
      <c r="E25" s="361"/>
      <c r="F25" s="361"/>
      <c r="G25" s="361"/>
      <c r="H25" s="361"/>
      <c r="I25" s="361"/>
      <c r="J25" s="361"/>
      <c r="K25" s="361"/>
      <c r="L25" s="361"/>
      <c r="M25" s="362">
        <f>MIN(M12:M18)</f>
        <v>0.83231533137784919</v>
      </c>
      <c r="N25" s="362">
        <f>MIN(N12:N18)</f>
        <v>8.5392228760858799</v>
      </c>
      <c r="O25" s="363">
        <f>MIN(O12:O18)</f>
        <v>19.59</v>
      </c>
    </row>
    <row r="26" spans="2:15" ht="15" thickTop="1" thickBot="1" x14ac:dyDescent="0.3"/>
    <row r="27" spans="2:15" ht="14.4" thickTop="1" x14ac:dyDescent="0.25">
      <c r="B27" s="330" t="s">
        <v>334</v>
      </c>
      <c r="C27" s="331"/>
      <c r="D27" s="331"/>
      <c r="E27" s="331"/>
      <c r="F27" s="331"/>
      <c r="G27" s="331"/>
      <c r="H27" s="331"/>
      <c r="I27" s="331"/>
      <c r="J27" s="331"/>
      <c r="K27" s="331"/>
      <c r="L27" s="331"/>
      <c r="M27" s="331" t="str">
        <f>M10</f>
        <v>EV/Revenue</v>
      </c>
      <c r="N27" s="331" t="str">
        <f>N10</f>
        <v>EV/EBITDA</v>
      </c>
      <c r="O27" s="364" t="str">
        <f>O10</f>
        <v>P/E</v>
      </c>
    </row>
    <row r="28" spans="2:15" x14ac:dyDescent="0.25">
      <c r="B28" s="336"/>
      <c r="C28" s="337"/>
      <c r="D28" s="337"/>
      <c r="E28" s="337"/>
      <c r="F28" s="337"/>
      <c r="G28" s="337"/>
      <c r="H28" s="337"/>
      <c r="I28" s="337"/>
      <c r="J28" s="337"/>
      <c r="K28" s="337"/>
      <c r="L28" s="337"/>
      <c r="M28" s="337"/>
      <c r="N28" s="337"/>
      <c r="O28" s="338"/>
    </row>
    <row r="29" spans="2:15" x14ac:dyDescent="0.25">
      <c r="B29" s="609" t="s">
        <v>329</v>
      </c>
      <c r="C29" s="610"/>
      <c r="D29" s="610"/>
      <c r="E29" s="610"/>
      <c r="F29" s="365"/>
      <c r="G29" s="365"/>
      <c r="H29" s="365"/>
      <c r="I29" s="365"/>
      <c r="J29" s="365"/>
      <c r="K29" s="365"/>
      <c r="L29" s="365"/>
      <c r="M29" s="366">
        <f>M$23*I12</f>
        <v>34937.66824462494</v>
      </c>
      <c r="N29" s="366">
        <f>N23*J12</f>
        <v>64527.743061525136</v>
      </c>
      <c r="O29" s="367">
        <f>O31+O30</f>
        <v>66859.697499999995</v>
      </c>
    </row>
    <row r="30" spans="2:15" x14ac:dyDescent="0.25">
      <c r="B30" s="611" t="s">
        <v>315</v>
      </c>
      <c r="C30" s="612"/>
      <c r="D30" s="612"/>
      <c r="E30" s="612"/>
      <c r="F30" s="368"/>
      <c r="G30" s="368"/>
      <c r="H30" s="368"/>
      <c r="I30" s="368"/>
      <c r="J30" s="368"/>
      <c r="K30" s="368"/>
      <c r="L30" s="368"/>
      <c r="M30" s="369">
        <f>$F$12</f>
        <v>3771.16</v>
      </c>
      <c r="N30" s="369">
        <f>$F$12</f>
        <v>3771.16</v>
      </c>
      <c r="O30" s="370">
        <f>$F$12</f>
        <v>3771.16</v>
      </c>
    </row>
    <row r="31" spans="2:15" x14ac:dyDescent="0.25">
      <c r="B31" s="611" t="s">
        <v>330</v>
      </c>
      <c r="C31" s="612"/>
      <c r="D31" s="612"/>
      <c r="E31" s="612"/>
      <c r="F31" s="368"/>
      <c r="G31" s="368"/>
      <c r="H31" s="368"/>
      <c r="I31" s="368"/>
      <c r="J31" s="368"/>
      <c r="K31" s="368"/>
      <c r="L31" s="368"/>
      <c r="M31" s="369">
        <f>M29-M30</f>
        <v>31166.50824462494</v>
      </c>
      <c r="N31" s="369">
        <f>N29-N30</f>
        <v>60756.583061525133</v>
      </c>
      <c r="O31" s="370">
        <f>O23*K12</f>
        <v>63088.537499999999</v>
      </c>
    </row>
    <row r="32" spans="2:15" x14ac:dyDescent="0.25">
      <c r="B32" s="615" t="s">
        <v>331</v>
      </c>
      <c r="C32" s="616"/>
      <c r="D32" s="616"/>
      <c r="E32" s="616"/>
      <c r="F32" s="371"/>
      <c r="G32" s="371"/>
      <c r="H32" s="371"/>
      <c r="I32" s="371"/>
      <c r="J32" s="371"/>
      <c r="K32" s="371"/>
      <c r="L32" s="371"/>
      <c r="M32" s="372">
        <f>$D$12</f>
        <v>0.42</v>
      </c>
      <c r="N32" s="372">
        <f t="shared" ref="N32:O32" si="2">$D$12</f>
        <v>0.42</v>
      </c>
      <c r="O32" s="373">
        <f t="shared" si="2"/>
        <v>0.42</v>
      </c>
    </row>
    <row r="33" spans="2:15" ht="14.4" thickBot="1" x14ac:dyDescent="0.3">
      <c r="B33" s="617" t="s">
        <v>332</v>
      </c>
      <c r="C33" s="618"/>
      <c r="D33" s="618"/>
      <c r="E33" s="618"/>
      <c r="F33" s="374"/>
      <c r="G33" s="374"/>
      <c r="H33" s="374"/>
      <c r="I33" s="374"/>
      <c r="J33" s="374"/>
      <c r="K33" s="374"/>
      <c r="L33" s="374"/>
      <c r="M33" s="375">
        <f>M31/M32</f>
        <v>74205.972011011763</v>
      </c>
      <c r="N33" s="375">
        <f t="shared" ref="N33:O33" si="3">N31/N32</f>
        <v>144658.53109886937</v>
      </c>
      <c r="O33" s="376">
        <f t="shared" si="3"/>
        <v>150210.80357142858</v>
      </c>
    </row>
    <row r="34" spans="2:15" ht="15" thickTop="1" thickBot="1" x14ac:dyDescent="0.3">
      <c r="B34" s="619" t="s">
        <v>333</v>
      </c>
      <c r="C34" s="620"/>
      <c r="D34" s="377"/>
      <c r="E34" s="377"/>
      <c r="F34" s="377"/>
      <c r="G34" s="377"/>
      <c r="H34" s="377"/>
      <c r="I34" s="377"/>
      <c r="J34" s="377"/>
      <c r="K34" s="377"/>
      <c r="L34" s="377"/>
      <c r="M34" s="377" t="str">
        <f>IF(M33&gt;$C$12, "Under Valued", "Over Valued")</f>
        <v>Over Valued</v>
      </c>
      <c r="N34" s="377" t="str">
        <f>IF(N33&gt;$C$12, "Under Valued", "Over Valued")</f>
        <v>Over Valued</v>
      </c>
      <c r="O34" s="378" t="str">
        <f>IF(O33&gt;$C$12, "Under Valued", "Over Valued")</f>
        <v>Under Valued</v>
      </c>
    </row>
    <row r="35" spans="2:15" ht="14.4" thickTop="1" x14ac:dyDescent="0.25"/>
    <row r="36" spans="2:15" x14ac:dyDescent="0.25">
      <c r="B36" s="326"/>
      <c r="C36" s="326"/>
      <c r="D36" s="326"/>
      <c r="E36" s="326"/>
      <c r="F36" s="326"/>
      <c r="G36" s="326"/>
      <c r="H36" s="326"/>
      <c r="I36" s="326"/>
      <c r="J36" s="326"/>
      <c r="K36" s="326"/>
      <c r="L36" s="326"/>
      <c r="M36" s="326"/>
      <c r="N36" s="326"/>
      <c r="O36" s="326"/>
    </row>
  </sheetData>
  <mergeCells count="10">
    <mergeCell ref="M8:O8"/>
    <mergeCell ref="B31:E31"/>
    <mergeCell ref="B32:E32"/>
    <mergeCell ref="B33:E33"/>
    <mergeCell ref="B34:C34"/>
    <mergeCell ref="B2:K4"/>
    <mergeCell ref="B29:E29"/>
    <mergeCell ref="B30:E30"/>
    <mergeCell ref="C8:G8"/>
    <mergeCell ref="I8:K8"/>
  </mergeCells>
  <pageMargins left="0.7" right="0.7" top="0.75" bottom="0.75" header="0.3" footer="0.3"/>
  <pageSetup paperSize="11" scale="56" orientation="landscape"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
  <sheetViews>
    <sheetView workbookViewId="0"/>
  </sheetViews>
  <sheetFormatPr defaultRowHeight="14.4" x14ac:dyDescent="0.3"/>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48"/>
  <sheetViews>
    <sheetView showGridLines="0" topLeftCell="A25" zoomScaleNormal="100" workbookViewId="0">
      <selection activeCell="O44" sqref="O44"/>
    </sheetView>
  </sheetViews>
  <sheetFormatPr defaultRowHeight="14.4" x14ac:dyDescent="0.3"/>
  <cols>
    <col min="1" max="1" width="1.88671875" style="14" customWidth="1"/>
    <col min="2" max="2" width="23.88671875" style="14" customWidth="1"/>
    <col min="3" max="3" width="8.77734375" style="14" customWidth="1"/>
    <col min="4" max="4" width="12.109375" style="14" bestFit="1" customWidth="1"/>
    <col min="5" max="5" width="10" style="14" customWidth="1"/>
    <col min="6" max="8" width="8.77734375" style="14" customWidth="1"/>
    <col min="9" max="9" width="10.44140625" style="14" bestFit="1" customWidth="1"/>
    <col min="10" max="10" width="12.6640625" style="14" bestFit="1" customWidth="1"/>
    <col min="11" max="16384" width="8.88671875" style="14"/>
  </cols>
  <sheetData>
    <row r="1" spans="2:13" x14ac:dyDescent="0.3">
      <c r="B1" s="269"/>
      <c r="C1" s="269"/>
      <c r="D1" s="269"/>
      <c r="E1" s="269"/>
      <c r="F1" s="269"/>
      <c r="G1" s="269"/>
      <c r="H1" s="269"/>
      <c r="I1" s="269"/>
      <c r="J1" s="269"/>
      <c r="K1" s="21"/>
      <c r="L1" s="21"/>
    </row>
    <row r="2" spans="2:13" x14ac:dyDescent="0.3">
      <c r="B2" s="529" t="s">
        <v>278</v>
      </c>
      <c r="C2" s="529"/>
      <c r="D2" s="529"/>
      <c r="E2" s="529"/>
      <c r="F2" s="529"/>
      <c r="G2" s="529"/>
      <c r="H2" s="529"/>
      <c r="I2" s="529"/>
      <c r="J2" s="529"/>
      <c r="K2" s="21"/>
      <c r="L2" s="21"/>
    </row>
    <row r="3" spans="2:13" x14ac:dyDescent="0.3">
      <c r="B3" s="529"/>
      <c r="C3" s="529"/>
      <c r="D3" s="529"/>
      <c r="E3" s="529"/>
      <c r="F3" s="529"/>
      <c r="G3" s="529"/>
      <c r="H3" s="529"/>
      <c r="I3" s="529"/>
      <c r="J3" s="529"/>
      <c r="K3" s="21"/>
      <c r="L3" s="21"/>
    </row>
    <row r="4" spans="2:13" x14ac:dyDescent="0.3">
      <c r="B4" s="529"/>
      <c r="C4" s="529"/>
      <c r="D4" s="529"/>
      <c r="E4" s="529"/>
      <c r="F4" s="529"/>
      <c r="G4" s="529"/>
      <c r="H4" s="529"/>
      <c r="I4" s="529"/>
      <c r="J4" s="529"/>
      <c r="K4" s="21"/>
      <c r="L4" s="21"/>
    </row>
    <row r="5" spans="2:13" ht="28.8" x14ac:dyDescent="0.55000000000000004">
      <c r="B5" s="106"/>
      <c r="C5" s="106"/>
      <c r="D5" s="106"/>
      <c r="E5" s="106"/>
      <c r="F5" s="106"/>
      <c r="G5" s="106"/>
      <c r="H5" s="106"/>
      <c r="I5" s="106"/>
      <c r="J5" s="106"/>
      <c r="K5" s="160">
        <v>4.5</v>
      </c>
      <c r="L5" s="21"/>
    </row>
    <row r="6" spans="2:13" x14ac:dyDescent="0.3">
      <c r="B6" s="269"/>
      <c r="C6" s="269"/>
      <c r="D6" s="269"/>
      <c r="E6" s="269"/>
      <c r="F6" s="94"/>
      <c r="G6" s="94"/>
      <c r="H6" s="94"/>
      <c r="I6" s="94"/>
      <c r="J6" s="94"/>
      <c r="K6" s="160"/>
      <c r="L6" s="21"/>
      <c r="M6" s="61"/>
    </row>
    <row r="7" spans="2:13" x14ac:dyDescent="0.3">
      <c r="B7" s="19" t="s">
        <v>116</v>
      </c>
      <c r="J7" s="51">
        <v>0.16619999999999999</v>
      </c>
    </row>
    <row r="8" spans="2:13" ht="15" thickBot="1" x14ac:dyDescent="0.35"/>
    <row r="9" spans="2:13" ht="15" thickTop="1" x14ac:dyDescent="0.3">
      <c r="B9" s="206" t="s">
        <v>117</v>
      </c>
      <c r="C9" s="207"/>
      <c r="D9" s="207"/>
      <c r="E9" s="207"/>
      <c r="F9" s="207"/>
      <c r="G9" s="207"/>
      <c r="H9" s="207"/>
      <c r="I9" s="207"/>
      <c r="J9" s="208"/>
    </row>
    <row r="10" spans="2:13" x14ac:dyDescent="0.3">
      <c r="B10" s="532" t="s">
        <v>118</v>
      </c>
      <c r="C10" s="534" t="s">
        <v>119</v>
      </c>
      <c r="D10" s="534" t="s">
        <v>120</v>
      </c>
      <c r="E10" s="534" t="s">
        <v>121</v>
      </c>
      <c r="F10" s="534" t="s">
        <v>122</v>
      </c>
      <c r="G10" s="22" t="s">
        <v>123</v>
      </c>
      <c r="H10" s="22" t="s">
        <v>123</v>
      </c>
      <c r="I10" s="22" t="s">
        <v>124</v>
      </c>
      <c r="J10" s="209" t="s">
        <v>125</v>
      </c>
    </row>
    <row r="11" spans="2:13" ht="15" x14ac:dyDescent="0.3">
      <c r="B11" s="533"/>
      <c r="C11" s="535"/>
      <c r="D11" s="535"/>
      <c r="E11" s="535"/>
      <c r="F11" s="535"/>
      <c r="G11" s="23" t="s">
        <v>126</v>
      </c>
      <c r="H11" s="23" t="s">
        <v>127</v>
      </c>
      <c r="I11" s="23" t="s">
        <v>279</v>
      </c>
      <c r="J11" s="210" t="s">
        <v>280</v>
      </c>
    </row>
    <row r="12" spans="2:13" x14ac:dyDescent="0.3">
      <c r="B12" s="211"/>
      <c r="C12" s="212"/>
      <c r="D12" s="212"/>
      <c r="E12" s="212"/>
      <c r="F12" s="212"/>
      <c r="G12" s="212"/>
      <c r="H12" s="212"/>
      <c r="I12" s="212"/>
      <c r="J12" s="213"/>
    </row>
    <row r="13" spans="2:13" x14ac:dyDescent="0.3">
      <c r="B13" s="214" t="s">
        <v>34</v>
      </c>
      <c r="C13" s="215" t="s">
        <v>128</v>
      </c>
      <c r="D13" s="270">
        <v>3771.16</v>
      </c>
      <c r="E13" s="270">
        <v>62794.36</v>
      </c>
      <c r="F13" s="216">
        <v>0.25</v>
      </c>
      <c r="G13" s="271">
        <v>0.2</v>
      </c>
      <c r="H13" s="217">
        <f>D13/(SUM(D13:E13))</f>
        <v>5.6653354469400972E-2</v>
      </c>
      <c r="I13" s="270">
        <v>1.31</v>
      </c>
      <c r="J13" s="218">
        <f>IFERROR(LeveredBeta2/1+(1-TaxRate)*DebtToEquity,0)</f>
        <v>1.46</v>
      </c>
    </row>
    <row r="14" spans="2:13" x14ac:dyDescent="0.3">
      <c r="B14" s="214" t="s">
        <v>258</v>
      </c>
      <c r="C14" s="215" t="s">
        <v>128</v>
      </c>
      <c r="D14" s="270">
        <v>3267.45</v>
      </c>
      <c r="E14" s="270">
        <v>53071.37</v>
      </c>
      <c r="F14" s="216">
        <v>0.22</v>
      </c>
      <c r="G14" s="271">
        <v>0.31</v>
      </c>
      <c r="H14" s="217">
        <f t="shared" ref="H14:H17" si="0">D14/(SUM(D14:E14))</f>
        <v>5.7996422360283725E-2</v>
      </c>
      <c r="I14" s="215">
        <v>0.93400000000000005</v>
      </c>
      <c r="J14" s="218">
        <f>IFERROR(LeveredBeta2/1+(1-TaxRate)*DebtToEquity,0)</f>
        <v>1.1758000000000002</v>
      </c>
    </row>
    <row r="15" spans="2:13" x14ac:dyDescent="0.3">
      <c r="B15" s="214" t="s">
        <v>259</v>
      </c>
      <c r="C15" s="215" t="s">
        <v>128</v>
      </c>
      <c r="D15" s="270">
        <v>4410.43</v>
      </c>
      <c r="E15" s="270">
        <v>28906.62</v>
      </c>
      <c r="F15" s="216">
        <v>0.27500000000000002</v>
      </c>
      <c r="G15" s="271">
        <v>0.3</v>
      </c>
      <c r="H15" s="217">
        <f t="shared" si="0"/>
        <v>0.13237756644120652</v>
      </c>
      <c r="I15" s="270">
        <v>1.5</v>
      </c>
      <c r="J15" s="218">
        <f>IFERROR(LeveredBeta2/1+(1-TaxRate)*DebtToEquity,0)</f>
        <v>1.7175</v>
      </c>
    </row>
    <row r="16" spans="2:13" x14ac:dyDescent="0.3">
      <c r="B16" s="214" t="s">
        <v>260</v>
      </c>
      <c r="C16" s="215" t="s">
        <v>128</v>
      </c>
      <c r="D16" s="270">
        <v>2136.38</v>
      </c>
      <c r="E16" s="270">
        <v>15481.46</v>
      </c>
      <c r="F16" s="216">
        <v>0.25</v>
      </c>
      <c r="G16" s="271">
        <v>0.49</v>
      </c>
      <c r="H16" s="217">
        <f t="shared" si="0"/>
        <v>0.12126231138436948</v>
      </c>
      <c r="I16" s="270">
        <v>1.76</v>
      </c>
      <c r="J16" s="218">
        <f>IFERROR(LeveredBeta2/1+(1-TaxRate)*DebtToEquity,0)</f>
        <v>2.1274999999999999</v>
      </c>
    </row>
    <row r="17" spans="2:10" ht="15" thickBot="1" x14ac:dyDescent="0.35">
      <c r="B17" s="219" t="s">
        <v>261</v>
      </c>
      <c r="C17" s="220" t="s">
        <v>128</v>
      </c>
      <c r="D17" s="272">
        <v>4911.1499999999996</v>
      </c>
      <c r="E17" s="272">
        <v>10122.299999999999</v>
      </c>
      <c r="F17" s="221">
        <v>0.25</v>
      </c>
      <c r="G17" s="273">
        <v>1.01</v>
      </c>
      <c r="H17" s="222">
        <f t="shared" si="0"/>
        <v>0.3266815002544326</v>
      </c>
      <c r="I17" s="220">
        <v>1.66</v>
      </c>
      <c r="J17" s="223">
        <f>IFERROR(LeveredBeta2/1+(1-TaxRate)*DebtToEquity,0)</f>
        <v>2.4175</v>
      </c>
    </row>
    <row r="18" spans="2:10" ht="15.6" thickTop="1" thickBot="1" x14ac:dyDescent="0.35"/>
    <row r="19" spans="2:10" ht="15" thickTop="1" x14ac:dyDescent="0.3">
      <c r="E19" s="224" t="s">
        <v>129</v>
      </c>
      <c r="F19" s="225">
        <f>IFERROR(AVERAGE(F13:F17),0)</f>
        <v>0.24900000000000003</v>
      </c>
      <c r="G19" s="225">
        <f t="shared" ref="G19:J19" si="1">IFERROR(AVERAGE(G13:G17),0)</f>
        <v>0.46200000000000002</v>
      </c>
      <c r="H19" s="225">
        <f t="shared" si="1"/>
        <v>0.13899423098193867</v>
      </c>
      <c r="I19" s="226">
        <f t="shared" si="1"/>
        <v>1.4328000000000001</v>
      </c>
      <c r="J19" s="227">
        <f t="shared" si="1"/>
        <v>1.7796600000000002</v>
      </c>
    </row>
    <row r="20" spans="2:10" ht="15" thickBot="1" x14ac:dyDescent="0.35">
      <c r="E20" s="228" t="s">
        <v>130</v>
      </c>
      <c r="F20" s="229">
        <f>IFERROR(MEDIAN(F13:F17),0)</f>
        <v>0.25</v>
      </c>
      <c r="G20" s="229">
        <f t="shared" ref="G20:J20" si="2">IFERROR(MEDIAN(G13:G17),0)</f>
        <v>0.31</v>
      </c>
      <c r="H20" s="229">
        <f t="shared" si="2"/>
        <v>0.12126231138436948</v>
      </c>
      <c r="I20" s="230">
        <f t="shared" si="2"/>
        <v>1.5</v>
      </c>
      <c r="J20" s="231">
        <f t="shared" si="2"/>
        <v>1.7175</v>
      </c>
    </row>
    <row r="21" spans="2:10" ht="15" thickTop="1" x14ac:dyDescent="0.3"/>
    <row r="22" spans="2:10" ht="15" thickBot="1" x14ac:dyDescent="0.35"/>
    <row r="23" spans="2:10" ht="15" thickTop="1" x14ac:dyDescent="0.3">
      <c r="B23" s="232" t="s">
        <v>131</v>
      </c>
      <c r="C23" s="233"/>
      <c r="D23" s="234"/>
      <c r="E23" s="235"/>
      <c r="F23" s="24"/>
      <c r="G23" s="242" t="s">
        <v>132</v>
      </c>
      <c r="H23" s="234"/>
      <c r="I23" s="234"/>
      <c r="J23" s="235"/>
    </row>
    <row r="24" spans="2:10" x14ac:dyDescent="0.3">
      <c r="B24" s="236"/>
      <c r="C24" s="237"/>
      <c r="D24" s="238"/>
      <c r="E24" s="239"/>
      <c r="F24" s="24"/>
      <c r="G24" s="243"/>
      <c r="H24" s="238"/>
      <c r="I24" s="238"/>
      <c r="J24" s="239"/>
    </row>
    <row r="25" spans="2:10" x14ac:dyDescent="0.3">
      <c r="B25" s="536" t="s">
        <v>133</v>
      </c>
      <c r="C25" s="537"/>
      <c r="D25" s="537"/>
      <c r="E25" s="240">
        <f>IFERROR('Historical FS'!L25/'Historical FS'!L53,0)</f>
        <v>9.7521717455636994E-2</v>
      </c>
      <c r="F25" s="24"/>
      <c r="G25" s="525" t="s">
        <v>134</v>
      </c>
      <c r="H25" s="526"/>
      <c r="I25" s="526"/>
      <c r="J25" s="244">
        <v>6.3100000000000003E-2</v>
      </c>
    </row>
    <row r="26" spans="2:10" x14ac:dyDescent="0.3">
      <c r="B26" s="236" t="s">
        <v>135</v>
      </c>
      <c r="C26" s="237"/>
      <c r="D26" s="238"/>
      <c r="E26" s="241">
        <f>F20</f>
        <v>0.25</v>
      </c>
      <c r="F26" s="24"/>
      <c r="G26" s="525" t="s">
        <v>136</v>
      </c>
      <c r="H26" s="526"/>
      <c r="I26" s="526"/>
      <c r="J26" s="245">
        <f>Rm!H8-RiskFreeRate</f>
        <v>0.10314799999999995</v>
      </c>
    </row>
    <row r="27" spans="2:10" ht="15.6" thickBot="1" x14ac:dyDescent="0.35">
      <c r="B27" s="538" t="s">
        <v>137</v>
      </c>
      <c r="C27" s="539"/>
      <c r="D27" s="539"/>
      <c r="E27" s="264">
        <f>IFERROR(E25*(1-E26),0)</f>
        <v>7.3141288091727749E-2</v>
      </c>
      <c r="F27" s="24"/>
      <c r="G27" s="540" t="s">
        <v>281</v>
      </c>
      <c r="H27" s="541"/>
      <c r="I27" s="541"/>
      <c r="J27" s="246">
        <f>J36</f>
        <v>1.5680676957915953</v>
      </c>
    </row>
    <row r="28" spans="2:10" ht="15.6" thickTop="1" thickBot="1" x14ac:dyDescent="0.35">
      <c r="B28" s="74"/>
      <c r="C28" s="74"/>
      <c r="D28" s="24"/>
      <c r="E28" s="24"/>
      <c r="F28" s="24"/>
      <c r="G28" s="542" t="s">
        <v>132</v>
      </c>
      <c r="H28" s="543"/>
      <c r="I28" s="543"/>
      <c r="J28" s="264">
        <f>IFERROR(RiskFreeRate+(EquityRiskPremium*LeveredBeta4),0)</f>
        <v>0.22484304668551142</v>
      </c>
    </row>
    <row r="29" spans="2:10" ht="15" thickTop="1" x14ac:dyDescent="0.3">
      <c r="B29" s="74"/>
      <c r="C29" s="74"/>
      <c r="D29" s="24"/>
      <c r="E29" s="24"/>
      <c r="F29" s="24"/>
      <c r="G29" s="73"/>
      <c r="H29" s="73"/>
      <c r="I29" s="73"/>
      <c r="J29" s="24"/>
    </row>
    <row r="30" spans="2:10" ht="15" thickBot="1" x14ac:dyDescent="0.35">
      <c r="B30" s="74"/>
      <c r="C30" s="74"/>
      <c r="D30" s="24"/>
      <c r="E30" s="24"/>
      <c r="F30" s="24"/>
      <c r="G30" s="73"/>
      <c r="H30" s="73"/>
      <c r="I30" s="73"/>
      <c r="J30" s="24"/>
    </row>
    <row r="31" spans="2:10" ht="15" thickTop="1" x14ac:dyDescent="0.3">
      <c r="B31" s="232" t="s">
        <v>138</v>
      </c>
      <c r="C31" s="233"/>
      <c r="D31" s="234"/>
      <c r="E31" s="235"/>
      <c r="F31" s="24"/>
      <c r="G31" s="242" t="s">
        <v>139</v>
      </c>
      <c r="H31" s="254"/>
      <c r="I31" s="254"/>
      <c r="J31" s="235"/>
    </row>
    <row r="32" spans="2:10" x14ac:dyDescent="0.3">
      <c r="B32" s="236"/>
      <c r="C32" s="237"/>
      <c r="D32" s="238"/>
      <c r="E32" s="239"/>
      <c r="F32" s="24"/>
      <c r="G32" s="255"/>
      <c r="H32" s="256"/>
      <c r="I32" s="256"/>
      <c r="J32" s="239"/>
    </row>
    <row r="33" spans="2:10" x14ac:dyDescent="0.3">
      <c r="B33" s="236"/>
      <c r="C33" s="237"/>
      <c r="D33" s="247" t="s">
        <v>140</v>
      </c>
      <c r="E33" s="248" t="s">
        <v>141</v>
      </c>
      <c r="F33" s="24"/>
      <c r="G33" s="525" t="s">
        <v>142</v>
      </c>
      <c r="H33" s="526"/>
      <c r="I33" s="526"/>
      <c r="J33" s="257">
        <f>J20</f>
        <v>1.7175</v>
      </c>
    </row>
    <row r="34" spans="2:10" x14ac:dyDescent="0.3">
      <c r="B34" s="236" t="s">
        <v>120</v>
      </c>
      <c r="C34" s="249">
        <f>D13</f>
        <v>3771.16</v>
      </c>
      <c r="D34" s="250">
        <f>IFERROR(C34/$C$35,0)</f>
        <v>6.0055712009804696E-2</v>
      </c>
      <c r="E34" s="251">
        <f>H20</f>
        <v>0.12126231138436948</v>
      </c>
      <c r="F34" s="24"/>
      <c r="G34" s="525" t="s">
        <v>143</v>
      </c>
      <c r="H34" s="526"/>
      <c r="I34" s="526"/>
      <c r="J34" s="245">
        <f>DebtWeight</f>
        <v>0.12126231138436948</v>
      </c>
    </row>
    <row r="35" spans="2:10" x14ac:dyDescent="0.3">
      <c r="B35" s="236" t="s">
        <v>144</v>
      </c>
      <c r="C35" s="249">
        <f>E13</f>
        <v>62794.36</v>
      </c>
      <c r="D35" s="250">
        <f>IFERROR(C35/$C$35,0)</f>
        <v>1</v>
      </c>
      <c r="E35" s="241">
        <f>IFERROR(E36-E34,0)</f>
        <v>0.87873768861563051</v>
      </c>
      <c r="F35" s="24"/>
      <c r="G35" s="525" t="s">
        <v>135</v>
      </c>
      <c r="H35" s="526"/>
      <c r="I35" s="526"/>
      <c r="J35" s="241">
        <f>F20</f>
        <v>0.25</v>
      </c>
    </row>
    <row r="36" spans="2:10" ht="15" thickBot="1" x14ac:dyDescent="0.35">
      <c r="B36" s="252" t="s">
        <v>145</v>
      </c>
      <c r="C36" s="75">
        <f>IFERROR(SUM(C34:C35),0)</f>
        <v>66565.52</v>
      </c>
      <c r="D36" s="25">
        <f>C36/$C$36</f>
        <v>1</v>
      </c>
      <c r="E36" s="253">
        <f>D36</f>
        <v>1</v>
      </c>
      <c r="F36" s="24"/>
      <c r="G36" s="527" t="s">
        <v>139</v>
      </c>
      <c r="H36" s="528"/>
      <c r="I36" s="528"/>
      <c r="J36" s="263">
        <f>IFERROR(CompsUnleveredBeta*(1+(1-CompsUnleveredBeta)*TargetDebtToEquity),0)</f>
        <v>1.5680676957915953</v>
      </c>
    </row>
    <row r="37" spans="2:10" ht="15.6" thickTop="1" thickBot="1" x14ac:dyDescent="0.35">
      <c r="B37" s="236"/>
      <c r="C37" s="237"/>
      <c r="D37" s="238"/>
      <c r="E37" s="239"/>
      <c r="F37" s="24"/>
      <c r="G37" s="73"/>
      <c r="H37" s="73"/>
      <c r="I37" s="73"/>
      <c r="J37" s="24"/>
    </row>
    <row r="38" spans="2:10" ht="15.6" thickTop="1" thickBot="1" x14ac:dyDescent="0.35">
      <c r="B38" s="265" t="s">
        <v>146</v>
      </c>
      <c r="C38" s="266"/>
      <c r="D38" s="267">
        <f>IFERROR(D34/D35,0)</f>
        <v>6.0055712009804696E-2</v>
      </c>
      <c r="E38" s="268">
        <f>IFERROR(E34/E35,0)</f>
        <v>0.13799602879831746</v>
      </c>
      <c r="F38" s="24"/>
      <c r="G38" s="242" t="s">
        <v>147</v>
      </c>
      <c r="H38" s="258"/>
      <c r="I38" s="258"/>
      <c r="J38" s="259"/>
    </row>
    <row r="39" spans="2:10" ht="15" thickTop="1" x14ac:dyDescent="0.3">
      <c r="B39" s="74"/>
      <c r="C39" s="74"/>
      <c r="D39" s="24"/>
      <c r="E39" s="24"/>
      <c r="F39" s="24"/>
      <c r="G39" s="255"/>
      <c r="H39" s="256"/>
      <c r="I39" s="256"/>
      <c r="J39" s="239"/>
    </row>
    <row r="40" spans="2:10" x14ac:dyDescent="0.3">
      <c r="B40" s="274" t="s">
        <v>282</v>
      </c>
      <c r="C40" s="74"/>
      <c r="D40" s="24"/>
      <c r="E40" s="24"/>
      <c r="F40" s="24"/>
      <c r="G40" s="525" t="s">
        <v>132</v>
      </c>
      <c r="H40" s="526"/>
      <c r="I40" s="526"/>
      <c r="J40" s="240">
        <f>J28</f>
        <v>0.22484304668551142</v>
      </c>
    </row>
    <row r="41" spans="2:10" ht="29.4" customHeight="1" x14ac:dyDescent="0.3">
      <c r="B41" s="530" t="s">
        <v>283</v>
      </c>
      <c r="C41" s="530"/>
      <c r="D41" s="530"/>
      <c r="E41" s="530"/>
      <c r="F41" s="531"/>
      <c r="G41" s="525" t="s">
        <v>148</v>
      </c>
      <c r="H41" s="526"/>
      <c r="I41" s="526"/>
      <c r="J41" s="241">
        <f>E35</f>
        <v>0.87873768861563051</v>
      </c>
    </row>
    <row r="42" spans="2:10" ht="30" customHeight="1" x14ac:dyDescent="0.3">
      <c r="B42" s="530" t="s">
        <v>284</v>
      </c>
      <c r="C42" s="530"/>
      <c r="D42" s="530"/>
      <c r="E42" s="530"/>
      <c r="F42" s="531"/>
      <c r="G42" s="255"/>
      <c r="H42" s="256"/>
      <c r="I42" s="256"/>
      <c r="J42" s="239"/>
    </row>
    <row r="43" spans="2:10" x14ac:dyDescent="0.3">
      <c r="B43" s="74"/>
      <c r="C43" s="74"/>
      <c r="D43" s="24"/>
      <c r="E43" s="24"/>
      <c r="F43" s="24"/>
      <c r="G43" s="525" t="s">
        <v>149</v>
      </c>
      <c r="H43" s="526"/>
      <c r="I43" s="526"/>
      <c r="J43" s="245">
        <f>E27</f>
        <v>7.3141288091727749E-2</v>
      </c>
    </row>
    <row r="44" spans="2:10" ht="28.8" customHeight="1" x14ac:dyDescent="0.3">
      <c r="B44" s="74"/>
      <c r="C44" s="74"/>
      <c r="D44" s="24"/>
      <c r="E44" s="24"/>
      <c r="F44" s="24"/>
      <c r="G44" s="525" t="s">
        <v>150</v>
      </c>
      <c r="H44" s="526"/>
      <c r="I44" s="526"/>
      <c r="J44" s="241">
        <f>E34</f>
        <v>0.12126231138436948</v>
      </c>
    </row>
    <row r="45" spans="2:10" x14ac:dyDescent="0.3">
      <c r="B45" s="74"/>
      <c r="C45" s="74"/>
      <c r="D45" s="24"/>
      <c r="E45" s="24"/>
      <c r="F45" s="24"/>
      <c r="G45" s="255"/>
      <c r="H45" s="256"/>
      <c r="I45" s="256"/>
      <c r="J45" s="239"/>
    </row>
    <row r="46" spans="2:10" ht="15" thickBot="1" x14ac:dyDescent="0.35">
      <c r="B46" s="74"/>
      <c r="C46" s="74"/>
      <c r="D46" s="24"/>
      <c r="E46" s="24"/>
      <c r="F46" s="24"/>
      <c r="G46" s="260" t="s">
        <v>151</v>
      </c>
      <c r="H46" s="261"/>
      <c r="I46" s="261"/>
      <c r="J46" s="262">
        <f>IFERROR((CostOfEquity*EquityWeight)+(CostOfDebt*DebtWeight),0)</f>
        <v>0.20644734079735558</v>
      </c>
    </row>
    <row r="47" spans="2:10" ht="15" thickTop="1" x14ac:dyDescent="0.3"/>
    <row r="48" spans="2:10" x14ac:dyDescent="0.3">
      <c r="B48" s="269"/>
      <c r="C48" s="269"/>
      <c r="D48" s="269"/>
      <c r="E48" s="269"/>
      <c r="F48" s="269"/>
      <c r="G48" s="269"/>
      <c r="H48" s="269"/>
      <c r="I48" s="269"/>
      <c r="J48" s="269"/>
    </row>
  </sheetData>
  <mergeCells count="22">
    <mergeCell ref="B2:J4"/>
    <mergeCell ref="B41:F41"/>
    <mergeCell ref="B42:F42"/>
    <mergeCell ref="G33:I33"/>
    <mergeCell ref="B10:B11"/>
    <mergeCell ref="C10:C11"/>
    <mergeCell ref="D10:D11"/>
    <mergeCell ref="E10:E11"/>
    <mergeCell ref="F10:F11"/>
    <mergeCell ref="B25:D25"/>
    <mergeCell ref="G25:I25"/>
    <mergeCell ref="G26:I26"/>
    <mergeCell ref="B27:D27"/>
    <mergeCell ref="G27:I27"/>
    <mergeCell ref="G28:I28"/>
    <mergeCell ref="G44:I44"/>
    <mergeCell ref="G34:I34"/>
    <mergeCell ref="G35:I35"/>
    <mergeCell ref="G36:I36"/>
    <mergeCell ref="G40:I40"/>
    <mergeCell ref="G41:I41"/>
    <mergeCell ref="G43:I43"/>
  </mergeCells>
  <pageMargins left="0.7" right="0.7" top="0.75" bottom="0.75" header="0.3" footer="0.3"/>
  <pageSetup scale="85" orientation="portrait" r:id="rId1"/>
  <colBreaks count="1" manualBreakCount="1">
    <brk id="10" max="1048575" man="1"/>
  </colBreaks>
  <ignoredErrors>
    <ignoredError sqref="H13:H17" formulaRange="1"/>
  </ignoredError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70"/>
  <sheetViews>
    <sheetView showGridLines="0" topLeftCell="A38" zoomScaleNormal="100" workbookViewId="0">
      <selection activeCell="K46" sqref="K46"/>
    </sheetView>
  </sheetViews>
  <sheetFormatPr defaultRowHeight="14.4" x14ac:dyDescent="0.3"/>
  <cols>
    <col min="1" max="1" width="1.88671875" customWidth="1"/>
    <col min="7" max="7" width="21" bestFit="1" customWidth="1"/>
    <col min="8" max="8" width="19.88671875" bestFit="1" customWidth="1"/>
    <col min="9" max="10" width="19.21875" bestFit="1" customWidth="1"/>
  </cols>
  <sheetData>
    <row r="1" spans="2:12" x14ac:dyDescent="0.3">
      <c r="B1" s="100"/>
      <c r="C1" s="100"/>
      <c r="D1" s="100"/>
      <c r="E1" s="100"/>
      <c r="F1" s="100"/>
      <c r="G1" s="100"/>
      <c r="H1" s="100"/>
      <c r="I1" s="100"/>
      <c r="J1" s="100"/>
      <c r="K1" s="101"/>
      <c r="L1" s="101"/>
    </row>
    <row r="2" spans="2:12" x14ac:dyDescent="0.3">
      <c r="B2" s="529" t="s">
        <v>277</v>
      </c>
      <c r="C2" s="529"/>
      <c r="D2" s="529"/>
      <c r="E2" s="529"/>
      <c r="F2" s="529"/>
      <c r="G2" s="529"/>
      <c r="H2" s="529"/>
      <c r="I2" s="529"/>
      <c r="J2" s="529"/>
      <c r="K2" s="101"/>
      <c r="L2" s="101"/>
    </row>
    <row r="3" spans="2:12" ht="21" customHeight="1" x14ac:dyDescent="0.3">
      <c r="B3" s="529"/>
      <c r="C3" s="529"/>
      <c r="D3" s="529"/>
      <c r="E3" s="529"/>
      <c r="F3" s="529"/>
      <c r="G3" s="529"/>
      <c r="H3" s="529"/>
      <c r="I3" s="529"/>
      <c r="J3" s="529"/>
      <c r="K3" s="101"/>
      <c r="L3" s="101"/>
    </row>
    <row r="4" spans="2:12" x14ac:dyDescent="0.3">
      <c r="B4" s="529"/>
      <c r="C4" s="529"/>
      <c r="D4" s="529"/>
      <c r="E4" s="529"/>
      <c r="F4" s="529"/>
      <c r="G4" s="529"/>
      <c r="H4" s="529"/>
      <c r="I4" s="529"/>
      <c r="J4" s="529"/>
      <c r="K4" s="101"/>
      <c r="L4" s="101"/>
    </row>
    <row r="5" spans="2:12" ht="16.2" customHeight="1" x14ac:dyDescent="0.55000000000000004">
      <c r="B5" s="106"/>
      <c r="C5" s="106"/>
      <c r="D5" s="106"/>
      <c r="E5" s="106"/>
      <c r="F5" s="106"/>
      <c r="G5" s="106"/>
      <c r="H5" s="106"/>
      <c r="I5" s="106"/>
      <c r="J5" s="106"/>
      <c r="K5" s="160">
        <v>4.5</v>
      </c>
      <c r="L5" s="101"/>
    </row>
    <row r="6" spans="2:12" ht="3.6" customHeight="1" x14ac:dyDescent="0.3">
      <c r="B6" s="100"/>
      <c r="C6" s="100"/>
      <c r="D6" s="100"/>
      <c r="E6" s="100"/>
      <c r="F6" s="94"/>
      <c r="G6" s="94"/>
      <c r="H6" s="94"/>
      <c r="I6" s="94"/>
      <c r="J6" s="94"/>
      <c r="K6" s="160"/>
      <c r="L6" s="101"/>
    </row>
    <row r="7" spans="2:12" ht="15" thickBot="1" x14ac:dyDescent="0.35">
      <c r="B7" s="19" t="s">
        <v>116</v>
      </c>
      <c r="F7" s="96"/>
      <c r="G7" s="96">
        <v>0</v>
      </c>
      <c r="H7" s="96">
        <v>0.5</v>
      </c>
      <c r="I7" s="96">
        <v>1.5</v>
      </c>
      <c r="J7" s="96">
        <v>2.5</v>
      </c>
      <c r="K7" s="96">
        <v>3.5</v>
      </c>
      <c r="L7" s="96">
        <v>4.5</v>
      </c>
    </row>
    <row r="8" spans="2:12" ht="15" thickTop="1" x14ac:dyDescent="0.3">
      <c r="B8" s="161" t="s">
        <v>152</v>
      </c>
      <c r="C8" s="116"/>
      <c r="D8" s="116"/>
      <c r="E8" s="116"/>
      <c r="F8" s="162">
        <f>'[1]Historical FS'!H7</f>
        <v>44286</v>
      </c>
      <c r="G8" s="162">
        <f>'[1]Historical FS'!I7</f>
        <v>44651</v>
      </c>
      <c r="H8" s="162">
        <f>'[1]Historical FS'!J7</f>
        <v>45016</v>
      </c>
      <c r="I8" s="162">
        <f>'[1]Historical FS'!K7</f>
        <v>45382</v>
      </c>
      <c r="J8" s="163">
        <f>'[1]Historical FS'!L7</f>
        <v>45747</v>
      </c>
    </row>
    <row r="9" spans="2:12" x14ac:dyDescent="0.3">
      <c r="B9" s="120"/>
      <c r="C9" s="95"/>
      <c r="D9" s="95"/>
      <c r="E9" s="95"/>
      <c r="F9" s="95"/>
      <c r="G9" s="95"/>
      <c r="H9" s="95"/>
      <c r="I9" s="95"/>
      <c r="J9" s="119"/>
    </row>
    <row r="10" spans="2:12" x14ac:dyDescent="0.3">
      <c r="B10" s="118" t="s">
        <v>153</v>
      </c>
      <c r="C10" s="95"/>
      <c r="D10" s="95"/>
      <c r="E10" s="95"/>
      <c r="F10" s="95"/>
      <c r="G10" s="95"/>
      <c r="H10" s="95"/>
      <c r="I10" s="95"/>
      <c r="J10" s="119"/>
    </row>
    <row r="11" spans="2:12" x14ac:dyDescent="0.3">
      <c r="B11" s="555" t="s">
        <v>154</v>
      </c>
      <c r="C11" s="556"/>
      <c r="D11" s="556"/>
      <c r="E11" s="556"/>
      <c r="F11" s="37">
        <f>'Raw Balance Sheet'!B31</f>
        <v>2939</v>
      </c>
      <c r="G11" s="37">
        <f>'Raw Balance Sheet'!C31</f>
        <v>4130</v>
      </c>
      <c r="H11" s="37">
        <f>'Raw Balance Sheet'!D31</f>
        <v>4141</v>
      </c>
      <c r="I11" s="37">
        <f>'Raw Balance Sheet'!E31</f>
        <v>4469</v>
      </c>
      <c r="J11" s="164">
        <f>'Raw Balance Sheet'!F31</f>
        <v>5625</v>
      </c>
    </row>
    <row r="12" spans="2:12" x14ac:dyDescent="0.3">
      <c r="B12" s="589" t="s">
        <v>155</v>
      </c>
      <c r="C12" s="590"/>
      <c r="D12" s="590"/>
      <c r="E12" s="590"/>
      <c r="F12" s="38">
        <f>'Raw Balance Sheet'!B32</f>
        <v>2146</v>
      </c>
      <c r="G12" s="38">
        <f>'Raw Balance Sheet'!C32</f>
        <v>2333</v>
      </c>
      <c r="H12" s="38">
        <f>'Raw Balance Sheet'!D32</f>
        <v>2503</v>
      </c>
      <c r="I12" s="38">
        <f>'Raw Balance Sheet'!E32</f>
        <v>2912</v>
      </c>
      <c r="J12" s="165">
        <f>'Raw Balance Sheet'!F32</f>
        <v>3370</v>
      </c>
    </row>
    <row r="13" spans="2:12" x14ac:dyDescent="0.3">
      <c r="B13" s="589" t="s">
        <v>156</v>
      </c>
      <c r="C13" s="590"/>
      <c r="D13" s="590"/>
      <c r="E13" s="590"/>
      <c r="F13" s="38">
        <f>'Raw Balance Sheet'!B34</f>
        <v>70</v>
      </c>
      <c r="G13" s="38">
        <f>'Raw Balance Sheet'!C34</f>
        <v>75</v>
      </c>
      <c r="H13" s="38">
        <f>'Raw Balance Sheet'!D34</f>
        <v>80</v>
      </c>
      <c r="I13" s="38">
        <f>'Raw Balance Sheet'!E34</f>
        <v>98</v>
      </c>
      <c r="J13" s="165">
        <f>'Raw Balance Sheet'!F34</f>
        <v>111</v>
      </c>
    </row>
    <row r="14" spans="2:12" x14ac:dyDescent="0.3">
      <c r="B14" s="591" t="s">
        <v>157</v>
      </c>
      <c r="C14" s="592"/>
      <c r="D14" s="592"/>
      <c r="E14" s="592"/>
      <c r="F14" s="39">
        <f>'Raw Balance Sheet'!B35</f>
        <v>940</v>
      </c>
      <c r="G14" s="39">
        <f>'Raw Balance Sheet'!C35</f>
        <v>1855</v>
      </c>
      <c r="H14" s="39">
        <f>'Raw Balance Sheet'!D35</f>
        <v>1138</v>
      </c>
      <c r="I14" s="39">
        <f>'Raw Balance Sheet'!E35</f>
        <v>1212</v>
      </c>
      <c r="J14" s="166">
        <f>'Raw Balance Sheet'!F35</f>
        <v>1146</v>
      </c>
    </row>
    <row r="15" spans="2:12" x14ac:dyDescent="0.3">
      <c r="B15" s="563" t="s">
        <v>86</v>
      </c>
      <c r="C15" s="564"/>
      <c r="D15" s="564"/>
      <c r="E15" s="564"/>
      <c r="F15" s="40">
        <f>SUM(F11:F14)</f>
        <v>6095</v>
      </c>
      <c r="G15" s="40">
        <f t="shared" ref="G15:J15" si="0">SUM(G11:G14)</f>
        <v>8393</v>
      </c>
      <c r="H15" s="40">
        <f t="shared" si="0"/>
        <v>7862</v>
      </c>
      <c r="I15" s="40">
        <f t="shared" si="0"/>
        <v>8691</v>
      </c>
      <c r="J15" s="167">
        <f t="shared" si="0"/>
        <v>10252</v>
      </c>
    </row>
    <row r="16" spans="2:12" x14ac:dyDescent="0.3">
      <c r="B16" s="120"/>
      <c r="C16" s="95"/>
      <c r="D16" s="95"/>
      <c r="E16" s="95"/>
      <c r="F16" s="95"/>
      <c r="G16" s="95"/>
      <c r="H16" s="95"/>
      <c r="I16" s="95"/>
      <c r="J16" s="119"/>
    </row>
    <row r="17" spans="2:10" x14ac:dyDescent="0.3">
      <c r="B17" s="118" t="s">
        <v>158</v>
      </c>
      <c r="C17" s="95"/>
      <c r="D17" s="95"/>
      <c r="E17" s="95"/>
      <c r="F17" s="95"/>
      <c r="G17" s="95"/>
      <c r="H17" s="95"/>
      <c r="I17" s="95"/>
      <c r="J17" s="119"/>
    </row>
    <row r="18" spans="2:10" x14ac:dyDescent="0.3">
      <c r="B18" s="587" t="s">
        <v>159</v>
      </c>
      <c r="C18" s="588"/>
      <c r="D18" s="588"/>
      <c r="E18" s="588"/>
      <c r="F18" s="196">
        <f>'Raw Balance Sheet'!B13</f>
        <v>3306</v>
      </c>
      <c r="G18" s="196">
        <f>'Raw Balance Sheet'!C13</f>
        <v>2057</v>
      </c>
      <c r="H18" s="196">
        <f>'Raw Balance Sheet'!D13</f>
        <v>2436</v>
      </c>
      <c r="I18" s="196">
        <f>'Raw Balance Sheet'!E13</f>
        <v>2653</v>
      </c>
      <c r="J18" s="197">
        <f>'Raw Balance Sheet'!F13</f>
        <v>2822</v>
      </c>
    </row>
    <row r="19" spans="2:10" x14ac:dyDescent="0.3">
      <c r="B19" s="577" t="s">
        <v>160</v>
      </c>
      <c r="C19" s="578"/>
      <c r="D19" s="578"/>
      <c r="E19" s="578"/>
      <c r="F19" s="198">
        <f>'Raw Balance Sheet'!B14</f>
        <v>0</v>
      </c>
      <c r="G19" s="198">
        <f>'Raw Balance Sheet'!C14</f>
        <v>0</v>
      </c>
      <c r="H19" s="198">
        <f>'Raw Balance Sheet'!D14</f>
        <v>0</v>
      </c>
      <c r="I19" s="198">
        <f>'Raw Balance Sheet'!E14</f>
        <v>0</v>
      </c>
      <c r="J19" s="199">
        <f>'Raw Balance Sheet'!F14</f>
        <v>0</v>
      </c>
    </row>
    <row r="20" spans="2:10" x14ac:dyDescent="0.3">
      <c r="B20" s="579" t="s">
        <v>161</v>
      </c>
      <c r="C20" s="580"/>
      <c r="D20" s="580"/>
      <c r="E20" s="580"/>
      <c r="F20" s="200">
        <f>'Raw Balance Sheet'!B15</f>
        <v>3474</v>
      </c>
      <c r="G20" s="200">
        <f>'Raw Balance Sheet'!C15</f>
        <v>3742</v>
      </c>
      <c r="H20" s="200">
        <f>'Raw Balance Sheet'!D15</f>
        <v>4212</v>
      </c>
      <c r="I20" s="200">
        <f>'Raw Balance Sheet'!E15</f>
        <v>4672</v>
      </c>
      <c r="J20" s="201">
        <f>'Raw Balance Sheet'!F15</f>
        <v>4485</v>
      </c>
    </row>
    <row r="21" spans="2:10" x14ac:dyDescent="0.3">
      <c r="B21" s="581" t="s">
        <v>162</v>
      </c>
      <c r="C21" s="582"/>
      <c r="D21" s="582"/>
      <c r="E21" s="582"/>
      <c r="F21" s="41">
        <f>SUM(F18:F20)</f>
        <v>6780</v>
      </c>
      <c r="G21" s="41">
        <f t="shared" ref="G21:J21" si="1">SUM(G18:G20)</f>
        <v>5799</v>
      </c>
      <c r="H21" s="41">
        <f t="shared" si="1"/>
        <v>6648</v>
      </c>
      <c r="I21" s="41">
        <f t="shared" si="1"/>
        <v>7325</v>
      </c>
      <c r="J21" s="168">
        <f t="shared" si="1"/>
        <v>7307</v>
      </c>
    </row>
    <row r="22" spans="2:10" x14ac:dyDescent="0.3">
      <c r="B22" s="120"/>
      <c r="C22" s="95"/>
      <c r="D22" s="95"/>
      <c r="E22" s="95"/>
      <c r="F22" s="95"/>
      <c r="G22" s="95"/>
      <c r="H22" s="95"/>
      <c r="I22" s="95"/>
      <c r="J22" s="119"/>
    </row>
    <row r="23" spans="2:10" ht="15" thickBot="1" x14ac:dyDescent="0.35">
      <c r="B23" s="583" t="s">
        <v>163</v>
      </c>
      <c r="C23" s="584"/>
      <c r="D23" s="584"/>
      <c r="E23" s="584"/>
      <c r="F23" s="41">
        <f>F15-F21</f>
        <v>-685</v>
      </c>
      <c r="G23" s="41">
        <f t="shared" ref="G23:J23" si="2">G15-G21</f>
        <v>2594</v>
      </c>
      <c r="H23" s="41">
        <f t="shared" si="2"/>
        <v>1214</v>
      </c>
      <c r="I23" s="41">
        <f t="shared" si="2"/>
        <v>1366</v>
      </c>
      <c r="J23" s="168">
        <f t="shared" si="2"/>
        <v>2945</v>
      </c>
    </row>
    <row r="24" spans="2:10" x14ac:dyDescent="0.3">
      <c r="B24" s="169"/>
      <c r="C24" s="27"/>
      <c r="D24" s="27"/>
      <c r="E24" s="27"/>
      <c r="F24" s="27"/>
      <c r="G24" s="27"/>
      <c r="H24" s="27"/>
      <c r="I24" s="27"/>
      <c r="J24" s="170"/>
    </row>
    <row r="25" spans="2:10" x14ac:dyDescent="0.3">
      <c r="B25" s="118" t="s">
        <v>164</v>
      </c>
      <c r="C25" s="95"/>
      <c r="D25" s="95"/>
      <c r="E25" s="95"/>
      <c r="F25" s="95"/>
      <c r="G25" s="95"/>
      <c r="H25" s="95"/>
      <c r="I25" s="95"/>
      <c r="J25" s="119"/>
    </row>
    <row r="26" spans="2:10" x14ac:dyDescent="0.3">
      <c r="B26" s="585" t="s">
        <v>165</v>
      </c>
      <c r="C26" s="586"/>
      <c r="D26" s="586"/>
      <c r="E26" s="586"/>
      <c r="F26" s="37">
        <f>'Raw Balance Sheet'!B18</f>
        <v>677</v>
      </c>
      <c r="G26" s="37">
        <f>'Raw Balance Sheet'!C18</f>
        <v>678</v>
      </c>
      <c r="H26" s="37">
        <f>'Raw Balance Sheet'!D18</f>
        <v>684</v>
      </c>
      <c r="I26" s="37">
        <f>'Raw Balance Sheet'!E18</f>
        <v>707</v>
      </c>
      <c r="J26" s="164">
        <f>'Raw Balance Sheet'!F18</f>
        <v>713</v>
      </c>
    </row>
    <row r="27" spans="2:10" x14ac:dyDescent="0.3">
      <c r="B27" s="557" t="s">
        <v>166</v>
      </c>
      <c r="C27" s="558"/>
      <c r="D27" s="558"/>
      <c r="E27" s="558"/>
      <c r="F27" s="38">
        <f>'Raw Balance Sheet'!B19</f>
        <v>3476</v>
      </c>
      <c r="G27" s="38">
        <f>'Raw Balance Sheet'!C19</f>
        <v>3705</v>
      </c>
      <c r="H27" s="38">
        <f>'Raw Balance Sheet'!D19</f>
        <v>4292</v>
      </c>
      <c r="I27" s="38">
        <f>'Raw Balance Sheet'!E19</f>
        <v>5106</v>
      </c>
      <c r="J27" s="165">
        <f>'Raw Balance Sheet'!F19</f>
        <v>5672</v>
      </c>
    </row>
    <row r="28" spans="2:10" x14ac:dyDescent="0.3">
      <c r="B28" s="557" t="s">
        <v>167</v>
      </c>
      <c r="C28" s="558"/>
      <c r="D28" s="558"/>
      <c r="E28" s="558"/>
      <c r="F28" s="38">
        <f>'Raw Balance Sheet'!B20</f>
        <v>8421</v>
      </c>
      <c r="G28" s="38">
        <f>'Raw Balance Sheet'!C20</f>
        <v>9214</v>
      </c>
      <c r="H28" s="38">
        <f>'Raw Balance Sheet'!D20</f>
        <v>10105</v>
      </c>
      <c r="I28" s="38">
        <f>'Raw Balance Sheet'!E20</f>
        <v>12204</v>
      </c>
      <c r="J28" s="165">
        <f>'Raw Balance Sheet'!F20</f>
        <v>14075</v>
      </c>
    </row>
    <row r="29" spans="2:10" x14ac:dyDescent="0.3">
      <c r="B29" s="557" t="s">
        <v>168</v>
      </c>
      <c r="C29" s="558"/>
      <c r="D29" s="558"/>
      <c r="E29" s="558"/>
      <c r="F29" s="26">
        <f>'Raw Balance Sheet'!B21</f>
        <v>747</v>
      </c>
      <c r="G29" s="26">
        <f>'Raw Balance Sheet'!C21</f>
        <v>869</v>
      </c>
      <c r="H29" s="26">
        <f>'Raw Balance Sheet'!D21</f>
        <v>973</v>
      </c>
      <c r="I29" s="26">
        <f>'Raw Balance Sheet'!E21</f>
        <v>1161</v>
      </c>
      <c r="J29" s="171">
        <f>'Raw Balance Sheet'!F21</f>
        <v>1299</v>
      </c>
    </row>
    <row r="30" spans="2:10" x14ac:dyDescent="0.3">
      <c r="B30" s="557" t="s">
        <v>169</v>
      </c>
      <c r="C30" s="558"/>
      <c r="D30" s="558"/>
      <c r="E30" s="558"/>
      <c r="F30" s="26">
        <f>'Raw Balance Sheet'!B23</f>
        <v>34</v>
      </c>
      <c r="G30" s="26">
        <f>'Raw Balance Sheet'!C23</f>
        <v>37</v>
      </c>
      <c r="H30" s="26">
        <f>'Raw Balance Sheet'!D23</f>
        <v>39</v>
      </c>
      <c r="I30" s="26">
        <f>'Raw Balance Sheet'!E23</f>
        <v>42</v>
      </c>
      <c r="J30" s="171">
        <f>'Raw Balance Sheet'!F23</f>
        <v>49</v>
      </c>
    </row>
    <row r="31" spans="2:10" x14ac:dyDescent="0.3">
      <c r="B31" s="557" t="s">
        <v>170</v>
      </c>
      <c r="C31" s="558"/>
      <c r="D31" s="558"/>
      <c r="E31" s="558"/>
      <c r="F31" s="38">
        <f>'Raw Balance Sheet'!B22</f>
        <v>54</v>
      </c>
      <c r="G31" s="38">
        <f>'Raw Balance Sheet'!C22</f>
        <v>57</v>
      </c>
      <c r="H31" s="38">
        <f>'Raw Balance Sheet'!D22</f>
        <v>67</v>
      </c>
      <c r="I31" s="38">
        <f>'Raw Balance Sheet'!E22</f>
        <v>80</v>
      </c>
      <c r="J31" s="165">
        <f>'Raw Balance Sheet'!F22</f>
        <v>91</v>
      </c>
    </row>
    <row r="32" spans="2:10" x14ac:dyDescent="0.3">
      <c r="B32" s="557" t="s">
        <v>171</v>
      </c>
      <c r="C32" s="558"/>
      <c r="D32" s="558"/>
      <c r="E32" s="558"/>
      <c r="F32" s="26">
        <f>'Raw Balance Sheet'!B24</f>
        <v>163</v>
      </c>
      <c r="G32" s="26">
        <f>'Raw Balance Sheet'!C24</f>
        <v>180</v>
      </c>
      <c r="H32" s="26">
        <f>'Raw Balance Sheet'!D24</f>
        <v>214</v>
      </c>
      <c r="I32" s="26">
        <f>'Raw Balance Sheet'!E24</f>
        <v>231</v>
      </c>
      <c r="J32" s="171">
        <f>'Raw Balance Sheet'!F24</f>
        <v>241</v>
      </c>
    </row>
    <row r="33" spans="2:10" x14ac:dyDescent="0.3">
      <c r="B33" s="561" t="s">
        <v>172</v>
      </c>
      <c r="C33" s="562"/>
      <c r="D33" s="562"/>
      <c r="E33" s="562"/>
      <c r="F33" s="39">
        <f>'Raw Balance Sheet'!B25</f>
        <v>507</v>
      </c>
      <c r="G33" s="39">
        <f>'Raw Balance Sheet'!C25</f>
        <v>548</v>
      </c>
      <c r="H33" s="39">
        <f>'Raw Balance Sheet'!D25</f>
        <v>598</v>
      </c>
      <c r="I33" s="39">
        <f>'Raw Balance Sheet'!E25</f>
        <v>696</v>
      </c>
      <c r="J33" s="166">
        <f>'Raw Balance Sheet'!F25</f>
        <v>783</v>
      </c>
    </row>
    <row r="34" spans="2:10" x14ac:dyDescent="0.3">
      <c r="B34" s="120"/>
      <c r="C34" s="95"/>
      <c r="D34" s="95"/>
      <c r="E34" s="95"/>
      <c r="F34" s="95"/>
      <c r="G34" s="95"/>
      <c r="H34" s="95"/>
      <c r="I34" s="95"/>
      <c r="J34" s="119"/>
    </row>
    <row r="35" spans="2:10" x14ac:dyDescent="0.3">
      <c r="B35" s="563" t="s">
        <v>173</v>
      </c>
      <c r="C35" s="564"/>
      <c r="D35" s="564"/>
      <c r="E35" s="564"/>
      <c r="F35" s="40">
        <f>'Raw Balance Sheet'!B26</f>
        <v>14079</v>
      </c>
      <c r="G35" s="40">
        <f>'Raw Balance Sheet'!C26</f>
        <v>15287</v>
      </c>
      <c r="H35" s="40">
        <f>'Raw Balance Sheet'!D26</f>
        <v>16973</v>
      </c>
      <c r="I35" s="40">
        <f>'Raw Balance Sheet'!E26</f>
        <v>20227</v>
      </c>
      <c r="J35" s="167">
        <f>'Raw Balance Sheet'!F26</f>
        <v>22923</v>
      </c>
    </row>
    <row r="36" spans="2:10" x14ac:dyDescent="0.3">
      <c r="B36" s="565" t="s">
        <v>174</v>
      </c>
      <c r="C36" s="566"/>
      <c r="D36" s="566"/>
      <c r="E36" s="566"/>
      <c r="F36" s="42">
        <f>'Raw Balance Sheet'!B27</f>
        <v>4638</v>
      </c>
      <c r="G36" s="42">
        <f>'Raw Balance Sheet'!C27</f>
        <v>5766</v>
      </c>
      <c r="H36" s="42">
        <f>'Raw Balance Sheet'!D27</f>
        <v>6855</v>
      </c>
      <c r="I36" s="42">
        <f>'Raw Balance Sheet'!E27</f>
        <v>8181</v>
      </c>
      <c r="J36" s="172">
        <f>'Raw Balance Sheet'!F27</f>
        <v>9702</v>
      </c>
    </row>
    <row r="37" spans="2:10" ht="15" thickBot="1" x14ac:dyDescent="0.35">
      <c r="B37" s="567" t="s">
        <v>175</v>
      </c>
      <c r="C37" s="568"/>
      <c r="D37" s="568"/>
      <c r="E37" s="568"/>
      <c r="F37" s="43">
        <f>F35-F36</f>
        <v>9441</v>
      </c>
      <c r="G37" s="43">
        <f t="shared" ref="G37:J37" si="3">G35-G36</f>
        <v>9521</v>
      </c>
      <c r="H37" s="43">
        <f t="shared" si="3"/>
        <v>10118</v>
      </c>
      <c r="I37" s="43">
        <f t="shared" si="3"/>
        <v>12046</v>
      </c>
      <c r="J37" s="173">
        <f t="shared" si="3"/>
        <v>13221</v>
      </c>
    </row>
    <row r="38" spans="2:10" x14ac:dyDescent="0.3">
      <c r="B38" s="120"/>
      <c r="C38" s="95"/>
      <c r="D38" s="95"/>
      <c r="E38" s="95"/>
      <c r="F38" s="95"/>
      <c r="G38" s="95"/>
      <c r="H38" s="95"/>
      <c r="I38" s="95"/>
      <c r="J38" s="119"/>
    </row>
    <row r="39" spans="2:10" x14ac:dyDescent="0.3">
      <c r="B39" s="569" t="s">
        <v>176</v>
      </c>
      <c r="C39" s="570"/>
      <c r="D39" s="570"/>
      <c r="E39" s="570"/>
      <c r="F39" s="202">
        <f>F37+F23</f>
        <v>8756</v>
      </c>
      <c r="G39" s="202">
        <f>G37+G23</f>
        <v>12115</v>
      </c>
      <c r="H39" s="202">
        <f>H37+H23</f>
        <v>11332</v>
      </c>
      <c r="I39" s="202">
        <f>I37+I23</f>
        <v>13412</v>
      </c>
      <c r="J39" s="203">
        <f>J37+J23</f>
        <v>16166</v>
      </c>
    </row>
    <row r="40" spans="2:10" x14ac:dyDescent="0.3">
      <c r="B40" s="571" t="s">
        <v>177</v>
      </c>
      <c r="C40" s="572"/>
      <c r="D40" s="572"/>
      <c r="E40" s="572"/>
      <c r="F40" s="204">
        <f>'Historical FS'!H22-'Historical FS'!H28</f>
        <v>1813.4499999999989</v>
      </c>
      <c r="G40" s="204">
        <f>'Historical FS'!I22-'Historical FS'!I28</f>
        <v>855.94000000000347</v>
      </c>
      <c r="H40" s="204">
        <f>'Historical FS'!J22-'Historical FS'!J28</f>
        <v>1151.1499999999978</v>
      </c>
      <c r="I40" s="204">
        <f>'Historical FS'!K22-'Historical FS'!K28</f>
        <v>2842.2899999999981</v>
      </c>
      <c r="J40" s="205">
        <f>'Historical FS'!L22-'Historical FS'!L28</f>
        <v>2441.0999999999985</v>
      </c>
    </row>
    <row r="41" spans="2:10" x14ac:dyDescent="0.3">
      <c r="B41" s="120"/>
      <c r="C41" s="95"/>
      <c r="D41" s="95"/>
      <c r="E41" s="95"/>
      <c r="F41" s="95"/>
      <c r="G41" s="95"/>
      <c r="H41" s="95"/>
      <c r="I41" s="95"/>
      <c r="J41" s="119"/>
    </row>
    <row r="42" spans="2:10" ht="15" thickBot="1" x14ac:dyDescent="0.35">
      <c r="B42" s="174" t="s">
        <v>178</v>
      </c>
      <c r="C42" s="175"/>
      <c r="D42" s="175"/>
      <c r="E42" s="175"/>
      <c r="F42" s="176">
        <f>F40/F39</f>
        <v>0.20710941068981256</v>
      </c>
      <c r="G42" s="176">
        <f t="shared" ref="G42:J42" si="4">G40/G39</f>
        <v>7.0651258770119976E-2</v>
      </c>
      <c r="H42" s="176">
        <f t="shared" si="4"/>
        <v>0.10158400988351551</v>
      </c>
      <c r="I42" s="176">
        <f t="shared" si="4"/>
        <v>0.21192141365940934</v>
      </c>
      <c r="J42" s="177">
        <f t="shared" si="4"/>
        <v>0.15100210317951246</v>
      </c>
    </row>
    <row r="43" spans="2:10" ht="15" thickTop="1" x14ac:dyDescent="0.3">
      <c r="B43" s="95"/>
      <c r="C43" s="95"/>
      <c r="D43" s="95"/>
      <c r="E43" s="95"/>
      <c r="F43" s="95"/>
      <c r="G43" s="95"/>
      <c r="H43" s="95"/>
      <c r="I43" s="95"/>
      <c r="J43" s="95"/>
    </row>
    <row r="44" spans="2:10" ht="15" thickBot="1" x14ac:dyDescent="0.35"/>
    <row r="45" spans="2:10" ht="15" thickTop="1" x14ac:dyDescent="0.3">
      <c r="B45" s="573" t="s">
        <v>179</v>
      </c>
      <c r="C45" s="574"/>
      <c r="D45" s="574"/>
      <c r="E45" s="574"/>
      <c r="F45" s="178">
        <f>F8</f>
        <v>44286</v>
      </c>
      <c r="G45" s="178">
        <f>G8</f>
        <v>44651</v>
      </c>
      <c r="H45" s="178">
        <f>H8</f>
        <v>45016</v>
      </c>
      <c r="I45" s="178">
        <f>I8</f>
        <v>45382</v>
      </c>
      <c r="J45" s="179">
        <f>J8</f>
        <v>45747</v>
      </c>
    </row>
    <row r="46" spans="2:10" x14ac:dyDescent="0.3">
      <c r="B46" s="120"/>
      <c r="C46" s="95"/>
      <c r="D46" s="95"/>
      <c r="E46" s="95"/>
      <c r="F46" s="95"/>
      <c r="G46" s="95"/>
      <c r="H46" s="95"/>
      <c r="I46" s="95"/>
      <c r="J46" s="119"/>
    </row>
    <row r="47" spans="2:10" x14ac:dyDescent="0.3">
      <c r="B47" s="549" t="s">
        <v>180</v>
      </c>
      <c r="C47" s="550"/>
      <c r="D47" s="550"/>
      <c r="E47" s="550"/>
      <c r="F47" s="186">
        <f>('Cash Flow'!I15+'Cash Flow'!I16)</f>
        <v>-852</v>
      </c>
      <c r="G47" s="186">
        <f>('Cash Flow'!J15+'Cash Flow'!J16)</f>
        <v>-1705</v>
      </c>
      <c r="H47" s="186">
        <f>('Cash Flow'!K15+'Cash Flow'!K16)</f>
        <v>-3290</v>
      </c>
      <c r="I47" s="186">
        <f>('Cash Flow'!L15+'Cash Flow'!L16)</f>
        <v>-2163</v>
      </c>
      <c r="J47" s="187">
        <f>('Cash Flow'!M15+'Cash Flow'!M16)</f>
        <v>-1294</v>
      </c>
    </row>
    <row r="48" spans="2:10" x14ac:dyDescent="0.3">
      <c r="B48" s="559" t="s">
        <v>181</v>
      </c>
      <c r="C48" s="560"/>
      <c r="D48" s="560"/>
      <c r="E48" s="560"/>
      <c r="F48" s="190"/>
      <c r="G48" s="194">
        <f>G23-F23</f>
        <v>3279</v>
      </c>
      <c r="H48" s="194">
        <f>H23-G23</f>
        <v>-1380</v>
      </c>
      <c r="I48" s="194">
        <f>I23-H23</f>
        <v>152</v>
      </c>
      <c r="J48" s="195">
        <f>J23-I23</f>
        <v>1579</v>
      </c>
    </row>
    <row r="49" spans="2:10" x14ac:dyDescent="0.3">
      <c r="B49" s="120"/>
      <c r="C49" s="95"/>
      <c r="D49" s="95"/>
      <c r="E49" s="95"/>
      <c r="F49" s="95"/>
      <c r="G49" s="95"/>
      <c r="H49" s="95"/>
      <c r="I49" s="95"/>
      <c r="J49" s="119"/>
    </row>
    <row r="50" spans="2:10" x14ac:dyDescent="0.3">
      <c r="B50" s="549" t="s">
        <v>177</v>
      </c>
      <c r="C50" s="550"/>
      <c r="D50" s="550"/>
      <c r="E50" s="550"/>
      <c r="F50" s="186">
        <f>F40</f>
        <v>1813.4499999999989</v>
      </c>
      <c r="G50" s="186">
        <f t="shared" ref="G50:J50" si="5">G40</f>
        <v>855.94000000000347</v>
      </c>
      <c r="H50" s="186">
        <f t="shared" si="5"/>
        <v>1151.1499999999978</v>
      </c>
      <c r="I50" s="186">
        <f t="shared" si="5"/>
        <v>2842.2899999999981</v>
      </c>
      <c r="J50" s="187">
        <f t="shared" si="5"/>
        <v>2441.0999999999985</v>
      </c>
    </row>
    <row r="51" spans="2:10" x14ac:dyDescent="0.3">
      <c r="B51" s="575" t="s">
        <v>182</v>
      </c>
      <c r="C51" s="576"/>
      <c r="D51" s="576"/>
      <c r="E51" s="576"/>
      <c r="F51" s="188">
        <v>0.3</v>
      </c>
      <c r="G51" s="188">
        <v>0.25</v>
      </c>
      <c r="H51" s="188">
        <v>0.25</v>
      </c>
      <c r="I51" s="188">
        <v>0.25</v>
      </c>
      <c r="J51" s="189">
        <v>0.25</v>
      </c>
    </row>
    <row r="52" spans="2:10" x14ac:dyDescent="0.3">
      <c r="B52" s="559" t="s">
        <v>183</v>
      </c>
      <c r="C52" s="560"/>
      <c r="D52" s="560"/>
      <c r="E52" s="560"/>
      <c r="F52" s="190">
        <f>F50*(1-F51)</f>
        <v>1269.4149999999991</v>
      </c>
      <c r="G52" s="190">
        <f t="shared" ref="G52:J52" si="6">G50*(1-G51)</f>
        <v>641.95500000000266</v>
      </c>
      <c r="H52" s="190">
        <f t="shared" si="6"/>
        <v>863.36249999999836</v>
      </c>
      <c r="I52" s="190">
        <f t="shared" si="6"/>
        <v>2131.7174999999988</v>
      </c>
      <c r="J52" s="191">
        <f t="shared" si="6"/>
        <v>1830.8249999999989</v>
      </c>
    </row>
    <row r="53" spans="2:10" x14ac:dyDescent="0.3">
      <c r="B53" s="120"/>
      <c r="C53" s="95"/>
      <c r="D53" s="95"/>
      <c r="E53" s="95"/>
      <c r="F53" s="95"/>
      <c r="G53" s="95"/>
      <c r="H53" s="95"/>
      <c r="I53" s="95"/>
      <c r="J53" s="119"/>
    </row>
    <row r="54" spans="2:10" x14ac:dyDescent="0.3">
      <c r="B54" s="549" t="s">
        <v>184</v>
      </c>
      <c r="C54" s="550"/>
      <c r="D54" s="550"/>
      <c r="E54" s="550"/>
      <c r="F54" s="186"/>
      <c r="G54" s="192">
        <f>SUM(G47:G48)</f>
        <v>1574</v>
      </c>
      <c r="H54" s="192">
        <f t="shared" ref="H54:J54" si="7">SUM(H47:H48)</f>
        <v>-4670</v>
      </c>
      <c r="I54" s="192">
        <f t="shared" si="7"/>
        <v>-2011</v>
      </c>
      <c r="J54" s="193">
        <f t="shared" si="7"/>
        <v>285</v>
      </c>
    </row>
    <row r="55" spans="2:10" ht="15" thickBot="1" x14ac:dyDescent="0.35">
      <c r="B55" s="551" t="s">
        <v>185</v>
      </c>
      <c r="C55" s="552"/>
      <c r="D55" s="552"/>
      <c r="E55" s="552"/>
      <c r="F55" s="180"/>
      <c r="G55" s="180">
        <f>G54/G52</f>
        <v>2.4518852567547467</v>
      </c>
      <c r="H55" s="180">
        <f t="shared" ref="H55:J55" si="8">H54/H52</f>
        <v>-5.4090836699532456</v>
      </c>
      <c r="I55" s="180">
        <f t="shared" si="8"/>
        <v>-0.94337077966475436</v>
      </c>
      <c r="J55" s="181">
        <f t="shared" si="8"/>
        <v>0.15566752693457878</v>
      </c>
    </row>
    <row r="56" spans="2:10" ht="15" thickTop="1" x14ac:dyDescent="0.3"/>
    <row r="57" spans="2:10" x14ac:dyDescent="0.3">
      <c r="H57" s="548" t="s">
        <v>186</v>
      </c>
      <c r="I57" s="548"/>
      <c r="J57" s="28">
        <f>AVERAGE(G55:J55)</f>
        <v>-0.93622541648216862</v>
      </c>
    </row>
    <row r="58" spans="2:10" x14ac:dyDescent="0.3">
      <c r="H58" s="548" t="s">
        <v>187</v>
      </c>
      <c r="I58" s="548"/>
      <c r="J58" s="28">
        <f>MEDIAN(G55:J55)</f>
        <v>-0.39385162636508775</v>
      </c>
    </row>
    <row r="59" spans="2:10" ht="15" thickBot="1" x14ac:dyDescent="0.35"/>
    <row r="60" spans="2:10" ht="15" thickTop="1" x14ac:dyDescent="0.3">
      <c r="B60" s="553" t="s">
        <v>188</v>
      </c>
      <c r="C60" s="554"/>
      <c r="D60" s="554"/>
      <c r="E60" s="554"/>
      <c r="F60" s="162">
        <f>F45</f>
        <v>44286</v>
      </c>
      <c r="G60" s="162">
        <f t="shared" ref="G60:J60" si="9">G45</f>
        <v>44651</v>
      </c>
      <c r="H60" s="162">
        <f t="shared" si="9"/>
        <v>45016</v>
      </c>
      <c r="I60" s="162">
        <f t="shared" si="9"/>
        <v>45382</v>
      </c>
      <c r="J60" s="163">
        <f t="shared" si="9"/>
        <v>45747</v>
      </c>
    </row>
    <row r="61" spans="2:10" x14ac:dyDescent="0.3">
      <c r="B61" s="120"/>
      <c r="C61" s="95"/>
      <c r="D61" s="95"/>
      <c r="E61" s="95"/>
      <c r="F61" s="95"/>
      <c r="G61" s="95"/>
      <c r="H61" s="95"/>
      <c r="I61" s="95"/>
      <c r="J61" s="119"/>
    </row>
    <row r="62" spans="2:10" x14ac:dyDescent="0.3">
      <c r="B62" s="555" t="s">
        <v>185</v>
      </c>
      <c r="C62" s="556"/>
      <c r="D62" s="556"/>
      <c r="E62" s="556"/>
      <c r="F62" s="29">
        <f>F55</f>
        <v>0</v>
      </c>
      <c r="G62" s="29">
        <f>G55</f>
        <v>2.4518852567547467</v>
      </c>
      <c r="H62" s="29">
        <f t="shared" ref="H62:J62" si="10">H55</f>
        <v>-5.4090836699532456</v>
      </c>
      <c r="I62" s="29">
        <f t="shared" si="10"/>
        <v>-0.94337077966475436</v>
      </c>
      <c r="J62" s="182">
        <f t="shared" si="10"/>
        <v>0.15566752693457878</v>
      </c>
    </row>
    <row r="63" spans="2:10" x14ac:dyDescent="0.3">
      <c r="B63" s="544" t="s">
        <v>178</v>
      </c>
      <c r="C63" s="545"/>
      <c r="D63" s="545"/>
      <c r="E63" s="545"/>
      <c r="F63" s="30">
        <f>F42</f>
        <v>0.20710941068981256</v>
      </c>
      <c r="G63" s="30">
        <f>G42</f>
        <v>7.0651258770119976E-2</v>
      </c>
      <c r="H63" s="30">
        <f t="shared" ref="H63:J63" si="11">H42</f>
        <v>0.10158400988351551</v>
      </c>
      <c r="I63" s="30">
        <f t="shared" si="11"/>
        <v>0.21192141365940934</v>
      </c>
      <c r="J63" s="183">
        <f t="shared" si="11"/>
        <v>0.15100210317951246</v>
      </c>
    </row>
    <row r="64" spans="2:10" x14ac:dyDescent="0.3">
      <c r="B64" s="120"/>
      <c r="C64" s="95"/>
      <c r="D64" s="95"/>
      <c r="E64" s="95"/>
      <c r="F64" s="95"/>
      <c r="G64" s="95"/>
      <c r="H64" s="95"/>
      <c r="I64" s="95"/>
      <c r="J64" s="119"/>
    </row>
    <row r="65" spans="2:10" ht="15" thickBot="1" x14ac:dyDescent="0.35">
      <c r="B65" s="546" t="s">
        <v>189</v>
      </c>
      <c r="C65" s="547"/>
      <c r="D65" s="547"/>
      <c r="E65" s="547"/>
      <c r="F65" s="184"/>
      <c r="G65" s="184">
        <f>G62*G63</f>
        <v>0.17322877974962167</v>
      </c>
      <c r="H65" s="184">
        <f t="shared" ref="H65:J65" si="12">H62*H63</f>
        <v>-0.54947640898929284</v>
      </c>
      <c r="I65" s="184">
        <f t="shared" si="12"/>
        <v>-0.19992046923153392</v>
      </c>
      <c r="J65" s="185">
        <f t="shared" si="12"/>
        <v>2.35061239638748E-2</v>
      </c>
    </row>
    <row r="66" spans="2:10" ht="15" thickTop="1" x14ac:dyDescent="0.3">
      <c r="B66" s="95"/>
      <c r="C66" s="95"/>
      <c r="D66" s="95"/>
      <c r="E66" s="95"/>
      <c r="F66" s="95"/>
      <c r="G66" s="95"/>
      <c r="H66" s="95"/>
      <c r="I66" s="95"/>
      <c r="J66" s="95"/>
    </row>
    <row r="67" spans="2:10" x14ac:dyDescent="0.3">
      <c r="H67" s="548" t="str">
        <f>H57</f>
        <v>4 Years Average</v>
      </c>
      <c r="I67" s="548"/>
      <c r="J67" s="31">
        <f>AVERAGE(G65:J65)</f>
        <v>-0.13816549362683259</v>
      </c>
    </row>
    <row r="68" spans="2:10" x14ac:dyDescent="0.3">
      <c r="H68" s="548" t="str">
        <f>H58</f>
        <v>4 Years Median</v>
      </c>
      <c r="I68" s="548"/>
      <c r="J68" s="31">
        <f>MEDIAN(G65:J65)</f>
        <v>-8.8207172633829559E-2</v>
      </c>
    </row>
    <row r="70" spans="2:10" ht="11.4" customHeight="1" x14ac:dyDescent="0.3">
      <c r="B70" s="100"/>
      <c r="C70" s="100"/>
      <c r="D70" s="100"/>
      <c r="E70" s="100"/>
      <c r="F70" s="100"/>
      <c r="G70" s="100"/>
      <c r="H70" s="100"/>
      <c r="I70" s="100"/>
      <c r="J70" s="100"/>
    </row>
  </sheetData>
  <mergeCells count="40">
    <mergeCell ref="B2:J4"/>
    <mergeCell ref="B18:E18"/>
    <mergeCell ref="B11:E11"/>
    <mergeCell ref="B12:E12"/>
    <mergeCell ref="B13:E13"/>
    <mergeCell ref="B14:E14"/>
    <mergeCell ref="B15:E15"/>
    <mergeCell ref="B19:E19"/>
    <mergeCell ref="B20:E20"/>
    <mergeCell ref="B21:E21"/>
    <mergeCell ref="B23:E23"/>
    <mergeCell ref="B26:E26"/>
    <mergeCell ref="B27:E27"/>
    <mergeCell ref="B28:E28"/>
    <mergeCell ref="B29:E29"/>
    <mergeCell ref="B30:E30"/>
    <mergeCell ref="B31:E31"/>
    <mergeCell ref="B32:E32"/>
    <mergeCell ref="B52:E52"/>
    <mergeCell ref="B33:E33"/>
    <mergeCell ref="B35:E35"/>
    <mergeCell ref="B36:E36"/>
    <mergeCell ref="B37:E37"/>
    <mergeCell ref="B39:E39"/>
    <mergeCell ref="B40:E40"/>
    <mergeCell ref="B45:E45"/>
    <mergeCell ref="B47:E47"/>
    <mergeCell ref="B48:E48"/>
    <mergeCell ref="B50:E50"/>
    <mergeCell ref="B51:E51"/>
    <mergeCell ref="B63:E63"/>
    <mergeCell ref="B65:E65"/>
    <mergeCell ref="H67:I67"/>
    <mergeCell ref="H68:I68"/>
    <mergeCell ref="B54:E54"/>
    <mergeCell ref="B55:E55"/>
    <mergeCell ref="H57:I57"/>
    <mergeCell ref="H58:I58"/>
    <mergeCell ref="B60:E60"/>
    <mergeCell ref="B62:E62"/>
  </mergeCells>
  <pageMargins left="0.7" right="0.7" top="0.75" bottom="0.75" header="0.3" footer="0.3"/>
  <pageSetup scale="67" orientation="portrait" r:id="rId1"/>
  <colBreaks count="1" manualBreakCount="1">
    <brk id="10" max="1048575" man="1"/>
  </colBreak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1"/>
  <sheetViews>
    <sheetView showGridLines="0" zoomScaleNormal="100" workbookViewId="0"/>
  </sheetViews>
  <sheetFormatPr defaultRowHeight="14.4" x14ac:dyDescent="0.3"/>
  <cols>
    <col min="1" max="1" width="1.88671875" customWidth="1"/>
    <col min="5" max="5" width="12" bestFit="1" customWidth="1"/>
    <col min="7" max="7" width="9.88671875" bestFit="1" customWidth="1"/>
  </cols>
  <sheetData>
    <row r="1" spans="1:12" x14ac:dyDescent="0.3">
      <c r="A1" s="101"/>
      <c r="B1" s="100"/>
      <c r="C1" s="100"/>
      <c r="D1" s="100"/>
      <c r="E1" s="100"/>
      <c r="F1" s="100"/>
      <c r="G1" s="100"/>
      <c r="H1" s="100"/>
      <c r="I1" s="100"/>
      <c r="J1" s="100"/>
      <c r="K1" s="100"/>
      <c r="L1" s="100"/>
    </row>
    <row r="2" spans="1:12" ht="14.4" customHeight="1" x14ac:dyDescent="0.3">
      <c r="B2" s="529" t="s">
        <v>273</v>
      </c>
      <c r="C2" s="529"/>
      <c r="D2" s="529"/>
      <c r="E2" s="529"/>
      <c r="F2" s="529"/>
      <c r="G2" s="529"/>
      <c r="H2" s="529"/>
      <c r="I2" s="529"/>
      <c r="J2" s="529"/>
    </row>
    <row r="3" spans="1:12" ht="14.4" customHeight="1" x14ac:dyDescent="0.3">
      <c r="B3" s="529"/>
      <c r="C3" s="529"/>
      <c r="D3" s="529"/>
      <c r="E3" s="529"/>
      <c r="F3" s="529"/>
      <c r="G3" s="529"/>
      <c r="H3" s="529"/>
      <c r="I3" s="529"/>
      <c r="J3" s="529"/>
    </row>
    <row r="4" spans="1:12" ht="14.4" customHeight="1" x14ac:dyDescent="0.3">
      <c r="B4" s="529"/>
      <c r="C4" s="529"/>
      <c r="D4" s="529"/>
      <c r="E4" s="529"/>
      <c r="F4" s="529"/>
      <c r="G4" s="529"/>
      <c r="H4" s="529"/>
      <c r="I4" s="529"/>
      <c r="J4" s="529"/>
    </row>
    <row r="5" spans="1:12" ht="14.4" customHeight="1" x14ac:dyDescent="0.55000000000000004">
      <c r="B5" s="106"/>
      <c r="C5" s="106"/>
      <c r="D5" s="106"/>
      <c r="E5" s="106"/>
      <c r="F5" s="106"/>
      <c r="G5" s="106"/>
      <c r="H5" s="106"/>
      <c r="I5" s="106"/>
      <c r="J5" s="106"/>
      <c r="K5" s="96">
        <v>4.5</v>
      </c>
    </row>
    <row r="6" spans="1:12" x14ac:dyDescent="0.3">
      <c r="A6" s="101"/>
      <c r="B6" s="100"/>
      <c r="C6" s="100"/>
      <c r="D6" s="100"/>
      <c r="E6" s="100"/>
      <c r="F6" s="94"/>
      <c r="G6" s="94"/>
      <c r="H6" s="94"/>
      <c r="I6" s="94"/>
      <c r="J6" s="94"/>
      <c r="K6" s="94"/>
      <c r="L6" s="100"/>
    </row>
    <row r="7" spans="1:12" ht="15" thickBot="1" x14ac:dyDescent="0.35">
      <c r="B7" s="19" t="s">
        <v>116</v>
      </c>
      <c r="F7" s="96"/>
      <c r="G7" s="96">
        <v>0</v>
      </c>
      <c r="H7" s="96">
        <v>0.5</v>
      </c>
      <c r="I7" s="96">
        <v>1.5</v>
      </c>
      <c r="J7" s="96">
        <v>2.5</v>
      </c>
      <c r="K7" s="96">
        <v>3.5</v>
      </c>
      <c r="L7" s="96">
        <v>4.5</v>
      </c>
    </row>
    <row r="8" spans="1:12" ht="15" thickTop="1" x14ac:dyDescent="0.3">
      <c r="B8" s="115" t="s">
        <v>204</v>
      </c>
      <c r="C8" s="131"/>
      <c r="D8" s="131"/>
      <c r="E8" s="131"/>
      <c r="F8" s="144"/>
      <c r="G8" s="145">
        <f>'[1]Historical FS'!L7</f>
        <v>45747</v>
      </c>
      <c r="H8" s="145">
        <f>G8+365</f>
        <v>46112</v>
      </c>
      <c r="I8" s="145">
        <f t="shared" ref="I8:K8" si="0">H8+365</f>
        <v>46477</v>
      </c>
      <c r="J8" s="145">
        <f t="shared" si="0"/>
        <v>46842</v>
      </c>
      <c r="K8" s="145">
        <f t="shared" si="0"/>
        <v>47207</v>
      </c>
      <c r="L8" s="146">
        <f>K8+365</f>
        <v>47572</v>
      </c>
    </row>
    <row r="9" spans="1:12" x14ac:dyDescent="0.3">
      <c r="B9" s="120"/>
      <c r="C9" s="95"/>
      <c r="D9" s="95"/>
      <c r="E9" s="95"/>
      <c r="F9" s="95"/>
      <c r="G9" s="95"/>
      <c r="H9" s="95"/>
      <c r="I9" s="95"/>
      <c r="J9" s="95"/>
      <c r="K9" s="95"/>
      <c r="L9" s="119"/>
    </row>
    <row r="10" spans="1:12" x14ac:dyDescent="0.3">
      <c r="B10" s="147" t="s">
        <v>177</v>
      </c>
      <c r="C10" s="44"/>
      <c r="D10" s="44"/>
      <c r="E10" s="44"/>
      <c r="F10" s="44"/>
      <c r="G10" s="44">
        <f>'Intrensic Growth'!J50</f>
        <v>2441.0999999999985</v>
      </c>
      <c r="H10" s="44">
        <f>G10*(1+$E$24)</f>
        <v>2225.7774708835573</v>
      </c>
      <c r="I10" s="44">
        <f t="shared" ref="I10:L10" si="1">H10*(1+$E$24)</f>
        <v>2029.4479332648427</v>
      </c>
      <c r="J10" s="44">
        <f t="shared" si="1"/>
        <v>1850.4360690639821</v>
      </c>
      <c r="K10" s="44">
        <f t="shared" si="1"/>
        <v>1687.2143352721905</v>
      </c>
      <c r="L10" s="148">
        <f t="shared" si="1"/>
        <v>1538.3899291305643</v>
      </c>
    </row>
    <row r="11" spans="1:12" x14ac:dyDescent="0.3">
      <c r="B11" s="149"/>
      <c r="C11" s="45"/>
      <c r="D11" s="45"/>
      <c r="E11" s="45"/>
      <c r="F11" s="45"/>
      <c r="G11" s="45"/>
      <c r="H11" s="45"/>
      <c r="I11" s="45"/>
      <c r="J11" s="45"/>
      <c r="K11" s="45"/>
      <c r="L11" s="150"/>
    </row>
    <row r="12" spans="1:12" x14ac:dyDescent="0.3">
      <c r="B12" s="149" t="s">
        <v>135</v>
      </c>
      <c r="C12" s="45"/>
      <c r="D12" s="45"/>
      <c r="E12" s="45"/>
      <c r="F12" s="45"/>
      <c r="G12" s="46">
        <f>'Intrensic Growth'!$J$51</f>
        <v>0.25</v>
      </c>
      <c r="H12" s="46">
        <f>'Intrensic Growth'!$J$51</f>
        <v>0.25</v>
      </c>
      <c r="I12" s="46">
        <f>'Intrensic Growth'!$J$51</f>
        <v>0.25</v>
      </c>
      <c r="J12" s="46">
        <f>'Intrensic Growth'!$J$51</f>
        <v>0.25</v>
      </c>
      <c r="K12" s="46">
        <f>'Intrensic Growth'!$J$51</f>
        <v>0.25</v>
      </c>
      <c r="L12" s="151">
        <f>'Intrensic Growth'!$J$51</f>
        <v>0.25</v>
      </c>
    </row>
    <row r="13" spans="1:12" x14ac:dyDescent="0.3">
      <c r="B13" s="149"/>
      <c r="C13" s="45"/>
      <c r="D13" s="45"/>
      <c r="E13" s="45"/>
      <c r="F13" s="45"/>
      <c r="G13" s="45"/>
      <c r="H13" s="45"/>
      <c r="I13" s="45"/>
      <c r="J13" s="45"/>
      <c r="K13" s="45"/>
      <c r="L13" s="150"/>
    </row>
    <row r="14" spans="1:12" x14ac:dyDescent="0.3">
      <c r="B14" s="149" t="s">
        <v>205</v>
      </c>
      <c r="C14" s="45"/>
      <c r="D14" s="45"/>
      <c r="E14" s="45"/>
      <c r="F14" s="45"/>
      <c r="G14" s="45">
        <f>'Intrensic Growth'!J52</f>
        <v>1830.8249999999989</v>
      </c>
      <c r="H14" s="45">
        <f>H10*(1-H12)</f>
        <v>1669.3331031626681</v>
      </c>
      <c r="I14" s="45">
        <f t="shared" ref="I14:L14" si="2">I10*(1-I12)</f>
        <v>1522.0859499486321</v>
      </c>
      <c r="J14" s="45">
        <f t="shared" si="2"/>
        <v>1387.8270517979865</v>
      </c>
      <c r="K14" s="45">
        <f t="shared" si="2"/>
        <v>1265.4107514541429</v>
      </c>
      <c r="L14" s="150">
        <f t="shared" si="2"/>
        <v>1153.7924468479232</v>
      </c>
    </row>
    <row r="15" spans="1:12" x14ac:dyDescent="0.3">
      <c r="B15" s="149"/>
      <c r="C15" s="45"/>
      <c r="D15" s="45"/>
      <c r="E15" s="45"/>
      <c r="F15" s="45"/>
      <c r="G15" s="45"/>
      <c r="H15" s="45"/>
      <c r="I15" s="45"/>
      <c r="J15" s="45"/>
      <c r="K15" s="45"/>
      <c r="L15" s="150"/>
    </row>
    <row r="16" spans="1:12" x14ac:dyDescent="0.3">
      <c r="B16" s="152" t="s">
        <v>206</v>
      </c>
      <c r="C16" s="47"/>
      <c r="D16" s="47"/>
      <c r="E16" s="47"/>
      <c r="F16" s="47"/>
      <c r="G16" s="48">
        <f>'Intrensic Growth'!J55</f>
        <v>0.15566752693457878</v>
      </c>
      <c r="H16" s="48">
        <f>'Intrensic Growth'!$J$58</f>
        <v>-0.39385162636508775</v>
      </c>
      <c r="I16" s="48">
        <f>'Intrensic Growth'!$J$58</f>
        <v>-0.39385162636508775</v>
      </c>
      <c r="J16" s="48">
        <f>'Intrensic Growth'!$J$58</f>
        <v>-0.39385162636508775</v>
      </c>
      <c r="K16" s="48">
        <f>'Intrensic Growth'!$J$58</f>
        <v>-0.39385162636508775</v>
      </c>
      <c r="L16" s="153">
        <f>'Intrensic Growth'!$J$58</f>
        <v>-0.39385162636508775</v>
      </c>
    </row>
    <row r="17" spans="2:12" x14ac:dyDescent="0.3">
      <c r="B17" s="120"/>
      <c r="C17" s="95"/>
      <c r="D17" s="95"/>
      <c r="E17" s="95"/>
      <c r="F17" s="95"/>
      <c r="G17" s="95"/>
      <c r="H17" s="95"/>
      <c r="I17" s="95"/>
      <c r="J17" s="95"/>
      <c r="K17" s="95"/>
      <c r="L17" s="119"/>
    </row>
    <row r="18" spans="2:12" ht="15" thickBot="1" x14ac:dyDescent="0.35">
      <c r="B18" s="154" t="s">
        <v>207</v>
      </c>
      <c r="C18" s="76"/>
      <c r="D18" s="76"/>
      <c r="E18" s="76"/>
      <c r="F18" s="50"/>
      <c r="G18" s="76">
        <f>G14*(1-G16)</f>
        <v>1545.8249999999989</v>
      </c>
      <c r="H18" s="76">
        <f t="shared" ref="H18:L18" si="3">H14*(1-H16)</f>
        <v>2326.8026607883635</v>
      </c>
      <c r="I18" s="76">
        <f t="shared" si="3"/>
        <v>2121.5619768033503</v>
      </c>
      <c r="J18" s="76">
        <f t="shared" si="3"/>
        <v>1934.4249932620885</v>
      </c>
      <c r="K18" s="76">
        <f t="shared" si="3"/>
        <v>1763.7948339342249</v>
      </c>
      <c r="L18" s="155">
        <f t="shared" si="3"/>
        <v>1608.2154785267319</v>
      </c>
    </row>
    <row r="19" spans="2:12" x14ac:dyDescent="0.3">
      <c r="B19" s="120"/>
      <c r="C19" s="95"/>
      <c r="D19" s="95"/>
      <c r="E19" s="95"/>
      <c r="F19" s="44"/>
      <c r="G19" s="95"/>
      <c r="H19" s="95"/>
      <c r="I19" s="95"/>
      <c r="J19" s="95"/>
      <c r="K19" s="95"/>
      <c r="L19" s="119"/>
    </row>
    <row r="20" spans="2:12" x14ac:dyDescent="0.3">
      <c r="B20" s="149" t="s">
        <v>208</v>
      </c>
      <c r="C20" s="45"/>
      <c r="D20" s="45"/>
      <c r="E20" s="45"/>
      <c r="F20" s="45"/>
      <c r="G20" s="45">
        <f>1/(1+$E$30)^G7</f>
        <v>1</v>
      </c>
      <c r="H20" s="45">
        <f t="shared" ref="H20:L20" si="4">1/(1+$E$30)^H7</f>
        <v>0.91042843785394367</v>
      </c>
      <c r="I20" s="45">
        <f t="shared" si="4"/>
        <v>0.75463586935525151</v>
      </c>
      <c r="J20" s="45">
        <f t="shared" si="4"/>
        <v>0.6255025344550087</v>
      </c>
      <c r="K20" s="45">
        <f t="shared" si="4"/>
        <v>0.51846650351237589</v>
      </c>
      <c r="L20" s="150">
        <f t="shared" si="4"/>
        <v>0.42974648455830256</v>
      </c>
    </row>
    <row r="21" spans="2:12" x14ac:dyDescent="0.3">
      <c r="B21" s="120"/>
      <c r="C21" s="95"/>
      <c r="D21" s="95"/>
      <c r="E21" s="95"/>
      <c r="F21" s="107"/>
      <c r="G21" s="95"/>
      <c r="H21" s="95"/>
      <c r="I21" s="95"/>
      <c r="J21" s="95"/>
      <c r="K21" s="95"/>
      <c r="L21" s="119"/>
    </row>
    <row r="22" spans="2:12" ht="15" thickBot="1" x14ac:dyDescent="0.35">
      <c r="B22" s="123" t="s">
        <v>209</v>
      </c>
      <c r="C22" s="99"/>
      <c r="D22" s="99"/>
      <c r="E22" s="99"/>
      <c r="F22" s="108"/>
      <c r="G22" s="99">
        <f>G20*G18</f>
        <v>1545.8249999999989</v>
      </c>
      <c r="H22" s="99">
        <f t="shared" ref="H22:L22" si="5">H20*H18</f>
        <v>2118.3873116559494</v>
      </c>
      <c r="I22" s="99">
        <f t="shared" si="5"/>
        <v>1601.0067667560422</v>
      </c>
      <c r="J22" s="99">
        <f t="shared" si="5"/>
        <v>1209.9877359985494</v>
      </c>
      <c r="K22" s="99">
        <f t="shared" si="5"/>
        <v>914.4685404630693</v>
      </c>
      <c r="L22" s="124">
        <f t="shared" si="5"/>
        <v>691.12494830911135</v>
      </c>
    </row>
    <row r="23" spans="2:12" ht="15.6" thickTop="1" thickBot="1" x14ac:dyDescent="0.35">
      <c r="B23" s="13"/>
    </row>
    <row r="24" spans="2:12" ht="15" thickTop="1" x14ac:dyDescent="0.3">
      <c r="B24" s="102" t="s">
        <v>210</v>
      </c>
      <c r="C24" s="102"/>
      <c r="D24" s="103"/>
      <c r="E24" s="104">
        <f>'Intrensic Growth'!J68</f>
        <v>-8.8207172633829559E-2</v>
      </c>
      <c r="G24" s="125" t="s">
        <v>269</v>
      </c>
      <c r="H24" s="126"/>
      <c r="I24" s="126"/>
      <c r="J24" s="126"/>
      <c r="K24" s="126"/>
      <c r="L24" s="127"/>
    </row>
    <row r="25" spans="2:12" x14ac:dyDescent="0.3">
      <c r="B25" s="102" t="s">
        <v>211</v>
      </c>
      <c r="C25" s="103"/>
      <c r="D25" s="103"/>
      <c r="E25" s="105">
        <v>6.5000000000000002E-2</v>
      </c>
      <c r="G25" s="120"/>
      <c r="H25" s="95"/>
      <c r="I25" s="95"/>
      <c r="J25" s="95"/>
      <c r="K25" s="95"/>
      <c r="L25" s="119"/>
    </row>
    <row r="26" spans="2:12" ht="15" thickBot="1" x14ac:dyDescent="0.35">
      <c r="G26" s="156">
        <f>E33</f>
        <v>10366.821531701371</v>
      </c>
      <c r="H26" s="97">
        <v>0.12</v>
      </c>
      <c r="I26" s="97">
        <v>0.14000000000000001</v>
      </c>
      <c r="J26" s="97">
        <v>0.16</v>
      </c>
      <c r="K26" s="97">
        <v>0.18</v>
      </c>
      <c r="L26" s="128">
        <v>0.2</v>
      </c>
    </row>
    <row r="27" spans="2:12" ht="15" thickTop="1" x14ac:dyDescent="0.3">
      <c r="B27" s="115" t="s">
        <v>212</v>
      </c>
      <c r="C27" s="116"/>
      <c r="D27" s="116"/>
      <c r="E27" s="117"/>
      <c r="G27" s="157">
        <v>0.02</v>
      </c>
      <c r="H27" s="95">
        <f t="dataTable" ref="H27:L31" dt2D="1" dtr="1" r1="E30" r2="E31"/>
        <v>14663.593381799277</v>
      </c>
      <c r="I27" s="95">
        <v>12219.661151499397</v>
      </c>
      <c r="J27" s="95">
        <v>10473.995272713768</v>
      </c>
      <c r="K27" s="95">
        <v>9164.7458636245465</v>
      </c>
      <c r="L27" s="119">
        <v>8146.4407676662631</v>
      </c>
    </row>
    <row r="28" spans="2:12" x14ac:dyDescent="0.3">
      <c r="B28" s="118"/>
      <c r="C28" s="95"/>
      <c r="D28" s="95"/>
      <c r="E28" s="119"/>
      <c r="G28" s="157">
        <v>0.04</v>
      </c>
      <c r="H28" s="95">
        <v>18329.491727249097</v>
      </c>
      <c r="I28" s="95">
        <v>14663.593381799275</v>
      </c>
      <c r="J28" s="95">
        <v>12219.661151499397</v>
      </c>
      <c r="K28" s="95">
        <v>10473.99527271377</v>
      </c>
      <c r="L28" s="119">
        <v>9164.7458636245465</v>
      </c>
    </row>
    <row r="29" spans="2:12" x14ac:dyDescent="0.3">
      <c r="B29" s="120" t="s">
        <v>213</v>
      </c>
      <c r="C29" s="95"/>
      <c r="D29" s="95"/>
      <c r="E29" s="119">
        <f>L18*(1+E24)</f>
        <v>1466.3593381799276</v>
      </c>
      <c r="G29" s="157">
        <v>0.06</v>
      </c>
      <c r="H29" s="95">
        <v>24439.322302998793</v>
      </c>
      <c r="I29" s="95">
        <v>18329.491727249093</v>
      </c>
      <c r="J29" s="95">
        <v>14663.593381799275</v>
      </c>
      <c r="K29" s="95">
        <v>12219.661151499397</v>
      </c>
      <c r="L29" s="119">
        <v>10473.995272713768</v>
      </c>
    </row>
    <row r="30" spans="2:12" x14ac:dyDescent="0.3">
      <c r="B30" s="121" t="s">
        <v>151</v>
      </c>
      <c r="C30" s="95"/>
      <c r="D30" s="95"/>
      <c r="E30" s="122">
        <f>WACC!$J$46</f>
        <v>0.20644734079735558</v>
      </c>
      <c r="G30" s="157">
        <v>0.08</v>
      </c>
      <c r="H30" s="95">
        <v>36658.983454498193</v>
      </c>
      <c r="I30" s="95">
        <v>24439.322302998789</v>
      </c>
      <c r="J30" s="95">
        <v>18329.491727249093</v>
      </c>
      <c r="K30" s="95">
        <v>14663.593381799277</v>
      </c>
      <c r="L30" s="119">
        <v>12219.661151499397</v>
      </c>
    </row>
    <row r="31" spans="2:12" ht="15" thickBot="1" x14ac:dyDescent="0.35">
      <c r="B31" s="121" t="s">
        <v>214</v>
      </c>
      <c r="C31" s="95"/>
      <c r="D31" s="95"/>
      <c r="E31" s="122">
        <f>E25</f>
        <v>6.5000000000000002E-2</v>
      </c>
      <c r="G31" s="158">
        <v>0.1</v>
      </c>
      <c r="H31" s="129">
        <v>73317.966908996415</v>
      </c>
      <c r="I31" s="129">
        <v>36658.983454498186</v>
      </c>
      <c r="J31" s="129">
        <v>24439.322302998793</v>
      </c>
      <c r="K31" s="129">
        <v>18329.491727249097</v>
      </c>
      <c r="L31" s="130">
        <v>14663.593381799275</v>
      </c>
    </row>
    <row r="32" spans="2:12" ht="15.6" thickTop="1" thickBot="1" x14ac:dyDescent="0.35">
      <c r="B32" s="120"/>
      <c r="C32" s="95"/>
      <c r="D32" s="95"/>
      <c r="E32" s="119"/>
    </row>
    <row r="33" spans="2:12" ht="15.6" thickTop="1" thickBot="1" x14ac:dyDescent="0.35">
      <c r="B33" s="123" t="s">
        <v>215</v>
      </c>
      <c r="C33" s="99"/>
      <c r="D33" s="99"/>
      <c r="E33" s="124">
        <f>E29/(E30-E31)</f>
        <v>10366.821531701371</v>
      </c>
      <c r="G33" s="125" t="s">
        <v>270</v>
      </c>
      <c r="H33" s="126"/>
      <c r="I33" s="126"/>
      <c r="J33" s="126"/>
      <c r="K33" s="126"/>
      <c r="L33" s="127"/>
    </row>
    <row r="34" spans="2:12" ht="15.6" thickTop="1" thickBot="1" x14ac:dyDescent="0.35">
      <c r="G34" s="120"/>
      <c r="H34" s="95"/>
      <c r="I34" s="95"/>
      <c r="J34" s="95"/>
      <c r="K34" s="95"/>
      <c r="L34" s="119"/>
    </row>
    <row r="35" spans="2:12" ht="15.6" thickTop="1" thickBot="1" x14ac:dyDescent="0.35">
      <c r="B35" s="115" t="s">
        <v>216</v>
      </c>
      <c r="C35" s="131"/>
      <c r="D35" s="131"/>
      <c r="E35" s="132"/>
      <c r="G35" s="159">
        <f>E45</f>
        <v>17908.876938486264</v>
      </c>
      <c r="H35" s="97">
        <v>0.12</v>
      </c>
      <c r="I35" s="97">
        <v>0.14000000000000001</v>
      </c>
      <c r="J35" s="97">
        <v>0.16</v>
      </c>
      <c r="K35" s="97">
        <v>0.18</v>
      </c>
      <c r="L35" s="128">
        <v>0.2</v>
      </c>
    </row>
    <row r="36" spans="2:12" x14ac:dyDescent="0.3">
      <c r="B36" s="120"/>
      <c r="C36" s="95"/>
      <c r="D36" s="95"/>
      <c r="E36" s="119"/>
      <c r="G36" s="157">
        <v>0.02</v>
      </c>
      <c r="H36" s="95">
        <v>14663.593381799277</v>
      </c>
      <c r="I36" s="95">
        <v>12219.661151499397</v>
      </c>
      <c r="J36" s="95">
        <v>10473.995272713768</v>
      </c>
      <c r="K36" s="95">
        <v>9164.7458636245465</v>
      </c>
      <c r="L36" s="119">
        <v>8146.4407676662631</v>
      </c>
    </row>
    <row r="37" spans="2:12" x14ac:dyDescent="0.3">
      <c r="B37" s="120" t="s">
        <v>209</v>
      </c>
      <c r="C37" s="95"/>
      <c r="D37" s="95"/>
      <c r="E37" s="119">
        <f>SUM(H22:L22)</f>
        <v>6534.9753031827213</v>
      </c>
      <c r="G37" s="157">
        <v>0.04</v>
      </c>
      <c r="H37" s="95">
        <v>18329.491727249097</v>
      </c>
      <c r="I37" s="95">
        <v>14663.593381799275</v>
      </c>
      <c r="J37" s="95">
        <v>12219.661151499397</v>
      </c>
      <c r="K37" s="95">
        <v>10473.99527271377</v>
      </c>
      <c r="L37" s="119">
        <v>9164.7458636245465</v>
      </c>
    </row>
    <row r="38" spans="2:12" x14ac:dyDescent="0.3">
      <c r="B38" s="120" t="s">
        <v>217</v>
      </c>
      <c r="C38" s="95"/>
      <c r="D38" s="95"/>
      <c r="E38" s="119">
        <f>E33*L20</f>
        <v>4455.1051092919815</v>
      </c>
      <c r="G38" s="157">
        <v>0.06</v>
      </c>
      <c r="H38" s="95">
        <v>24439.322302998793</v>
      </c>
      <c r="I38" s="95">
        <v>18329.491727249093</v>
      </c>
      <c r="J38" s="95">
        <v>14663.593381799275</v>
      </c>
      <c r="K38" s="95">
        <v>12219.661151499397</v>
      </c>
      <c r="L38" s="119">
        <v>10473.995272713768</v>
      </c>
    </row>
    <row r="39" spans="2:12" ht="15" thickBot="1" x14ac:dyDescent="0.35">
      <c r="B39" s="133" t="s">
        <v>218</v>
      </c>
      <c r="C39" s="50"/>
      <c r="D39" s="50"/>
      <c r="E39" s="134">
        <f>SUM(E37:E38)</f>
        <v>10990.080412474703</v>
      </c>
      <c r="G39" s="157">
        <v>0.08</v>
      </c>
      <c r="H39" s="95">
        <v>36658.983454498193</v>
      </c>
      <c r="I39" s="95">
        <v>24439.322302998789</v>
      </c>
      <c r="J39" s="95">
        <v>18329.491727249093</v>
      </c>
      <c r="K39" s="95">
        <v>14663.593381799277</v>
      </c>
      <c r="L39" s="119">
        <v>12219.661151499397</v>
      </c>
    </row>
    <row r="40" spans="2:12" ht="15" thickBot="1" x14ac:dyDescent="0.35">
      <c r="B40" s="120"/>
      <c r="C40" s="95"/>
      <c r="D40" s="95"/>
      <c r="E40" s="119"/>
      <c r="G40" s="158">
        <v>0.1</v>
      </c>
      <c r="H40" s="129">
        <v>73317.966908996415</v>
      </c>
      <c r="I40" s="129">
        <v>36658.983454498186</v>
      </c>
      <c r="J40" s="129">
        <v>24439.322302998793</v>
      </c>
      <c r="K40" s="129">
        <v>18329.491727249097</v>
      </c>
      <c r="L40" s="130">
        <v>14663.593381799275</v>
      </c>
    </row>
    <row r="41" spans="2:12" ht="15" thickTop="1" x14ac:dyDescent="0.3">
      <c r="B41" s="120" t="s">
        <v>219</v>
      </c>
      <c r="C41" s="95"/>
      <c r="D41" s="95"/>
      <c r="E41" s="135">
        <f>'Data Sheet'!K69</f>
        <v>376.49</v>
      </c>
    </row>
    <row r="42" spans="2:12" ht="15" thickBot="1" x14ac:dyDescent="0.35">
      <c r="B42" s="120" t="s">
        <v>220</v>
      </c>
      <c r="C42" s="95"/>
      <c r="D42" s="95"/>
      <c r="E42" s="135">
        <f>'Data Sheet'!K59</f>
        <v>3771.16</v>
      </c>
    </row>
    <row r="43" spans="2:12" ht="15.6" thickTop="1" thickBot="1" x14ac:dyDescent="0.35">
      <c r="B43" s="136" t="s">
        <v>221</v>
      </c>
      <c r="C43" s="98"/>
      <c r="D43" s="98"/>
      <c r="E43" s="137">
        <f>E39+E41-E42</f>
        <v>7595.4104124747028</v>
      </c>
      <c r="G43" s="593" t="s">
        <v>271</v>
      </c>
      <c r="H43" s="594"/>
      <c r="I43" s="140"/>
      <c r="J43" s="140"/>
      <c r="K43" s="141">
        <f>'Data Sheet'!B8</f>
        <v>148060</v>
      </c>
    </row>
    <row r="44" spans="2:12" ht="15" thickBot="1" x14ac:dyDescent="0.35">
      <c r="B44" s="120" t="s">
        <v>222</v>
      </c>
      <c r="C44" s="95"/>
      <c r="D44" s="95"/>
      <c r="E44" s="138">
        <f>'Data Sheet'!B6</f>
        <v>0.4241142779954073</v>
      </c>
      <c r="G44" s="595" t="s">
        <v>272</v>
      </c>
      <c r="H44" s="596"/>
      <c r="I44" s="142"/>
      <c r="J44" s="142"/>
      <c r="K44" s="143">
        <f>K43/E45-1</f>
        <v>7.2674084203358582</v>
      </c>
    </row>
    <row r="45" spans="2:12" ht="15.6" thickTop="1" thickBot="1" x14ac:dyDescent="0.35">
      <c r="B45" s="123" t="s">
        <v>223</v>
      </c>
      <c r="C45" s="99"/>
      <c r="D45" s="99"/>
      <c r="E45" s="139">
        <f>E43/E44</f>
        <v>17908.876938486264</v>
      </c>
    </row>
    <row r="46" spans="2:12" ht="15" thickTop="1" x14ac:dyDescent="0.3">
      <c r="B46" s="5"/>
      <c r="C46" s="5"/>
      <c r="D46" s="5"/>
      <c r="E46" s="109"/>
    </row>
    <row r="47" spans="2:12" x14ac:dyDescent="0.3">
      <c r="B47" s="114" t="s">
        <v>274</v>
      </c>
      <c r="C47" s="5"/>
      <c r="D47" s="5"/>
      <c r="E47" s="109"/>
    </row>
    <row r="48" spans="2:12" ht="15" customHeight="1" x14ac:dyDescent="0.3">
      <c r="B48" s="110" t="s">
        <v>275</v>
      </c>
      <c r="C48" s="110"/>
      <c r="D48" s="110"/>
      <c r="E48" s="111"/>
      <c r="F48" s="112"/>
      <c r="G48" s="112"/>
      <c r="H48" s="112"/>
      <c r="I48" s="112"/>
      <c r="J48" s="112"/>
      <c r="K48" s="112"/>
      <c r="L48" s="112"/>
    </row>
    <row r="49" spans="1:12" ht="13.8" customHeight="1" x14ac:dyDescent="0.3">
      <c r="B49" s="113" t="s">
        <v>276</v>
      </c>
      <c r="C49" s="112"/>
      <c r="D49" s="112"/>
      <c r="E49" s="112"/>
      <c r="F49" s="112"/>
      <c r="G49" s="112"/>
      <c r="H49" s="112"/>
      <c r="I49" s="112"/>
      <c r="J49" s="112"/>
      <c r="K49" s="112"/>
      <c r="L49" s="112"/>
    </row>
    <row r="50" spans="1:12" ht="13.8" customHeight="1" x14ac:dyDescent="0.3">
      <c r="B50" s="113"/>
      <c r="C50" s="112"/>
      <c r="D50" s="112"/>
      <c r="E50" s="112"/>
      <c r="F50" s="112"/>
      <c r="G50" s="112"/>
      <c r="H50" s="112"/>
      <c r="I50" s="112"/>
      <c r="J50" s="112"/>
      <c r="K50" s="112"/>
      <c r="L50" s="112"/>
    </row>
    <row r="51" spans="1:12" x14ac:dyDescent="0.3">
      <c r="A51" s="101"/>
      <c r="B51" s="100"/>
      <c r="C51" s="100"/>
      <c r="D51" s="100"/>
      <c r="E51" s="100"/>
      <c r="F51" s="100"/>
      <c r="G51" s="100"/>
      <c r="H51" s="100"/>
      <c r="I51" s="100"/>
      <c r="J51" s="100"/>
      <c r="K51" s="100"/>
      <c r="L51" s="100"/>
    </row>
  </sheetData>
  <mergeCells count="3">
    <mergeCell ref="G43:H43"/>
    <mergeCell ref="G44:H44"/>
    <mergeCell ref="B2:J4"/>
  </mergeCells>
  <pageMargins left="0.7" right="0.7" top="0.75" bottom="0.75" header="0.3" footer="0.3"/>
  <pageSetup scale="87" orientation="portrait" r:id="rId1"/>
  <colBreaks count="1" manualBreakCount="1">
    <brk id="12" max="1048575" man="1"/>
  </colBreak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58"/>
  <sheetViews>
    <sheetView showGridLines="0" zoomScaleNormal="100" workbookViewId="0">
      <selection activeCell="G9" sqref="G9:K9"/>
    </sheetView>
  </sheetViews>
  <sheetFormatPr defaultRowHeight="14.4" x14ac:dyDescent="0.3"/>
  <cols>
    <col min="1" max="1" width="2.33203125" customWidth="1"/>
    <col min="7" max="11" width="12.77734375" customWidth="1"/>
  </cols>
  <sheetData>
    <row r="1" spans="2:13" x14ac:dyDescent="0.3">
      <c r="B1" s="326"/>
      <c r="C1" s="326"/>
      <c r="D1" s="326"/>
      <c r="E1" s="326"/>
      <c r="F1" s="326"/>
      <c r="G1" s="326"/>
      <c r="H1" s="326"/>
      <c r="I1" s="326"/>
      <c r="J1" s="326"/>
      <c r="K1" s="326"/>
      <c r="L1" s="387"/>
    </row>
    <row r="2" spans="2:13" x14ac:dyDescent="0.3">
      <c r="B2" s="621" t="s">
        <v>341</v>
      </c>
      <c r="C2" s="622"/>
      <c r="D2" s="622"/>
      <c r="E2" s="622"/>
      <c r="F2" s="622"/>
      <c r="G2" s="622"/>
      <c r="H2" s="622"/>
      <c r="I2" s="622"/>
      <c r="J2" s="622"/>
      <c r="K2" s="622"/>
      <c r="L2" s="387"/>
    </row>
    <row r="3" spans="2:13" x14ac:dyDescent="0.3">
      <c r="B3" s="622"/>
      <c r="C3" s="622"/>
      <c r="D3" s="622"/>
      <c r="E3" s="622"/>
      <c r="F3" s="622"/>
      <c r="G3" s="622"/>
      <c r="H3" s="622"/>
      <c r="I3" s="622"/>
      <c r="J3" s="622"/>
      <c r="K3" s="622"/>
      <c r="L3" s="387"/>
    </row>
    <row r="4" spans="2:13" x14ac:dyDescent="0.3">
      <c r="B4" s="622"/>
      <c r="C4" s="622"/>
      <c r="D4" s="622"/>
      <c r="E4" s="622"/>
      <c r="F4" s="622"/>
      <c r="G4" s="622"/>
      <c r="H4" s="622"/>
      <c r="I4" s="622"/>
      <c r="J4" s="622"/>
      <c r="K4" s="622"/>
      <c r="L4" s="387"/>
    </row>
    <row r="5" spans="2:13" x14ac:dyDescent="0.3">
      <c r="B5" s="386"/>
      <c r="C5" s="379"/>
      <c r="D5" s="379"/>
      <c r="E5" s="379"/>
      <c r="F5" s="379"/>
      <c r="G5" s="379"/>
      <c r="H5" s="379"/>
      <c r="I5" s="379"/>
      <c r="J5" s="328">
        <v>4.5</v>
      </c>
      <c r="K5" s="386"/>
      <c r="L5" s="387"/>
    </row>
    <row r="6" spans="2:13" x14ac:dyDescent="0.3">
      <c r="B6" s="326"/>
      <c r="C6" s="326"/>
      <c r="D6" s="326"/>
      <c r="E6" s="326"/>
      <c r="F6" s="329"/>
      <c r="G6" s="329"/>
      <c r="H6" s="329"/>
      <c r="I6" s="329"/>
      <c r="J6" s="329"/>
      <c r="K6" s="326"/>
      <c r="L6" s="387"/>
    </row>
    <row r="7" spans="2:13" ht="15" thickBot="1" x14ac:dyDescent="0.35"/>
    <row r="8" spans="2:13" ht="15" thickTop="1" x14ac:dyDescent="0.3">
      <c r="B8" s="597" t="s">
        <v>344</v>
      </c>
      <c r="C8" s="627"/>
      <c r="D8" s="627"/>
      <c r="E8" s="627"/>
      <c r="F8" s="627"/>
      <c r="G8" s="627"/>
      <c r="H8" s="627"/>
      <c r="I8" s="627"/>
      <c r="J8" s="627"/>
      <c r="K8" s="628"/>
      <c r="L8" s="418"/>
      <c r="M8" s="418"/>
    </row>
    <row r="9" spans="2:13" x14ac:dyDescent="0.3">
      <c r="B9" s="120"/>
      <c r="C9" s="95"/>
      <c r="D9" s="95"/>
      <c r="E9" s="95"/>
      <c r="F9" s="95"/>
      <c r="G9" s="419">
        <v>44256</v>
      </c>
      <c r="H9" s="419">
        <f>G9+365</f>
        <v>44621</v>
      </c>
      <c r="I9" s="419">
        <f t="shared" ref="I9:K9" si="0">H9+365</f>
        <v>44986</v>
      </c>
      <c r="J9" s="419">
        <f>I9+366</f>
        <v>45352</v>
      </c>
      <c r="K9" s="420">
        <f t="shared" si="0"/>
        <v>45717</v>
      </c>
      <c r="L9" s="101"/>
      <c r="M9" s="101"/>
    </row>
    <row r="10" spans="2:13" x14ac:dyDescent="0.3">
      <c r="B10" s="626" t="s">
        <v>73</v>
      </c>
      <c r="C10" s="508"/>
      <c r="D10" s="508"/>
      <c r="E10" s="508"/>
      <c r="F10" s="508"/>
      <c r="G10" s="95">
        <f>'Historical FS'!H37</f>
        <v>1277.06</v>
      </c>
      <c r="H10" s="95">
        <f>'Historical FS'!I37</f>
        <v>669.23</v>
      </c>
      <c r="I10" s="95">
        <f>'Historical FS'!J37</f>
        <v>768.93</v>
      </c>
      <c r="J10" s="95">
        <f>'Historical FS'!K37</f>
        <v>2081.2199999999998</v>
      </c>
      <c r="K10" s="119">
        <f>'Historical FS'!L37</f>
        <v>1869.28</v>
      </c>
    </row>
    <row r="11" spans="2:13" x14ac:dyDescent="0.3">
      <c r="B11" s="626" t="s">
        <v>343</v>
      </c>
      <c r="C11" s="508"/>
      <c r="D11" s="508"/>
      <c r="E11" s="508"/>
      <c r="F11" s="95"/>
      <c r="G11" s="95">
        <f>(SUM('Historical FS'!G51:G52)+SUM('Historical FS'!H51:H52))/2</f>
        <v>12814.189999999999</v>
      </c>
      <c r="H11" s="95">
        <f>(SUM('Historical FS'!H51:H52)+SUM('Historical FS'!I51:I52))/2</f>
        <v>13722.71</v>
      </c>
      <c r="I11" s="95">
        <f>(SUM('Historical FS'!I51:I52)+SUM('Historical FS'!J51:J52))/2</f>
        <v>14369.705</v>
      </c>
      <c r="J11" s="95">
        <f>(SUM('Historical FS'!J51:J52)+SUM('Historical FS'!K51:K52))/2</f>
        <v>15705.325000000001</v>
      </c>
      <c r="K11" s="95">
        <f>(SUM('Historical FS'!K51:K52)+SUM('Historical FS'!L51:L52))/2</f>
        <v>17595.725000000002</v>
      </c>
    </row>
    <row r="12" spans="2:13" ht="15" thickBot="1" x14ac:dyDescent="0.35">
      <c r="B12" s="629" t="s">
        <v>342</v>
      </c>
      <c r="C12" s="630"/>
      <c r="D12" s="630"/>
      <c r="E12" s="630"/>
      <c r="F12" s="424"/>
      <c r="G12" s="180">
        <f>G10/G11</f>
        <v>9.9659830235075339E-2</v>
      </c>
      <c r="H12" s="180">
        <f t="shared" ref="H12:K12" si="1">H10/H11</f>
        <v>4.8768064033999123E-2</v>
      </c>
      <c r="I12" s="180">
        <f t="shared" si="1"/>
        <v>5.3510493082495426E-2</v>
      </c>
      <c r="J12" s="180">
        <f t="shared" si="1"/>
        <v>0.13251683744207773</v>
      </c>
      <c r="K12" s="180">
        <f t="shared" si="1"/>
        <v>0.1062348951236735</v>
      </c>
    </row>
    <row r="13" spans="2:13" ht="15.6" thickTop="1" thickBot="1" x14ac:dyDescent="0.35"/>
    <row r="14" spans="2:13" ht="15" thickTop="1" x14ac:dyDescent="0.3">
      <c r="B14" s="597" t="s">
        <v>345</v>
      </c>
      <c r="C14" s="598"/>
      <c r="D14" s="598"/>
      <c r="E14" s="598"/>
      <c r="F14" s="598"/>
      <c r="G14" s="598"/>
      <c r="H14" s="598"/>
      <c r="I14" s="598"/>
      <c r="J14" s="598"/>
      <c r="K14" s="599"/>
    </row>
    <row r="15" spans="2:13" x14ac:dyDescent="0.3">
      <c r="B15" s="120"/>
      <c r="C15" s="95"/>
      <c r="D15" s="95"/>
      <c r="E15" s="95"/>
      <c r="F15" s="95"/>
      <c r="G15" s="419">
        <v>44256</v>
      </c>
      <c r="H15" s="419">
        <f>G15+365</f>
        <v>44621</v>
      </c>
      <c r="I15" s="419">
        <f t="shared" ref="I15:K15" si="2">H15+365</f>
        <v>44986</v>
      </c>
      <c r="J15" s="419">
        <f>I15+366</f>
        <v>45352</v>
      </c>
      <c r="K15" s="420">
        <f t="shared" si="2"/>
        <v>45717</v>
      </c>
    </row>
    <row r="16" spans="2:13" x14ac:dyDescent="0.3">
      <c r="B16" s="626" t="s">
        <v>73</v>
      </c>
      <c r="C16" s="508"/>
      <c r="D16" s="508"/>
      <c r="E16" s="508"/>
      <c r="F16" s="95"/>
      <c r="G16" s="95">
        <f>G10</f>
        <v>1277.06</v>
      </c>
      <c r="H16" s="95">
        <f t="shared" ref="H16:K16" si="3">H10</f>
        <v>669.23</v>
      </c>
      <c r="I16" s="95">
        <f t="shared" si="3"/>
        <v>768.93</v>
      </c>
      <c r="J16" s="95">
        <f t="shared" si="3"/>
        <v>2081.2199999999998</v>
      </c>
      <c r="K16" s="119">
        <f t="shared" si="3"/>
        <v>1869.28</v>
      </c>
    </row>
    <row r="17" spans="2:11" x14ac:dyDescent="0.3">
      <c r="B17" s="626" t="s">
        <v>316</v>
      </c>
      <c r="C17" s="508"/>
      <c r="D17" s="508"/>
      <c r="E17" s="508"/>
      <c r="F17" s="95"/>
      <c r="G17" s="95">
        <f>'Historical FS'!H10</f>
        <v>16162.49</v>
      </c>
      <c r="H17" s="95">
        <f>'Historical FS'!I10</f>
        <v>19316.650000000001</v>
      </c>
      <c r="I17" s="95">
        <f>'Historical FS'!J10</f>
        <v>23008.33</v>
      </c>
      <c r="J17" s="95">
        <f>'Historical FS'!K10</f>
        <v>25168.73</v>
      </c>
      <c r="K17" s="119">
        <f>'Historical FS'!L10</f>
        <v>28152.5</v>
      </c>
    </row>
    <row r="18" spans="2:11" x14ac:dyDescent="0.3">
      <c r="B18" s="631" t="s">
        <v>346</v>
      </c>
      <c r="C18" s="632"/>
      <c r="D18" s="632"/>
      <c r="E18" s="632"/>
      <c r="F18" s="5"/>
      <c r="G18" s="429">
        <f>G16/G17</f>
        <v>7.9013815321772818E-2</v>
      </c>
      <c r="H18" s="429">
        <f t="shared" ref="H18:K18" si="4">H16/H17</f>
        <v>3.4645241281485141E-2</v>
      </c>
      <c r="I18" s="429">
        <f t="shared" si="4"/>
        <v>3.3419635410305744E-2</v>
      </c>
      <c r="J18" s="429">
        <f t="shared" si="4"/>
        <v>8.2690703901229817E-2</v>
      </c>
      <c r="K18" s="430">
        <f t="shared" si="4"/>
        <v>6.6398366042092177E-2</v>
      </c>
    </row>
    <row r="19" spans="2:11" x14ac:dyDescent="0.3">
      <c r="B19" s="120"/>
      <c r="C19" s="95"/>
      <c r="D19" s="95"/>
      <c r="E19" s="95"/>
      <c r="F19" s="95"/>
      <c r="G19" s="95"/>
      <c r="H19" s="95"/>
      <c r="I19" s="95"/>
      <c r="J19" s="95"/>
      <c r="K19" s="119"/>
    </row>
    <row r="20" spans="2:11" x14ac:dyDescent="0.3">
      <c r="B20" s="626" t="s">
        <v>316</v>
      </c>
      <c r="C20" s="508"/>
      <c r="D20" s="508"/>
      <c r="E20" s="508"/>
      <c r="F20" s="95"/>
      <c r="G20" s="95">
        <f>G17</f>
        <v>16162.49</v>
      </c>
      <c r="H20" s="95">
        <f t="shared" ref="H20:K20" si="5">H17</f>
        <v>19316.650000000001</v>
      </c>
      <c r="I20" s="95">
        <f t="shared" si="5"/>
        <v>23008.33</v>
      </c>
      <c r="J20" s="95">
        <f t="shared" si="5"/>
        <v>25168.73</v>
      </c>
      <c r="K20" s="119">
        <f t="shared" si="5"/>
        <v>28152.5</v>
      </c>
    </row>
    <row r="21" spans="2:11" x14ac:dyDescent="0.3">
      <c r="B21" s="626" t="s">
        <v>347</v>
      </c>
      <c r="C21" s="508"/>
      <c r="D21" s="508"/>
      <c r="E21" s="508"/>
      <c r="F21" s="95"/>
      <c r="G21" s="95">
        <f>('Historical FS'!G68+'Historical FS'!H68)/2</f>
        <v>21012.1</v>
      </c>
      <c r="H21" s="95">
        <f>('Historical FS'!H68+'Historical FS'!I68)/2</f>
        <v>22820.799999999996</v>
      </c>
      <c r="I21" s="95">
        <f>('Historical FS'!I68+'Historical FS'!J68)/2</f>
        <v>23714.575000000001</v>
      </c>
      <c r="J21" s="95">
        <f>('Historical FS'!J68+'Historical FS'!K68)/2</f>
        <v>25609.420000000002</v>
      </c>
      <c r="K21" s="119">
        <f>('Historical FS'!K68+'Historical FS'!L68)/2</f>
        <v>28208.21</v>
      </c>
    </row>
    <row r="22" spans="2:11" x14ac:dyDescent="0.3">
      <c r="B22" s="631" t="s">
        <v>348</v>
      </c>
      <c r="C22" s="632"/>
      <c r="D22" s="632"/>
      <c r="E22" s="632"/>
      <c r="F22" s="5"/>
      <c r="G22" s="429">
        <f>G20/G21</f>
        <v>0.76919917571304153</v>
      </c>
      <c r="H22" s="429">
        <f t="shared" ref="H22:K22" si="6">H20/H21</f>
        <v>0.84644929187408002</v>
      </c>
      <c r="I22" s="429">
        <f t="shared" si="6"/>
        <v>0.97021894763030758</v>
      </c>
      <c r="J22" s="429">
        <f t="shared" si="6"/>
        <v>0.98279187892580144</v>
      </c>
      <c r="K22" s="430">
        <f t="shared" si="6"/>
        <v>0.99802504306370388</v>
      </c>
    </row>
    <row r="23" spans="2:11" x14ac:dyDescent="0.3">
      <c r="B23" s="120"/>
      <c r="C23" s="95"/>
      <c r="D23" s="95"/>
      <c r="E23" s="95"/>
      <c r="F23" s="95"/>
      <c r="G23" s="95"/>
      <c r="H23" s="95"/>
      <c r="I23" s="95"/>
      <c r="J23" s="95"/>
      <c r="K23" s="119"/>
    </row>
    <row r="24" spans="2:11" x14ac:dyDescent="0.3">
      <c r="B24" s="120" t="str">
        <f>B21</f>
        <v>Average Total Asset</v>
      </c>
      <c r="C24" s="95"/>
      <c r="D24" s="95"/>
      <c r="E24" s="95"/>
      <c r="F24" s="95"/>
      <c r="G24" s="95">
        <f>G21</f>
        <v>21012.1</v>
      </c>
      <c r="H24" s="95">
        <f t="shared" ref="H24:K24" si="7">H21</f>
        <v>22820.799999999996</v>
      </c>
      <c r="I24" s="95">
        <f t="shared" si="7"/>
        <v>23714.575000000001</v>
      </c>
      <c r="J24" s="95">
        <f t="shared" si="7"/>
        <v>25609.420000000002</v>
      </c>
      <c r="K24" s="119">
        <f t="shared" si="7"/>
        <v>28208.21</v>
      </c>
    </row>
    <row r="25" spans="2:11" x14ac:dyDescent="0.3">
      <c r="B25" s="120" t="str">
        <f>B11</f>
        <v>Average Shareholder Equity</v>
      </c>
      <c r="C25" s="95"/>
      <c r="D25" s="95"/>
      <c r="E25" s="95"/>
      <c r="F25" s="95"/>
      <c r="G25" s="95">
        <f>G11</f>
        <v>12814.189999999999</v>
      </c>
      <c r="H25" s="95">
        <f t="shared" ref="H25:K25" si="8">H11</f>
        <v>13722.71</v>
      </c>
      <c r="I25" s="95">
        <f t="shared" si="8"/>
        <v>14369.705</v>
      </c>
      <c r="J25" s="95">
        <f t="shared" si="8"/>
        <v>15705.325000000001</v>
      </c>
      <c r="K25" s="119">
        <f t="shared" si="8"/>
        <v>17595.725000000002</v>
      </c>
    </row>
    <row r="26" spans="2:11" ht="15" thickBot="1" x14ac:dyDescent="0.35">
      <c r="B26" s="423" t="s">
        <v>349</v>
      </c>
      <c r="C26" s="424"/>
      <c r="D26" s="424"/>
      <c r="E26" s="424"/>
      <c r="F26" s="424"/>
      <c r="G26" s="431">
        <f>G24/G25</f>
        <v>1.6397524931345642</v>
      </c>
      <c r="H26" s="431">
        <f t="shared" ref="H26:K26" si="9">H24/H25</f>
        <v>1.6629951372578737</v>
      </c>
      <c r="I26" s="431">
        <f t="shared" si="9"/>
        <v>1.6503174560646861</v>
      </c>
      <c r="J26" s="431">
        <f t="shared" si="9"/>
        <v>1.630620187738872</v>
      </c>
      <c r="K26" s="432">
        <f t="shared" si="9"/>
        <v>1.6031286008391241</v>
      </c>
    </row>
    <row r="27" spans="2:11" ht="15.6" thickTop="1" thickBot="1" x14ac:dyDescent="0.35"/>
    <row r="28" spans="2:11" ht="15.6" thickTop="1" thickBot="1" x14ac:dyDescent="0.35">
      <c r="B28" s="633" t="s">
        <v>342</v>
      </c>
      <c r="C28" s="634"/>
      <c r="D28" s="634"/>
      <c r="E28" s="634"/>
      <c r="F28" s="634"/>
      <c r="G28" s="433">
        <f>G18*G22*G26</f>
        <v>9.9659830235075339E-2</v>
      </c>
      <c r="H28" s="433">
        <f t="shared" ref="H28:K28" si="10">H18*H22*H26</f>
        <v>4.8768064033999116E-2</v>
      </c>
      <c r="I28" s="433">
        <f t="shared" si="10"/>
        <v>5.3510493082495433E-2</v>
      </c>
      <c r="J28" s="433">
        <f t="shared" si="10"/>
        <v>0.13251683744207776</v>
      </c>
      <c r="K28" s="434">
        <f t="shared" si="10"/>
        <v>0.10623489512367351</v>
      </c>
    </row>
    <row r="29" spans="2:11" ht="15.6" thickTop="1" thickBot="1" x14ac:dyDescent="0.35"/>
    <row r="30" spans="2:11" ht="15" thickTop="1" x14ac:dyDescent="0.3">
      <c r="B30" s="597" t="s">
        <v>350</v>
      </c>
      <c r="C30" s="598"/>
      <c r="D30" s="598"/>
      <c r="E30" s="598"/>
      <c r="F30" s="598"/>
      <c r="G30" s="598"/>
      <c r="H30" s="598"/>
      <c r="I30" s="598"/>
      <c r="J30" s="598"/>
      <c r="K30" s="599"/>
    </row>
    <row r="31" spans="2:11" x14ac:dyDescent="0.3">
      <c r="B31" s="120"/>
      <c r="C31" s="95"/>
      <c r="D31" s="95"/>
      <c r="E31" s="95"/>
      <c r="F31" s="95"/>
      <c r="G31" s="419">
        <v>44256</v>
      </c>
      <c r="H31" s="419">
        <f>G31+365</f>
        <v>44621</v>
      </c>
      <c r="I31" s="419">
        <f t="shared" ref="I31:K31" si="11">H31+365</f>
        <v>44986</v>
      </c>
      <c r="J31" s="419">
        <f>I31+366</f>
        <v>45352</v>
      </c>
      <c r="K31" s="420">
        <f t="shared" si="11"/>
        <v>45717</v>
      </c>
    </row>
    <row r="32" spans="2:11" x14ac:dyDescent="0.3">
      <c r="B32" s="120" t="str">
        <f>B16</f>
        <v>Net Profit</v>
      </c>
      <c r="C32" s="95"/>
      <c r="D32" s="95"/>
      <c r="E32" s="95"/>
      <c r="F32" s="95"/>
      <c r="G32" s="95">
        <f>G16</f>
        <v>1277.06</v>
      </c>
      <c r="H32" s="95">
        <f t="shared" ref="H32:K32" si="12">H16</f>
        <v>669.23</v>
      </c>
      <c r="I32" s="95">
        <f t="shared" si="12"/>
        <v>768.93</v>
      </c>
      <c r="J32" s="95">
        <f t="shared" si="12"/>
        <v>2081.2199999999998</v>
      </c>
      <c r="K32" s="119">
        <f t="shared" si="12"/>
        <v>1869.28</v>
      </c>
    </row>
    <row r="33" spans="2:11" x14ac:dyDescent="0.3">
      <c r="B33" s="120" t="str">
        <f>B21</f>
        <v>Average Total Asset</v>
      </c>
      <c r="C33" s="95"/>
      <c r="D33" s="95"/>
      <c r="E33" s="95"/>
      <c r="F33" s="95"/>
      <c r="G33" s="95">
        <f>G21</f>
        <v>21012.1</v>
      </c>
      <c r="H33" s="95">
        <f t="shared" ref="H33:K33" si="13">H21</f>
        <v>22820.799999999996</v>
      </c>
      <c r="I33" s="95">
        <f t="shared" si="13"/>
        <v>23714.575000000001</v>
      </c>
      <c r="J33" s="95">
        <f t="shared" si="13"/>
        <v>25609.420000000002</v>
      </c>
      <c r="K33" s="119">
        <f t="shared" si="13"/>
        <v>28208.21</v>
      </c>
    </row>
    <row r="34" spans="2:11" ht="15" thickBot="1" x14ac:dyDescent="0.35">
      <c r="B34" s="423" t="s">
        <v>351</v>
      </c>
      <c r="C34" s="424"/>
      <c r="D34" s="424"/>
      <c r="E34" s="424"/>
      <c r="F34" s="424"/>
      <c r="G34" s="180">
        <f>G32/G33</f>
        <v>6.0777361615450144E-2</v>
      </c>
      <c r="H34" s="180">
        <f t="shared" ref="H34:K34" si="14">H32/H33</f>
        <v>2.9325439949519742E-2</v>
      </c>
      <c r="I34" s="180">
        <f t="shared" si="14"/>
        <v>3.2424363497975395E-2</v>
      </c>
      <c r="J34" s="180">
        <f t="shared" si="14"/>
        <v>8.1267752256786743E-2</v>
      </c>
      <c r="K34" s="181">
        <f t="shared" si="14"/>
        <v>6.6267232128518608E-2</v>
      </c>
    </row>
    <row r="35" spans="2:11" ht="15.6" thickTop="1" thickBot="1" x14ac:dyDescent="0.35"/>
    <row r="36" spans="2:11" ht="15" thickTop="1" x14ac:dyDescent="0.3">
      <c r="B36" s="597" t="s">
        <v>345</v>
      </c>
      <c r="C36" s="598"/>
      <c r="D36" s="598"/>
      <c r="E36" s="598"/>
      <c r="F36" s="598"/>
      <c r="G36" s="598"/>
      <c r="H36" s="598"/>
      <c r="I36" s="598"/>
      <c r="J36" s="598"/>
      <c r="K36" s="599"/>
    </row>
    <row r="37" spans="2:11" x14ac:dyDescent="0.3">
      <c r="B37" s="120"/>
      <c r="C37" s="95"/>
      <c r="D37" s="95"/>
      <c r="E37" s="95"/>
      <c r="F37" s="95"/>
      <c r="G37" s="419">
        <v>44256</v>
      </c>
      <c r="H37" s="419">
        <f>G37+365</f>
        <v>44621</v>
      </c>
      <c r="I37" s="419">
        <f t="shared" ref="I37" si="15">H37+365</f>
        <v>44986</v>
      </c>
      <c r="J37" s="419">
        <f>I37+366</f>
        <v>45352</v>
      </c>
      <c r="K37" s="420">
        <f t="shared" ref="K37" si="16">J37+365</f>
        <v>45717</v>
      </c>
    </row>
    <row r="38" spans="2:11" x14ac:dyDescent="0.3">
      <c r="B38" s="120" t="str">
        <f>B32</f>
        <v>Net Profit</v>
      </c>
      <c r="C38" s="95"/>
      <c r="D38" s="95"/>
      <c r="E38" s="95"/>
      <c r="F38" s="95"/>
      <c r="G38" s="95">
        <f t="shared" ref="G38:K38" si="17">G32</f>
        <v>1277.06</v>
      </c>
      <c r="H38" s="95">
        <f t="shared" si="17"/>
        <v>669.23</v>
      </c>
      <c r="I38" s="95">
        <f t="shared" si="17"/>
        <v>768.93</v>
      </c>
      <c r="J38" s="95">
        <f t="shared" si="17"/>
        <v>2081.2199999999998</v>
      </c>
      <c r="K38" s="119">
        <f t="shared" si="17"/>
        <v>1869.28</v>
      </c>
    </row>
    <row r="39" spans="2:11" x14ac:dyDescent="0.3">
      <c r="B39" s="120" t="str">
        <f>B17</f>
        <v>Revenue</v>
      </c>
      <c r="C39" s="95"/>
      <c r="D39" s="95"/>
      <c r="E39" s="95"/>
      <c r="F39" s="95"/>
      <c r="G39" s="95">
        <f t="shared" ref="G39:K39" si="18">G17</f>
        <v>16162.49</v>
      </c>
      <c r="H39" s="95">
        <f t="shared" si="18"/>
        <v>19316.650000000001</v>
      </c>
      <c r="I39" s="95">
        <f t="shared" si="18"/>
        <v>23008.33</v>
      </c>
      <c r="J39" s="95">
        <f t="shared" si="18"/>
        <v>25168.73</v>
      </c>
      <c r="K39" s="119">
        <f t="shared" si="18"/>
        <v>28152.5</v>
      </c>
    </row>
    <row r="40" spans="2:11" x14ac:dyDescent="0.3">
      <c r="B40" s="118" t="str">
        <f>B18</f>
        <v>Net Profit Margin</v>
      </c>
      <c r="C40" s="5"/>
      <c r="D40" s="5"/>
      <c r="E40" s="5"/>
      <c r="F40" s="5"/>
      <c r="G40" s="429">
        <f t="shared" ref="G40:K40" si="19">G18</f>
        <v>7.9013815321772818E-2</v>
      </c>
      <c r="H40" s="429">
        <f t="shared" si="19"/>
        <v>3.4645241281485141E-2</v>
      </c>
      <c r="I40" s="429">
        <f t="shared" si="19"/>
        <v>3.3419635410305744E-2</v>
      </c>
      <c r="J40" s="429">
        <f t="shared" si="19"/>
        <v>8.2690703901229817E-2</v>
      </c>
      <c r="K40" s="430">
        <f t="shared" si="19"/>
        <v>6.6398366042092177E-2</v>
      </c>
    </row>
    <row r="41" spans="2:11" x14ac:dyDescent="0.3">
      <c r="B41" s="120"/>
      <c r="C41" s="95"/>
      <c r="D41" s="95"/>
      <c r="E41" s="95"/>
      <c r="F41" s="95"/>
      <c r="G41" s="95"/>
      <c r="H41" s="95"/>
      <c r="I41" s="95"/>
      <c r="J41" s="95"/>
      <c r="K41" s="119"/>
    </row>
    <row r="42" spans="2:11" x14ac:dyDescent="0.3">
      <c r="B42" s="120" t="str">
        <f>B39</f>
        <v>Revenue</v>
      </c>
      <c r="C42" s="95"/>
      <c r="D42" s="95"/>
      <c r="E42" s="95"/>
      <c r="F42" s="95"/>
      <c r="G42" s="95">
        <f t="shared" ref="G42:K42" si="20">G39</f>
        <v>16162.49</v>
      </c>
      <c r="H42" s="95">
        <f t="shared" si="20"/>
        <v>19316.650000000001</v>
      </c>
      <c r="I42" s="95">
        <f t="shared" si="20"/>
        <v>23008.33</v>
      </c>
      <c r="J42" s="95">
        <f t="shared" si="20"/>
        <v>25168.73</v>
      </c>
      <c r="K42" s="119">
        <f t="shared" si="20"/>
        <v>28152.5</v>
      </c>
    </row>
    <row r="43" spans="2:11" x14ac:dyDescent="0.3">
      <c r="B43" s="120" t="str">
        <f>B21</f>
        <v>Average Total Asset</v>
      </c>
      <c r="C43" s="95"/>
      <c r="D43" s="95"/>
      <c r="E43" s="95"/>
      <c r="F43" s="95"/>
      <c r="G43" s="95">
        <f t="shared" ref="G43:K43" si="21">G21</f>
        <v>21012.1</v>
      </c>
      <c r="H43" s="95">
        <f t="shared" si="21"/>
        <v>22820.799999999996</v>
      </c>
      <c r="I43" s="95">
        <f t="shared" si="21"/>
        <v>23714.575000000001</v>
      </c>
      <c r="J43" s="95">
        <f t="shared" si="21"/>
        <v>25609.420000000002</v>
      </c>
      <c r="K43" s="119">
        <f t="shared" si="21"/>
        <v>28208.21</v>
      </c>
    </row>
    <row r="44" spans="2:11" x14ac:dyDescent="0.3">
      <c r="B44" s="118" t="str">
        <f>B22</f>
        <v>Asset Turnover Ratio</v>
      </c>
      <c r="C44" s="5"/>
      <c r="D44" s="5"/>
      <c r="E44" s="5"/>
      <c r="F44" s="5"/>
      <c r="G44" s="429">
        <f t="shared" ref="G44:K44" si="22">G22</f>
        <v>0.76919917571304153</v>
      </c>
      <c r="H44" s="429">
        <f t="shared" si="22"/>
        <v>0.84644929187408002</v>
      </c>
      <c r="I44" s="429">
        <f t="shared" si="22"/>
        <v>0.97021894763030758</v>
      </c>
      <c r="J44" s="429">
        <f t="shared" si="22"/>
        <v>0.98279187892580144</v>
      </c>
      <c r="K44" s="430">
        <f t="shared" si="22"/>
        <v>0.99802504306370388</v>
      </c>
    </row>
    <row r="45" spans="2:11" x14ac:dyDescent="0.3">
      <c r="B45" s="120"/>
      <c r="C45" s="95"/>
      <c r="D45" s="95"/>
      <c r="E45" s="95"/>
      <c r="F45" s="95"/>
      <c r="G45" s="95"/>
      <c r="H45" s="95"/>
      <c r="I45" s="95"/>
      <c r="J45" s="95"/>
      <c r="K45" s="119"/>
    </row>
    <row r="46" spans="2:11" ht="15" thickBot="1" x14ac:dyDescent="0.35">
      <c r="B46" s="629" t="s">
        <v>351</v>
      </c>
      <c r="C46" s="630"/>
      <c r="D46" s="630"/>
      <c r="E46" s="630"/>
      <c r="F46" s="630"/>
      <c r="G46" s="435">
        <f>G40*G44</f>
        <v>6.0777361615450144E-2</v>
      </c>
      <c r="H46" s="435">
        <f t="shared" ref="H46:K46" si="23">H40*H44</f>
        <v>2.9325439949519742E-2</v>
      </c>
      <c r="I46" s="435">
        <f t="shared" si="23"/>
        <v>3.2424363497975402E-2</v>
      </c>
      <c r="J46" s="435">
        <f t="shared" si="23"/>
        <v>8.1267752256786757E-2</v>
      </c>
      <c r="K46" s="436">
        <f t="shared" si="23"/>
        <v>6.6267232128518622E-2</v>
      </c>
    </row>
    <row r="47" spans="2:11" ht="15.6" thickTop="1" thickBot="1" x14ac:dyDescent="0.35">
      <c r="B47" s="5"/>
      <c r="C47" s="5"/>
      <c r="D47" s="5"/>
      <c r="E47" s="5"/>
      <c r="F47" s="5"/>
      <c r="G47" s="437"/>
      <c r="H47" s="437"/>
      <c r="I47" s="437"/>
      <c r="J47" s="437"/>
      <c r="K47" s="437"/>
    </row>
    <row r="48" spans="2:11" ht="15.6" thickTop="1" thickBot="1" x14ac:dyDescent="0.35">
      <c r="B48" s="438" t="s">
        <v>352</v>
      </c>
      <c r="C48" s="439"/>
      <c r="D48" s="439"/>
      <c r="E48" s="439"/>
      <c r="F48" s="439"/>
      <c r="G48" s="439" t="str">
        <f>IF(AND(G28&gt;=10%, G46&gt;=5%), "Healthy",
 IF(OR(AND(G28&gt;=7%, G28&lt;10%), AND(G46&gt;=3.5%, G46&lt;5%)), "Stressed",
 "Distressed"))</f>
        <v>Stressed</v>
      </c>
      <c r="H48" s="439" t="str">
        <f t="shared" ref="H48:K48" si="24">IF(AND(H28&gt;=10%, H46&gt;=5%), "Healthy",
 IF(OR(AND(H28&gt;=7%, H28&lt;10%), AND(H46&gt;=3.5%, H46&lt;5%)), "Stressed",
 "Distressed"))</f>
        <v>Distressed</v>
      </c>
      <c r="I48" s="439" t="str">
        <f t="shared" si="24"/>
        <v>Distressed</v>
      </c>
      <c r="J48" s="439" t="str">
        <f t="shared" si="24"/>
        <v>Healthy</v>
      </c>
      <c r="K48" s="440" t="str">
        <f t="shared" si="24"/>
        <v>Healthy</v>
      </c>
    </row>
    <row r="49" spans="2:11" ht="15" thickTop="1" x14ac:dyDescent="0.3"/>
    <row r="58" spans="2:11" x14ac:dyDescent="0.3">
      <c r="B58" s="100"/>
      <c r="C58" s="100"/>
      <c r="D58" s="100"/>
      <c r="E58" s="100"/>
      <c r="F58" s="100"/>
      <c r="G58" s="100"/>
      <c r="H58" s="100"/>
      <c r="I58" s="100"/>
      <c r="J58" s="100"/>
      <c r="K58" s="100"/>
    </row>
  </sheetData>
  <mergeCells count="16">
    <mergeCell ref="B2:K4"/>
    <mergeCell ref="B10:F10"/>
    <mergeCell ref="B8:K8"/>
    <mergeCell ref="B14:K14"/>
    <mergeCell ref="B46:F46"/>
    <mergeCell ref="B16:E16"/>
    <mergeCell ref="B17:E17"/>
    <mergeCell ref="B18:E18"/>
    <mergeCell ref="B11:E11"/>
    <mergeCell ref="B12:E12"/>
    <mergeCell ref="B20:E20"/>
    <mergeCell ref="B21:E21"/>
    <mergeCell ref="B22:E22"/>
    <mergeCell ref="B28:F28"/>
    <mergeCell ref="B30:K30"/>
    <mergeCell ref="B36:K36"/>
  </mergeCells>
  <pageMargins left="0.7" right="0.7" top="0.75" bottom="0.75" header="0.3" footer="0.3"/>
  <pageSetup scale="77" orientation="portrait" r:id="rId1"/>
  <colBreaks count="1" manualBreakCount="1">
    <brk id="11" max="1048575" man="1"/>
  </colBreak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42"/>
  <sheetViews>
    <sheetView showGridLines="0" zoomScaleNormal="100" workbookViewId="0">
      <selection activeCell="B1" sqref="B1:K6"/>
    </sheetView>
  </sheetViews>
  <sheetFormatPr defaultRowHeight="14.4" x14ac:dyDescent="0.3"/>
  <cols>
    <col min="1" max="1" width="1.88671875" style="442" customWidth="1"/>
    <col min="2" max="11" width="10.77734375" style="442" customWidth="1"/>
    <col min="12" max="16384" width="8.88671875" style="442"/>
  </cols>
  <sheetData>
    <row r="1" spans="2:11" x14ac:dyDescent="0.3">
      <c r="B1" s="441"/>
      <c r="C1" s="441"/>
      <c r="D1" s="441"/>
      <c r="E1" s="441"/>
      <c r="F1" s="441"/>
      <c r="G1" s="441"/>
      <c r="H1" s="441"/>
      <c r="I1" s="441"/>
      <c r="J1" s="441"/>
      <c r="K1" s="441"/>
    </row>
    <row r="2" spans="2:11" x14ac:dyDescent="0.3">
      <c r="B2" s="600" t="s">
        <v>353</v>
      </c>
      <c r="C2" s="510"/>
      <c r="D2" s="510"/>
      <c r="E2" s="510"/>
      <c r="F2" s="510"/>
      <c r="G2" s="510"/>
      <c r="H2" s="510"/>
      <c r="I2" s="510"/>
      <c r="J2" s="510"/>
      <c r="K2" s="510"/>
    </row>
    <row r="3" spans="2:11" x14ac:dyDescent="0.3">
      <c r="B3" s="510"/>
      <c r="C3" s="510"/>
      <c r="D3" s="510"/>
      <c r="E3" s="510"/>
      <c r="F3" s="510"/>
      <c r="G3" s="510"/>
      <c r="H3" s="510"/>
      <c r="I3" s="510"/>
      <c r="J3" s="510"/>
      <c r="K3" s="510"/>
    </row>
    <row r="4" spans="2:11" x14ac:dyDescent="0.3">
      <c r="B4" s="510"/>
      <c r="C4" s="510"/>
      <c r="D4" s="510"/>
      <c r="E4" s="510"/>
      <c r="F4" s="510"/>
      <c r="G4" s="510"/>
      <c r="H4" s="510"/>
      <c r="I4" s="510"/>
      <c r="J4" s="510"/>
      <c r="K4" s="510"/>
    </row>
    <row r="5" spans="2:11" x14ac:dyDescent="0.3">
      <c r="B5" s="443"/>
      <c r="C5" s="444"/>
      <c r="D5" s="444"/>
      <c r="E5" s="444"/>
      <c r="F5" s="444"/>
      <c r="G5" s="444"/>
      <c r="H5" s="444"/>
      <c r="I5" s="444"/>
      <c r="J5" s="445">
        <v>4.5</v>
      </c>
      <c r="K5" s="443"/>
    </row>
    <row r="6" spans="2:11" x14ac:dyDescent="0.3">
      <c r="B6" s="441"/>
      <c r="C6" s="441"/>
      <c r="D6" s="441"/>
      <c r="E6" s="441"/>
      <c r="F6" s="446"/>
      <c r="G6" s="446"/>
      <c r="H6" s="446"/>
      <c r="I6" s="446"/>
      <c r="J6" s="446"/>
      <c r="K6" s="441"/>
    </row>
    <row r="7" spans="2:11" ht="15.6" x14ac:dyDescent="0.3">
      <c r="B7" s="449"/>
      <c r="C7" s="449"/>
      <c r="D7" s="449"/>
      <c r="E7" s="449"/>
      <c r="F7" s="449"/>
      <c r="G7" s="449"/>
      <c r="H7" s="449"/>
      <c r="I7" s="449"/>
      <c r="J7" s="449"/>
      <c r="K7" s="449"/>
    </row>
    <row r="8" spans="2:11" ht="15.6" x14ac:dyDescent="0.3">
      <c r="B8" s="448" t="s">
        <v>354</v>
      </c>
      <c r="C8" s="449"/>
      <c r="D8" s="449"/>
      <c r="E8" s="449"/>
      <c r="F8" s="449"/>
      <c r="G8" s="449"/>
      <c r="H8" s="449"/>
      <c r="I8" s="449"/>
      <c r="J8" s="449"/>
      <c r="K8" s="449"/>
    </row>
    <row r="9" spans="2:11" ht="45" customHeight="1" x14ac:dyDescent="0.3">
      <c r="B9" s="605" t="s">
        <v>368</v>
      </c>
      <c r="C9" s="605"/>
      <c r="D9" s="605"/>
      <c r="E9" s="605"/>
      <c r="F9" s="605"/>
      <c r="G9" s="605"/>
      <c r="H9" s="605"/>
      <c r="I9" s="605"/>
      <c r="J9" s="605"/>
      <c r="K9" s="605"/>
    </row>
    <row r="10" spans="2:11" ht="4.8" customHeight="1" x14ac:dyDescent="0.3">
      <c r="B10" s="449"/>
      <c r="C10" s="449"/>
      <c r="D10" s="449"/>
      <c r="E10" s="449"/>
      <c r="F10" s="449"/>
      <c r="G10" s="449"/>
      <c r="H10" s="449"/>
      <c r="I10" s="449"/>
      <c r="J10" s="449"/>
      <c r="K10" s="449"/>
    </row>
    <row r="11" spans="2:11" ht="15.6" x14ac:dyDescent="0.3">
      <c r="B11" s="448" t="s">
        <v>355</v>
      </c>
      <c r="C11" s="449"/>
      <c r="D11" s="449"/>
      <c r="E11" s="449"/>
      <c r="F11" s="449"/>
      <c r="G11" s="449"/>
      <c r="H11" s="449"/>
      <c r="I11" s="449"/>
      <c r="J11" s="449"/>
      <c r="K11" s="449"/>
    </row>
    <row r="12" spans="2:11" ht="61.2" customHeight="1" x14ac:dyDescent="0.3">
      <c r="B12" s="605" t="s">
        <v>369</v>
      </c>
      <c r="C12" s="605"/>
      <c r="D12" s="605"/>
      <c r="E12" s="605"/>
      <c r="F12" s="605"/>
      <c r="G12" s="605"/>
      <c r="H12" s="605"/>
      <c r="I12" s="605"/>
      <c r="J12" s="605"/>
      <c r="K12" s="605"/>
    </row>
    <row r="13" spans="2:11" ht="4.8" customHeight="1" x14ac:dyDescent="0.3">
      <c r="B13" s="449"/>
      <c r="C13" s="449"/>
      <c r="D13" s="449"/>
      <c r="E13" s="449"/>
      <c r="F13" s="449"/>
      <c r="G13" s="449"/>
      <c r="H13" s="449"/>
      <c r="I13" s="449"/>
      <c r="J13" s="449"/>
      <c r="K13" s="449"/>
    </row>
    <row r="14" spans="2:11" ht="15.6" x14ac:dyDescent="0.3">
      <c r="B14" s="448" t="s">
        <v>356</v>
      </c>
      <c r="C14" s="449"/>
      <c r="D14" s="449"/>
      <c r="E14" s="449"/>
      <c r="F14" s="449"/>
      <c r="G14" s="449"/>
      <c r="H14" s="449"/>
      <c r="I14" s="449"/>
      <c r="J14" s="449"/>
      <c r="K14" s="449"/>
    </row>
    <row r="15" spans="2:11" ht="47.4" customHeight="1" x14ac:dyDescent="0.3">
      <c r="B15" s="605" t="s">
        <v>370</v>
      </c>
      <c r="C15" s="605"/>
      <c r="D15" s="605"/>
      <c r="E15" s="605"/>
      <c r="F15" s="605"/>
      <c r="G15" s="605"/>
      <c r="H15" s="605"/>
      <c r="I15" s="605"/>
      <c r="J15" s="605"/>
      <c r="K15" s="605"/>
    </row>
    <row r="16" spans="2:11" ht="4.8" customHeight="1" x14ac:dyDescent="0.3">
      <c r="B16" s="449"/>
      <c r="C16" s="449"/>
      <c r="D16" s="449"/>
      <c r="E16" s="449"/>
      <c r="F16" s="449"/>
      <c r="G16" s="449"/>
      <c r="H16" s="449"/>
      <c r="I16" s="449"/>
      <c r="J16" s="449"/>
      <c r="K16" s="449"/>
    </row>
    <row r="17" spans="2:11" ht="15.6" x14ac:dyDescent="0.3">
      <c r="B17" s="448" t="s">
        <v>357</v>
      </c>
      <c r="C17" s="449"/>
      <c r="D17" s="449"/>
      <c r="E17" s="449"/>
      <c r="F17" s="449"/>
      <c r="G17" s="449"/>
      <c r="H17" s="449"/>
      <c r="I17" s="449"/>
      <c r="J17" s="449"/>
      <c r="K17" s="449"/>
    </row>
    <row r="18" spans="2:11" ht="46.8" customHeight="1" x14ac:dyDescent="0.3">
      <c r="B18" s="605" t="s">
        <v>371</v>
      </c>
      <c r="C18" s="605"/>
      <c r="D18" s="605"/>
      <c r="E18" s="605"/>
      <c r="F18" s="605"/>
      <c r="G18" s="605"/>
      <c r="H18" s="605"/>
      <c r="I18" s="605"/>
      <c r="J18" s="605"/>
      <c r="K18" s="605"/>
    </row>
    <row r="19" spans="2:11" ht="4.8" customHeight="1" x14ac:dyDescent="0.3">
      <c r="B19" s="449"/>
      <c r="C19" s="449"/>
      <c r="D19" s="449"/>
      <c r="E19" s="449"/>
      <c r="F19" s="449"/>
      <c r="G19" s="449"/>
      <c r="H19" s="449"/>
      <c r="I19" s="449"/>
      <c r="J19" s="449"/>
      <c r="K19" s="449"/>
    </row>
    <row r="20" spans="2:11" ht="15.6" x14ac:dyDescent="0.3">
      <c r="B20" s="448" t="s">
        <v>358</v>
      </c>
      <c r="C20" s="449"/>
      <c r="D20" s="449"/>
      <c r="E20" s="449"/>
      <c r="F20" s="449"/>
      <c r="G20" s="449"/>
      <c r="H20" s="449"/>
      <c r="I20" s="449"/>
      <c r="J20" s="449"/>
      <c r="K20" s="449"/>
    </row>
    <row r="21" spans="2:11" ht="47.4" customHeight="1" x14ac:dyDescent="0.3">
      <c r="B21" s="605" t="s">
        <v>359</v>
      </c>
      <c r="C21" s="605"/>
      <c r="D21" s="605"/>
      <c r="E21" s="605"/>
      <c r="F21" s="605"/>
      <c r="G21" s="605"/>
      <c r="H21" s="605"/>
      <c r="I21" s="605"/>
      <c r="J21" s="605"/>
      <c r="K21" s="605"/>
    </row>
    <row r="22" spans="2:11" ht="4.8" customHeight="1" x14ac:dyDescent="0.3">
      <c r="B22" s="449"/>
      <c r="C22" s="449"/>
      <c r="D22" s="449"/>
      <c r="E22" s="449"/>
      <c r="F22" s="449"/>
      <c r="G22" s="449"/>
      <c r="H22" s="449"/>
      <c r="I22" s="449"/>
      <c r="J22" s="449"/>
      <c r="K22" s="449"/>
    </row>
    <row r="23" spans="2:11" ht="15.6" x14ac:dyDescent="0.3">
      <c r="B23" s="448" t="s">
        <v>360</v>
      </c>
      <c r="C23" s="449"/>
      <c r="D23" s="449"/>
      <c r="E23" s="449"/>
      <c r="F23" s="449"/>
      <c r="G23" s="449"/>
      <c r="H23" s="449"/>
      <c r="I23" s="449"/>
      <c r="J23" s="449"/>
      <c r="K23" s="449"/>
    </row>
    <row r="24" spans="2:11" ht="45.6" customHeight="1" x14ac:dyDescent="0.3">
      <c r="B24" s="605" t="s">
        <v>372</v>
      </c>
      <c r="C24" s="605"/>
      <c r="D24" s="605"/>
      <c r="E24" s="605"/>
      <c r="F24" s="605"/>
      <c r="G24" s="605"/>
      <c r="H24" s="605"/>
      <c r="I24" s="605"/>
      <c r="J24" s="605"/>
      <c r="K24" s="605"/>
    </row>
    <row r="25" spans="2:11" ht="4.8" customHeight="1" x14ac:dyDescent="0.3">
      <c r="B25" s="449"/>
      <c r="C25" s="449"/>
      <c r="D25" s="449"/>
      <c r="E25" s="449"/>
      <c r="F25" s="449"/>
      <c r="G25" s="449"/>
      <c r="H25" s="449"/>
      <c r="I25" s="449"/>
      <c r="J25" s="449"/>
      <c r="K25" s="449"/>
    </row>
    <row r="26" spans="2:11" ht="15.6" x14ac:dyDescent="0.3">
      <c r="B26" s="448" t="s">
        <v>361</v>
      </c>
      <c r="C26" s="449"/>
      <c r="D26" s="449"/>
      <c r="E26" s="449"/>
      <c r="F26" s="449"/>
      <c r="G26" s="449"/>
      <c r="H26" s="449"/>
      <c r="I26" s="449"/>
      <c r="J26" s="449"/>
      <c r="K26" s="449"/>
    </row>
    <row r="27" spans="2:11" ht="48" customHeight="1" x14ac:dyDescent="0.3">
      <c r="B27" s="605" t="s">
        <v>373</v>
      </c>
      <c r="C27" s="605"/>
      <c r="D27" s="605"/>
      <c r="E27" s="605"/>
      <c r="F27" s="605"/>
      <c r="G27" s="605"/>
      <c r="H27" s="605"/>
      <c r="I27" s="605"/>
      <c r="J27" s="605"/>
      <c r="K27" s="605"/>
    </row>
    <row r="28" spans="2:11" ht="4.8" customHeight="1" x14ac:dyDescent="0.3">
      <c r="B28" s="449"/>
      <c r="C28" s="449"/>
      <c r="D28" s="449"/>
      <c r="E28" s="449"/>
      <c r="F28" s="449"/>
      <c r="G28" s="449"/>
      <c r="H28" s="449"/>
      <c r="I28" s="449"/>
      <c r="J28" s="449"/>
      <c r="K28" s="449"/>
    </row>
    <row r="29" spans="2:11" ht="15.6" x14ac:dyDescent="0.3">
      <c r="B29" s="448" t="s">
        <v>362</v>
      </c>
      <c r="C29" s="449"/>
      <c r="D29" s="449"/>
      <c r="E29" s="449"/>
      <c r="F29" s="449"/>
      <c r="G29" s="449"/>
      <c r="H29" s="449"/>
      <c r="I29" s="449"/>
      <c r="J29" s="449"/>
      <c r="K29" s="449"/>
    </row>
    <row r="30" spans="2:11" ht="47.4" customHeight="1" x14ac:dyDescent="0.3">
      <c r="B30" s="605" t="s">
        <v>374</v>
      </c>
      <c r="C30" s="605"/>
      <c r="D30" s="605"/>
      <c r="E30" s="605"/>
      <c r="F30" s="605"/>
      <c r="G30" s="605"/>
      <c r="H30" s="605"/>
      <c r="I30" s="605"/>
      <c r="J30" s="605"/>
      <c r="K30" s="605"/>
    </row>
    <row r="31" spans="2:11" ht="4.8" customHeight="1" x14ac:dyDescent="0.3">
      <c r="B31" s="449"/>
      <c r="C31" s="449"/>
      <c r="D31" s="449"/>
      <c r="E31" s="449"/>
      <c r="F31" s="449"/>
      <c r="G31" s="449"/>
      <c r="H31" s="449"/>
      <c r="I31" s="449"/>
      <c r="J31" s="449"/>
      <c r="K31" s="449"/>
    </row>
    <row r="32" spans="2:11" ht="15.6" x14ac:dyDescent="0.3">
      <c r="B32" s="448" t="s">
        <v>363</v>
      </c>
      <c r="C32" s="449"/>
      <c r="D32" s="449"/>
      <c r="E32" s="449"/>
      <c r="F32" s="449"/>
      <c r="G32" s="449"/>
      <c r="H32" s="449"/>
      <c r="I32" s="449"/>
      <c r="J32" s="449"/>
      <c r="K32" s="449"/>
    </row>
    <row r="33" spans="2:12" ht="1.2" customHeight="1" x14ac:dyDescent="0.3">
      <c r="B33" s="450"/>
      <c r="C33" s="449"/>
      <c r="D33" s="449"/>
      <c r="E33" s="449"/>
      <c r="F33" s="449"/>
      <c r="G33" s="449"/>
      <c r="H33" s="449"/>
      <c r="I33" s="449"/>
      <c r="J33" s="449"/>
      <c r="K33" s="449"/>
    </row>
    <row r="34" spans="2:12" ht="12.6" customHeight="1" x14ac:dyDescent="0.3">
      <c r="B34" s="635" t="s">
        <v>364</v>
      </c>
      <c r="C34" s="635"/>
      <c r="D34" s="635"/>
      <c r="E34" s="635"/>
      <c r="F34" s="635"/>
      <c r="G34" s="635"/>
      <c r="H34" s="635"/>
      <c r="I34" s="635"/>
      <c r="J34" s="635"/>
      <c r="K34" s="635"/>
    </row>
    <row r="35" spans="2:12" ht="14.4" hidden="1" customHeight="1" x14ac:dyDescent="0.3">
      <c r="B35" s="635"/>
      <c r="C35" s="635"/>
      <c r="D35" s="635"/>
      <c r="E35" s="635"/>
      <c r="F35" s="635"/>
      <c r="G35" s="635"/>
      <c r="H35" s="635"/>
      <c r="I35" s="635"/>
      <c r="J35" s="635"/>
      <c r="K35" s="635"/>
    </row>
    <row r="36" spans="2:12" ht="15.6" x14ac:dyDescent="0.3">
      <c r="B36" s="635" t="s">
        <v>365</v>
      </c>
      <c r="C36" s="635"/>
      <c r="D36" s="635"/>
      <c r="E36" s="635"/>
      <c r="F36" s="635"/>
      <c r="G36" s="635"/>
      <c r="H36" s="635"/>
      <c r="I36" s="635"/>
      <c r="J36" s="635"/>
      <c r="K36" s="635"/>
    </row>
    <row r="37" spans="2:12" ht="0.6" customHeight="1" x14ac:dyDescent="0.3">
      <c r="B37" s="635"/>
      <c r="C37" s="635"/>
      <c r="D37" s="635"/>
      <c r="E37" s="635"/>
      <c r="F37" s="635"/>
      <c r="G37" s="635"/>
      <c r="H37" s="635"/>
      <c r="I37" s="635"/>
      <c r="J37" s="635"/>
      <c r="K37" s="635"/>
    </row>
    <row r="38" spans="2:12" ht="12.6" customHeight="1" x14ac:dyDescent="0.3">
      <c r="B38" s="635" t="s">
        <v>366</v>
      </c>
      <c r="C38" s="635"/>
      <c r="D38" s="635"/>
      <c r="E38" s="635"/>
      <c r="F38" s="635"/>
      <c r="G38" s="635"/>
      <c r="H38" s="635"/>
      <c r="I38" s="635"/>
      <c r="J38" s="635"/>
      <c r="K38" s="635"/>
    </row>
    <row r="39" spans="2:12" ht="14.4" hidden="1" customHeight="1" x14ac:dyDescent="0.3">
      <c r="B39" s="635"/>
      <c r="C39" s="635"/>
      <c r="D39" s="635"/>
      <c r="E39" s="635"/>
      <c r="F39" s="635"/>
      <c r="G39" s="635"/>
      <c r="H39" s="635"/>
      <c r="I39" s="635"/>
      <c r="J39" s="635"/>
      <c r="K39" s="635"/>
    </row>
    <row r="40" spans="2:12" ht="15.6" x14ac:dyDescent="0.3">
      <c r="B40" s="635" t="s">
        <v>367</v>
      </c>
      <c r="C40" s="635"/>
      <c r="D40" s="635"/>
      <c r="E40" s="635"/>
      <c r="F40" s="635"/>
      <c r="G40" s="635"/>
      <c r="H40" s="635"/>
      <c r="I40" s="635"/>
      <c r="J40" s="635"/>
      <c r="K40" s="635"/>
    </row>
    <row r="41" spans="2:12" ht="6.6" customHeight="1" x14ac:dyDescent="0.3">
      <c r="B41" s="636"/>
      <c r="C41" s="636"/>
      <c r="D41" s="636"/>
      <c r="E41" s="636"/>
      <c r="F41" s="636"/>
      <c r="G41" s="636"/>
      <c r="H41" s="636"/>
      <c r="I41" s="636"/>
      <c r="J41" s="636"/>
      <c r="K41" s="636"/>
    </row>
    <row r="42" spans="2:12" x14ac:dyDescent="0.3">
      <c r="B42" s="447"/>
      <c r="C42" s="447"/>
      <c r="D42" s="447"/>
      <c r="E42" s="447"/>
      <c r="F42" s="447"/>
      <c r="G42" s="447"/>
      <c r="H42" s="447"/>
      <c r="I42" s="447"/>
      <c r="J42" s="447"/>
      <c r="K42" s="447"/>
      <c r="L42" s="447"/>
    </row>
  </sheetData>
  <mergeCells count="17">
    <mergeCell ref="B2:K4"/>
    <mergeCell ref="B9:K9"/>
    <mergeCell ref="B36:K36"/>
    <mergeCell ref="B12:K12"/>
    <mergeCell ref="B15:K15"/>
    <mergeCell ref="B18:K18"/>
    <mergeCell ref="B21:K21"/>
    <mergeCell ref="B24:K24"/>
    <mergeCell ref="B27:K27"/>
    <mergeCell ref="B30:K30"/>
    <mergeCell ref="B34:K34"/>
    <mergeCell ref="B35:K35"/>
    <mergeCell ref="B37:K37"/>
    <mergeCell ref="B38:K38"/>
    <mergeCell ref="B39:K39"/>
    <mergeCell ref="B40:K40"/>
    <mergeCell ref="B41:K41"/>
  </mergeCells>
  <pageMargins left="0.7" right="0.7" top="0.75" bottom="0.75" header="0.3" footer="0.3"/>
  <pageSetup scale="78"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49"/>
  <sheetViews>
    <sheetView showGridLines="0" zoomScale="95" zoomScaleNormal="95" workbookViewId="0">
      <selection activeCell="L1" sqref="L1"/>
    </sheetView>
  </sheetViews>
  <sheetFormatPr defaultRowHeight="14.4" x14ac:dyDescent="0.3"/>
  <cols>
    <col min="1" max="1" width="1.88671875" customWidth="1"/>
    <col min="7" max="11" width="12.77734375" customWidth="1"/>
  </cols>
  <sheetData>
    <row r="1" spans="2:11" x14ac:dyDescent="0.3">
      <c r="B1" s="441"/>
      <c r="C1" s="441"/>
      <c r="D1" s="441"/>
      <c r="E1" s="441"/>
      <c r="F1" s="441"/>
      <c r="G1" s="441"/>
      <c r="H1" s="441"/>
      <c r="I1" s="441"/>
      <c r="J1" s="441"/>
      <c r="K1" s="441"/>
    </row>
    <row r="2" spans="2:11" x14ac:dyDescent="0.3">
      <c r="B2" s="600" t="s">
        <v>375</v>
      </c>
      <c r="C2" s="510"/>
      <c r="D2" s="510"/>
      <c r="E2" s="510"/>
      <c r="F2" s="510"/>
      <c r="G2" s="510"/>
      <c r="H2" s="510"/>
      <c r="I2" s="510"/>
      <c r="J2" s="510"/>
      <c r="K2" s="510"/>
    </row>
    <row r="3" spans="2:11" x14ac:dyDescent="0.3">
      <c r="B3" s="510"/>
      <c r="C3" s="510"/>
      <c r="D3" s="510"/>
      <c r="E3" s="510"/>
      <c r="F3" s="510"/>
      <c r="G3" s="510"/>
      <c r="H3" s="510"/>
      <c r="I3" s="510"/>
      <c r="J3" s="510"/>
      <c r="K3" s="510"/>
    </row>
    <row r="4" spans="2:11" x14ac:dyDescent="0.3">
      <c r="B4" s="510"/>
      <c r="C4" s="510"/>
      <c r="D4" s="510"/>
      <c r="E4" s="510"/>
      <c r="F4" s="510"/>
      <c r="G4" s="510"/>
      <c r="H4" s="510"/>
      <c r="I4" s="510"/>
      <c r="J4" s="510"/>
      <c r="K4" s="510"/>
    </row>
    <row r="5" spans="2:11" x14ac:dyDescent="0.3">
      <c r="B5" s="443"/>
      <c r="C5" s="444"/>
      <c r="D5" s="444"/>
      <c r="E5" s="444"/>
      <c r="F5" s="444"/>
      <c r="G5" s="444"/>
      <c r="H5" s="444"/>
      <c r="I5" s="444"/>
      <c r="J5" s="445">
        <v>4.5</v>
      </c>
      <c r="K5" s="443"/>
    </row>
    <row r="6" spans="2:11" x14ac:dyDescent="0.3">
      <c r="B6" s="441"/>
      <c r="C6" s="441"/>
      <c r="D6" s="441"/>
      <c r="E6" s="441"/>
      <c r="F6" s="446"/>
      <c r="G6" s="446"/>
      <c r="H6" s="446"/>
      <c r="I6" s="446"/>
      <c r="J6" s="446"/>
      <c r="K6" s="441"/>
    </row>
    <row r="7" spans="2:11" ht="6" customHeight="1" thickBot="1" x14ac:dyDescent="0.35"/>
    <row r="8" spans="2:11" ht="15" thickTop="1" x14ac:dyDescent="0.3">
      <c r="B8" s="597" t="s">
        <v>376</v>
      </c>
      <c r="C8" s="601"/>
      <c r="D8" s="601"/>
      <c r="E8" s="601"/>
      <c r="F8" s="601"/>
      <c r="G8" s="601"/>
      <c r="H8" s="601"/>
      <c r="I8" s="601"/>
      <c r="J8" s="601"/>
      <c r="K8" s="602"/>
    </row>
    <row r="9" spans="2:11" x14ac:dyDescent="0.3">
      <c r="B9" s="421"/>
      <c r="C9" s="422"/>
      <c r="D9" s="422"/>
      <c r="E9" s="422"/>
      <c r="F9" s="422"/>
      <c r="G9" s="419">
        <v>44256</v>
      </c>
      <c r="H9" s="419">
        <f>G9+365</f>
        <v>44621</v>
      </c>
      <c r="I9" s="419">
        <f t="shared" ref="I9:K9" si="0">H9+365</f>
        <v>44986</v>
      </c>
      <c r="J9" s="419">
        <f>I9+366</f>
        <v>45352</v>
      </c>
      <c r="K9" s="420">
        <f t="shared" si="0"/>
        <v>45717</v>
      </c>
    </row>
    <row r="10" spans="2:11" x14ac:dyDescent="0.3">
      <c r="B10" s="463" t="s">
        <v>377</v>
      </c>
      <c r="C10" s="192"/>
      <c r="D10" s="192"/>
      <c r="E10" s="192"/>
      <c r="F10" s="192"/>
      <c r="G10" s="192">
        <f>'Raw Balance Sheet'!B30-'Raw Balance Sheet'!B11</f>
        <v>-515</v>
      </c>
      <c r="H10" s="192">
        <f>'Raw Balance Sheet'!C30-'Raw Balance Sheet'!C11</f>
        <v>2849</v>
      </c>
      <c r="I10" s="192">
        <f>'Raw Balance Sheet'!D30-'Raw Balance Sheet'!D11</f>
        <v>1472</v>
      </c>
      <c r="J10" s="192">
        <f>'Raw Balance Sheet'!E30-'Raw Balance Sheet'!E11</f>
        <v>1711</v>
      </c>
      <c r="K10" s="193">
        <f>'Raw Balance Sheet'!F30-'Raw Balance Sheet'!F11</f>
        <v>3322</v>
      </c>
    </row>
    <row r="11" spans="2:11" x14ac:dyDescent="0.3">
      <c r="B11" s="464" t="s">
        <v>87</v>
      </c>
      <c r="C11" s="465"/>
      <c r="D11" s="465"/>
      <c r="E11" s="465"/>
      <c r="F11" s="465"/>
      <c r="G11" s="465">
        <f>'Raw Balance Sheet'!B36</f>
        <v>22582</v>
      </c>
      <c r="H11" s="465">
        <f>'Raw Balance Sheet'!C36</f>
        <v>23060</v>
      </c>
      <c r="I11" s="465">
        <f>'Raw Balance Sheet'!D36</f>
        <v>24369</v>
      </c>
      <c r="J11" s="465">
        <f>'Raw Balance Sheet'!E36</f>
        <v>26849</v>
      </c>
      <c r="K11" s="466">
        <f>'Raw Balance Sheet'!F36</f>
        <v>29567</v>
      </c>
    </row>
    <row r="12" spans="2:11" x14ac:dyDescent="0.3">
      <c r="B12" s="455">
        <v>1.2</v>
      </c>
      <c r="C12" s="422"/>
      <c r="D12" s="422"/>
      <c r="E12" s="422"/>
      <c r="F12" s="422"/>
      <c r="G12" s="422"/>
      <c r="H12" s="422"/>
      <c r="I12" s="422"/>
      <c r="J12" s="422"/>
      <c r="K12" s="119"/>
    </row>
    <row r="13" spans="2:11" ht="15" thickBot="1" x14ac:dyDescent="0.35">
      <c r="B13" s="425" t="s">
        <v>378</v>
      </c>
      <c r="C13" s="426"/>
      <c r="D13" s="426"/>
      <c r="E13" s="426"/>
      <c r="F13" s="426"/>
      <c r="G13" s="467">
        <f>G10/G11</f>
        <v>-2.2805774510672217E-2</v>
      </c>
      <c r="H13" s="467">
        <f t="shared" ref="H13:K13" si="1">H10/H11</f>
        <v>0.12354726799653079</v>
      </c>
      <c r="I13" s="467">
        <f t="shared" si="1"/>
        <v>6.0404612417415571E-2</v>
      </c>
      <c r="J13" s="467">
        <f t="shared" si="1"/>
        <v>6.3726768222280156E-2</v>
      </c>
      <c r="K13" s="468">
        <f t="shared" si="1"/>
        <v>0.1123549903608753</v>
      </c>
    </row>
    <row r="14" spans="2:11" ht="15.6" thickTop="1" thickBot="1" x14ac:dyDescent="0.35"/>
    <row r="15" spans="2:11" ht="15" thickTop="1" x14ac:dyDescent="0.3">
      <c r="B15" s="597" t="s">
        <v>379</v>
      </c>
      <c r="C15" s="598"/>
      <c r="D15" s="598"/>
      <c r="E15" s="598"/>
      <c r="F15" s="598"/>
      <c r="G15" s="598"/>
      <c r="H15" s="598"/>
      <c r="I15" s="598"/>
      <c r="J15" s="598"/>
      <c r="K15" s="599"/>
    </row>
    <row r="16" spans="2:11" x14ac:dyDescent="0.3">
      <c r="B16" s="421"/>
      <c r="C16" s="422"/>
      <c r="D16" s="422"/>
      <c r="E16" s="422"/>
      <c r="F16" s="422"/>
      <c r="G16" s="419">
        <v>44256</v>
      </c>
      <c r="H16" s="419">
        <f>G16+365</f>
        <v>44621</v>
      </c>
      <c r="I16" s="419">
        <f t="shared" ref="I16" si="2">H16+365</f>
        <v>44986</v>
      </c>
      <c r="J16" s="419">
        <f>I16+366</f>
        <v>45352</v>
      </c>
      <c r="K16" s="420">
        <f t="shared" ref="K16" si="3">J16+365</f>
        <v>45717</v>
      </c>
    </row>
    <row r="17" spans="2:11" x14ac:dyDescent="0.3">
      <c r="B17" s="457" t="s">
        <v>81</v>
      </c>
      <c r="C17" s="186"/>
      <c r="D17" s="186"/>
      <c r="E17" s="186"/>
      <c r="F17" s="186"/>
      <c r="G17" s="192">
        <f>'Historical FS'!C48</f>
        <v>-143.21768707482994</v>
      </c>
      <c r="H17" s="192">
        <f>'Historical FS'!D48</f>
        <v>-143.21768707482994</v>
      </c>
      <c r="I17" s="192">
        <f>'Historical FS'!E48</f>
        <v>-143.21768707482994</v>
      </c>
      <c r="J17" s="192">
        <f>'Historical FS'!F48</f>
        <v>-239.36281179138322</v>
      </c>
      <c r="K17" s="193">
        <f>'Historical FS'!G48</f>
        <v>-359.54421768707488</v>
      </c>
    </row>
    <row r="18" spans="2:11" x14ac:dyDescent="0.3">
      <c r="B18" s="458" t="s">
        <v>87</v>
      </c>
      <c r="C18" s="190"/>
      <c r="D18" s="190"/>
      <c r="E18" s="190"/>
      <c r="F18" s="190"/>
      <c r="G18" s="194">
        <f>G11</f>
        <v>22582</v>
      </c>
      <c r="H18" s="194">
        <f t="shared" ref="H18:K18" si="4">H11</f>
        <v>23060</v>
      </c>
      <c r="I18" s="194">
        <f t="shared" si="4"/>
        <v>24369</v>
      </c>
      <c r="J18" s="194">
        <f t="shared" si="4"/>
        <v>26849</v>
      </c>
      <c r="K18" s="195">
        <f t="shared" si="4"/>
        <v>29567</v>
      </c>
    </row>
    <row r="19" spans="2:11" x14ac:dyDescent="0.3">
      <c r="B19" s="455">
        <v>1.4</v>
      </c>
      <c r="C19" s="422"/>
      <c r="D19" s="422"/>
      <c r="E19" s="422"/>
      <c r="F19" s="422"/>
      <c r="G19" s="422"/>
      <c r="H19" s="422"/>
      <c r="I19" s="422"/>
      <c r="J19" s="422"/>
      <c r="K19" s="119"/>
    </row>
    <row r="20" spans="2:11" ht="15" thickBot="1" x14ac:dyDescent="0.35">
      <c r="B20" s="425" t="s">
        <v>384</v>
      </c>
      <c r="C20" s="426"/>
      <c r="D20" s="426"/>
      <c r="E20" s="426"/>
      <c r="F20" s="426"/>
      <c r="G20" s="467">
        <f>G17/G18</f>
        <v>-6.3421170434341482E-3</v>
      </c>
      <c r="H20" s="467">
        <f t="shared" ref="H20:K20" si="5">H17/H18</f>
        <v>-6.2106542530281847E-3</v>
      </c>
      <c r="I20" s="467">
        <f t="shared" si="5"/>
        <v>-5.8770440754577508E-3</v>
      </c>
      <c r="J20" s="467">
        <f t="shared" si="5"/>
        <v>-8.9151481169273804E-3</v>
      </c>
      <c r="K20" s="468">
        <f t="shared" si="5"/>
        <v>-1.2160321225930087E-2</v>
      </c>
    </row>
    <row r="21" spans="2:11" ht="15.6" thickTop="1" thickBot="1" x14ac:dyDescent="0.35"/>
    <row r="22" spans="2:11" ht="15" thickTop="1" x14ac:dyDescent="0.3">
      <c r="B22" s="597" t="s">
        <v>380</v>
      </c>
      <c r="C22" s="598"/>
      <c r="D22" s="598"/>
      <c r="E22" s="598"/>
      <c r="F22" s="598"/>
      <c r="G22" s="598"/>
      <c r="H22" s="598"/>
      <c r="I22" s="598"/>
      <c r="J22" s="598"/>
      <c r="K22" s="599"/>
    </row>
    <row r="23" spans="2:11" x14ac:dyDescent="0.3">
      <c r="B23" s="421"/>
      <c r="C23" s="422"/>
      <c r="D23" s="422"/>
      <c r="E23" s="422"/>
      <c r="F23" s="422"/>
      <c r="G23" s="419">
        <v>44256</v>
      </c>
      <c r="H23" s="419">
        <f>G23+365</f>
        <v>44621</v>
      </c>
      <c r="I23" s="419">
        <f t="shared" ref="I23" si="6">H23+365</f>
        <v>44986</v>
      </c>
      <c r="J23" s="419">
        <f>I23+366</f>
        <v>45352</v>
      </c>
      <c r="K23" s="420">
        <f t="shared" ref="K23" si="7">J23+365</f>
        <v>45717</v>
      </c>
    </row>
    <row r="24" spans="2:11" x14ac:dyDescent="0.3">
      <c r="B24" s="457" t="s">
        <v>177</v>
      </c>
      <c r="C24" s="186"/>
      <c r="D24" s="186"/>
      <c r="E24" s="186"/>
      <c r="F24" s="186"/>
      <c r="G24" s="186">
        <f>'Historical FS'!H22-'Historical FS'!H28</f>
        <v>1813.4499999999989</v>
      </c>
      <c r="H24" s="186">
        <f>'Historical FS'!I22-'Historical FS'!I28</f>
        <v>855.94000000000347</v>
      </c>
      <c r="I24" s="186">
        <f>'Historical FS'!J22-'Historical FS'!J28</f>
        <v>1151.1499999999978</v>
      </c>
      <c r="J24" s="186">
        <f>'Historical FS'!K22-'Historical FS'!K28</f>
        <v>2842.2899999999981</v>
      </c>
      <c r="K24" s="187">
        <f>'Historical FS'!L22-'Historical FS'!L28</f>
        <v>2441.0999999999985</v>
      </c>
    </row>
    <row r="25" spans="2:11" x14ac:dyDescent="0.3">
      <c r="B25" s="458" t="s">
        <v>87</v>
      </c>
      <c r="C25" s="190"/>
      <c r="D25" s="190"/>
      <c r="E25" s="190"/>
      <c r="F25" s="190"/>
      <c r="G25" s="194">
        <f>G18</f>
        <v>22582</v>
      </c>
      <c r="H25" s="194">
        <f t="shared" ref="H25:K25" si="8">H18</f>
        <v>23060</v>
      </c>
      <c r="I25" s="194">
        <f t="shared" si="8"/>
        <v>24369</v>
      </c>
      <c r="J25" s="194">
        <f t="shared" si="8"/>
        <v>26849</v>
      </c>
      <c r="K25" s="195">
        <f t="shared" si="8"/>
        <v>29567</v>
      </c>
    </row>
    <row r="26" spans="2:11" x14ac:dyDescent="0.3">
      <c r="B26" s="455">
        <v>3.3</v>
      </c>
      <c r="C26" s="422"/>
      <c r="D26" s="422"/>
      <c r="E26" s="422"/>
      <c r="F26" s="422"/>
      <c r="G26" s="422"/>
      <c r="H26" s="422"/>
      <c r="I26" s="422"/>
      <c r="J26" s="422"/>
      <c r="K26" s="119"/>
    </row>
    <row r="27" spans="2:11" ht="15" thickBot="1" x14ac:dyDescent="0.35">
      <c r="B27" s="425" t="s">
        <v>385</v>
      </c>
      <c r="C27" s="426"/>
      <c r="D27" s="426"/>
      <c r="E27" s="426"/>
      <c r="F27" s="426"/>
      <c r="G27" s="180">
        <f>G24/G25</f>
        <v>8.0305110264812629E-2</v>
      </c>
      <c r="H27" s="180">
        <f t="shared" ref="H27:K27" si="9">H24/H25</f>
        <v>3.7117953165654964E-2</v>
      </c>
      <c r="I27" s="180">
        <f t="shared" si="9"/>
        <v>4.7238294554556928E-2</v>
      </c>
      <c r="J27" s="180">
        <f t="shared" si="9"/>
        <v>0.10586204327907922</v>
      </c>
      <c r="K27" s="181">
        <f t="shared" si="9"/>
        <v>8.2561639665843622E-2</v>
      </c>
    </row>
    <row r="28" spans="2:11" ht="15.6" thickTop="1" thickBot="1" x14ac:dyDescent="0.35"/>
    <row r="29" spans="2:11" ht="15" thickTop="1" x14ac:dyDescent="0.3">
      <c r="B29" s="597" t="s">
        <v>381</v>
      </c>
      <c r="C29" s="598"/>
      <c r="D29" s="598"/>
      <c r="E29" s="598"/>
      <c r="F29" s="598"/>
      <c r="G29" s="598"/>
      <c r="H29" s="598"/>
      <c r="I29" s="598"/>
      <c r="J29" s="598"/>
      <c r="K29" s="599"/>
    </row>
    <row r="30" spans="2:11" x14ac:dyDescent="0.3">
      <c r="B30" s="421"/>
      <c r="C30" s="422"/>
      <c r="D30" s="422"/>
      <c r="E30" s="422"/>
      <c r="F30" s="422"/>
      <c r="G30" s="419">
        <v>44256</v>
      </c>
      <c r="H30" s="419">
        <f>G30+365</f>
        <v>44621</v>
      </c>
      <c r="I30" s="419">
        <f t="shared" ref="I30" si="10">H30+365</f>
        <v>44986</v>
      </c>
      <c r="J30" s="419">
        <f>I30+366</f>
        <v>45352</v>
      </c>
      <c r="K30" s="420">
        <f t="shared" ref="K30" si="11">J30+365</f>
        <v>45717</v>
      </c>
    </row>
    <row r="31" spans="2:11" x14ac:dyDescent="0.3">
      <c r="B31" s="457" t="s">
        <v>386</v>
      </c>
      <c r="C31" s="186"/>
      <c r="D31" s="186"/>
      <c r="E31" s="186"/>
      <c r="F31" s="186"/>
      <c r="G31" s="459">
        <v>31084</v>
      </c>
      <c r="H31" s="460">
        <v>37561</v>
      </c>
      <c r="I31" s="460">
        <v>55008</v>
      </c>
      <c r="J31" s="461">
        <v>56068</v>
      </c>
      <c r="K31" s="462">
        <v>63561</v>
      </c>
    </row>
    <row r="32" spans="2:11" x14ac:dyDescent="0.3">
      <c r="B32" s="458" t="s">
        <v>387</v>
      </c>
      <c r="C32" s="190"/>
      <c r="D32" s="190"/>
      <c r="E32" s="190"/>
      <c r="F32" s="190"/>
      <c r="G32" s="194">
        <f>'Raw Balance Sheet'!B6</f>
        <v>2388</v>
      </c>
      <c r="H32" s="194">
        <f>'Raw Balance Sheet'!C6</f>
        <v>3229</v>
      </c>
      <c r="I32" s="194">
        <f>'Raw Balance Sheet'!D6</f>
        <v>3014</v>
      </c>
      <c r="J32" s="194">
        <f>'Raw Balance Sheet'!E6</f>
        <v>2822</v>
      </c>
      <c r="K32" s="195">
        <f>'Raw Balance Sheet'!F6</f>
        <v>3771</v>
      </c>
    </row>
    <row r="33" spans="2:11" x14ac:dyDescent="0.3">
      <c r="B33" s="455">
        <v>0.6</v>
      </c>
      <c r="C33" s="422"/>
      <c r="D33" s="422"/>
      <c r="E33" s="422"/>
      <c r="F33" s="422"/>
      <c r="G33" s="422"/>
      <c r="H33" s="422"/>
      <c r="I33" s="422"/>
      <c r="J33" s="422"/>
      <c r="K33" s="119"/>
    </row>
    <row r="34" spans="2:11" ht="15" thickBot="1" x14ac:dyDescent="0.35">
      <c r="B34" s="425" t="s">
        <v>388</v>
      </c>
      <c r="C34" s="426"/>
      <c r="D34" s="426"/>
      <c r="E34" s="426"/>
      <c r="F34" s="426"/>
      <c r="G34" s="431">
        <f>G31/G32</f>
        <v>13.01675041876047</v>
      </c>
      <c r="H34" s="431">
        <f t="shared" ref="H34:K34" si="12">H31/H32</f>
        <v>11.632393930009291</v>
      </c>
      <c r="I34" s="431">
        <f t="shared" si="12"/>
        <v>18.250829462508296</v>
      </c>
      <c r="J34" s="431">
        <f t="shared" si="12"/>
        <v>19.868178596739902</v>
      </c>
      <c r="K34" s="432">
        <f t="shared" si="12"/>
        <v>16.855210819411298</v>
      </c>
    </row>
    <row r="35" spans="2:11" ht="15.6" thickTop="1" thickBot="1" x14ac:dyDescent="0.35"/>
    <row r="36" spans="2:11" ht="15" thickTop="1" x14ac:dyDescent="0.3">
      <c r="B36" s="597" t="s">
        <v>382</v>
      </c>
      <c r="C36" s="598"/>
      <c r="D36" s="598"/>
      <c r="E36" s="598"/>
      <c r="F36" s="598"/>
      <c r="G36" s="598"/>
      <c r="H36" s="598"/>
      <c r="I36" s="598"/>
      <c r="J36" s="598"/>
      <c r="K36" s="599"/>
    </row>
    <row r="37" spans="2:11" x14ac:dyDescent="0.3">
      <c r="B37" s="421"/>
      <c r="C37" s="422"/>
      <c r="D37" s="422"/>
      <c r="E37" s="422"/>
      <c r="F37" s="422"/>
      <c r="G37" s="454">
        <f>G30</f>
        <v>44256</v>
      </c>
      <c r="H37" s="454">
        <f t="shared" ref="H37:K37" si="13">H30</f>
        <v>44621</v>
      </c>
      <c r="I37" s="454">
        <f t="shared" si="13"/>
        <v>44986</v>
      </c>
      <c r="J37" s="454">
        <f t="shared" si="13"/>
        <v>45352</v>
      </c>
      <c r="K37" s="456">
        <f t="shared" si="13"/>
        <v>45717</v>
      </c>
    </row>
    <row r="38" spans="2:11" x14ac:dyDescent="0.3">
      <c r="B38" s="457" t="s">
        <v>2</v>
      </c>
      <c r="C38" s="186"/>
      <c r="D38" s="186"/>
      <c r="E38" s="186"/>
      <c r="F38" s="186"/>
      <c r="G38" s="186">
        <f>'Historical FS'!H10</f>
        <v>16162.49</v>
      </c>
      <c r="H38" s="186">
        <f>'Historical FS'!I10</f>
        <v>19316.650000000001</v>
      </c>
      <c r="I38" s="186">
        <f>'Historical FS'!J10</f>
        <v>23008.33</v>
      </c>
      <c r="J38" s="186">
        <f>'Historical FS'!K10</f>
        <v>25168.73</v>
      </c>
      <c r="K38" s="187">
        <f>'Historical FS'!L10</f>
        <v>28152.5</v>
      </c>
    </row>
    <row r="39" spans="2:11" x14ac:dyDescent="0.3">
      <c r="B39" s="458" t="s">
        <v>87</v>
      </c>
      <c r="C39" s="190"/>
      <c r="D39" s="190"/>
      <c r="E39" s="190"/>
      <c r="F39" s="190"/>
      <c r="G39" s="194">
        <f>G25</f>
        <v>22582</v>
      </c>
      <c r="H39" s="194">
        <f t="shared" ref="H39:K39" si="14">H25</f>
        <v>23060</v>
      </c>
      <c r="I39" s="194">
        <f t="shared" si="14"/>
        <v>24369</v>
      </c>
      <c r="J39" s="194">
        <f t="shared" si="14"/>
        <v>26849</v>
      </c>
      <c r="K39" s="195">
        <f t="shared" si="14"/>
        <v>29567</v>
      </c>
    </row>
    <row r="40" spans="2:11" x14ac:dyDescent="0.3">
      <c r="B40" s="455">
        <v>0.99</v>
      </c>
      <c r="C40" s="422"/>
      <c r="D40" s="422"/>
      <c r="E40" s="422"/>
      <c r="F40" s="422"/>
      <c r="G40" s="422"/>
      <c r="H40" s="422"/>
      <c r="I40" s="422"/>
      <c r="J40" s="422"/>
      <c r="K40" s="119"/>
    </row>
    <row r="41" spans="2:11" ht="15" thickBot="1" x14ac:dyDescent="0.35">
      <c r="B41" s="425" t="s">
        <v>390</v>
      </c>
      <c r="C41" s="426"/>
      <c r="D41" s="426"/>
      <c r="E41" s="426"/>
      <c r="F41" s="426"/>
      <c r="G41" s="180">
        <f>G38/G39</f>
        <v>0.71572447081746526</v>
      </c>
      <c r="H41" s="180">
        <f t="shared" ref="H41:K41" si="15">H38/H39</f>
        <v>0.83766912402428451</v>
      </c>
      <c r="I41" s="180">
        <f t="shared" si="15"/>
        <v>0.94416389675407286</v>
      </c>
      <c r="J41" s="180">
        <f t="shared" si="15"/>
        <v>0.93741778092293937</v>
      </c>
      <c r="K41" s="181">
        <f t="shared" si="15"/>
        <v>0.95215950214766465</v>
      </c>
    </row>
    <row r="42" spans="2:11" ht="15.6" thickTop="1" thickBot="1" x14ac:dyDescent="0.35"/>
    <row r="43" spans="2:11" ht="15" thickTop="1" x14ac:dyDescent="0.3">
      <c r="B43" s="597" t="s">
        <v>383</v>
      </c>
      <c r="C43" s="598"/>
      <c r="D43" s="598"/>
      <c r="E43" s="598"/>
      <c r="F43" s="598"/>
      <c r="G43" s="598"/>
      <c r="H43" s="598"/>
      <c r="I43" s="598"/>
      <c r="J43" s="598"/>
      <c r="K43" s="599"/>
    </row>
    <row r="44" spans="2:11" x14ac:dyDescent="0.3">
      <c r="B44" s="421"/>
      <c r="C44" s="422"/>
      <c r="D44" s="422"/>
      <c r="E44" s="422"/>
      <c r="F44" s="422"/>
      <c r="G44" s="454">
        <f>G37</f>
        <v>44256</v>
      </c>
      <c r="H44" s="454">
        <f t="shared" ref="H44:K44" si="16">H37</f>
        <v>44621</v>
      </c>
      <c r="I44" s="454">
        <f t="shared" si="16"/>
        <v>44986</v>
      </c>
      <c r="J44" s="454">
        <f t="shared" si="16"/>
        <v>45352</v>
      </c>
      <c r="K44" s="456">
        <f t="shared" si="16"/>
        <v>45717</v>
      </c>
    </row>
    <row r="45" spans="2:11" x14ac:dyDescent="0.3">
      <c r="B45" s="427" t="s">
        <v>389</v>
      </c>
      <c r="C45" s="428"/>
      <c r="D45" s="428"/>
      <c r="E45" s="428"/>
      <c r="F45" s="428"/>
      <c r="G45" s="469">
        <f>($B$12*G13)+($B$19*G20)+($B$26*G27)+($B$33*G34)+($B$40*G41)</f>
        <v>8.7473784479658399</v>
      </c>
      <c r="H45" s="469">
        <f t="shared" ref="H45:K45" si="17">($B$12*H13)+($B$19*H20)+($B$26*H27)+($B$33*H34)+($B$40*H41)</f>
        <v>8.070779841877874</v>
      </c>
      <c r="I45" s="469">
        <f t="shared" si="17"/>
        <v>12.105363980516804</v>
      </c>
      <c r="J45" s="469">
        <f t="shared" si="17"/>
        <v>13.262286418481651</v>
      </c>
      <c r="K45" s="472">
        <f t="shared" si="17"/>
        <v>11.446019348386999</v>
      </c>
    </row>
    <row r="46" spans="2:11" x14ac:dyDescent="0.3">
      <c r="B46" s="421"/>
      <c r="C46" s="422"/>
      <c r="D46" s="422"/>
      <c r="E46" s="422"/>
      <c r="F46" s="422"/>
      <c r="G46" s="422"/>
      <c r="H46" s="422"/>
      <c r="I46" s="422"/>
      <c r="J46" s="422"/>
      <c r="K46" s="119"/>
    </row>
    <row r="47" spans="2:11" ht="15" thickBot="1" x14ac:dyDescent="0.35">
      <c r="B47" s="425" t="s">
        <v>352</v>
      </c>
      <c r="C47" s="426"/>
      <c r="D47" s="426"/>
      <c r="E47" s="426"/>
      <c r="F47" s="426"/>
      <c r="G47" s="470" t="str">
        <f>IF(G45&gt;2.99, "Safe", IF(G45&gt;=1.81, "Grey Zone", "Distress"))</f>
        <v>Safe</v>
      </c>
      <c r="H47" s="470" t="str">
        <f t="shared" ref="H47:K47" si="18">IF(H45&gt;2.99, "Safe", IF(H45&gt;=1.81, "Grey Zone", "Distress"))</f>
        <v>Safe</v>
      </c>
      <c r="I47" s="470" t="str">
        <f t="shared" si="18"/>
        <v>Safe</v>
      </c>
      <c r="J47" s="470" t="str">
        <f t="shared" si="18"/>
        <v>Safe</v>
      </c>
      <c r="K47" s="471" t="str">
        <f t="shared" si="18"/>
        <v>Safe</v>
      </c>
    </row>
    <row r="48" spans="2:11" ht="15" thickTop="1" x14ac:dyDescent="0.3"/>
    <row r="49" spans="2:11" x14ac:dyDescent="0.3">
      <c r="B49" s="100"/>
      <c r="C49" s="100"/>
      <c r="D49" s="100"/>
      <c r="E49" s="100"/>
      <c r="F49" s="100"/>
      <c r="G49" s="100"/>
      <c r="H49" s="100"/>
      <c r="I49" s="100"/>
      <c r="J49" s="100"/>
      <c r="K49" s="100"/>
    </row>
  </sheetData>
  <mergeCells count="7">
    <mergeCell ref="B43:K43"/>
    <mergeCell ref="B2:K4"/>
    <mergeCell ref="B8:K8"/>
    <mergeCell ref="B15:K15"/>
    <mergeCell ref="B22:K22"/>
    <mergeCell ref="B29:K29"/>
    <mergeCell ref="B36:K36"/>
  </mergeCells>
  <pageMargins left="0.7" right="0.7" top="0.75" bottom="0.75" header="0.3" footer="0.3"/>
  <pageSetup scale="81"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55"/>
  <sheetViews>
    <sheetView showGridLines="0" topLeftCell="A13" zoomScaleNormal="100" workbookViewId="0">
      <selection activeCell="M22" sqref="M22"/>
    </sheetView>
  </sheetViews>
  <sheetFormatPr defaultRowHeight="14.4" x14ac:dyDescent="0.3"/>
  <cols>
    <col min="1" max="1" width="1.88671875" customWidth="1"/>
    <col min="2" max="11" width="13.77734375" customWidth="1"/>
  </cols>
  <sheetData>
    <row r="1" spans="2:11" ht="15.6" x14ac:dyDescent="0.3">
      <c r="B1" s="473"/>
      <c r="C1" s="473"/>
      <c r="D1" s="473"/>
      <c r="E1" s="473"/>
      <c r="F1" s="473"/>
      <c r="G1" s="473"/>
      <c r="H1" s="473"/>
      <c r="I1" s="473"/>
      <c r="J1" s="473"/>
      <c r="K1" s="473"/>
    </row>
    <row r="2" spans="2:11" x14ac:dyDescent="0.3">
      <c r="B2" s="600" t="s">
        <v>391</v>
      </c>
      <c r="C2" s="604"/>
      <c r="D2" s="604"/>
      <c r="E2" s="604"/>
      <c r="F2" s="604"/>
      <c r="G2" s="604"/>
      <c r="H2" s="604"/>
      <c r="I2" s="604"/>
      <c r="J2" s="604"/>
      <c r="K2" s="604"/>
    </row>
    <row r="3" spans="2:11" x14ac:dyDescent="0.3">
      <c r="B3" s="604"/>
      <c r="C3" s="604"/>
      <c r="D3" s="604"/>
      <c r="E3" s="604"/>
      <c r="F3" s="604"/>
      <c r="G3" s="604"/>
      <c r="H3" s="604"/>
      <c r="I3" s="604"/>
      <c r="J3" s="604"/>
      <c r="K3" s="604"/>
    </row>
    <row r="4" spans="2:11" x14ac:dyDescent="0.3">
      <c r="B4" s="604"/>
      <c r="C4" s="604"/>
      <c r="D4" s="604"/>
      <c r="E4" s="604"/>
      <c r="F4" s="604"/>
      <c r="G4" s="604"/>
      <c r="H4" s="604"/>
      <c r="I4" s="604"/>
      <c r="J4" s="604"/>
      <c r="K4" s="604"/>
    </row>
    <row r="5" spans="2:11" ht="15.6" x14ac:dyDescent="0.3">
      <c r="B5" s="474"/>
      <c r="C5" s="475"/>
      <c r="D5" s="475"/>
      <c r="E5" s="475"/>
      <c r="F5" s="475"/>
      <c r="G5" s="475"/>
      <c r="H5" s="475"/>
      <c r="I5" s="475"/>
      <c r="J5" s="476">
        <v>4.5</v>
      </c>
      <c r="K5" s="474"/>
    </row>
    <row r="6" spans="2:11" ht="15.6" x14ac:dyDescent="0.3">
      <c r="B6" s="473"/>
      <c r="C6" s="473"/>
      <c r="D6" s="473"/>
      <c r="E6" s="473"/>
      <c r="F6" s="477"/>
      <c r="G6" s="477"/>
      <c r="H6" s="477"/>
      <c r="I6" s="477"/>
      <c r="J6" s="477"/>
      <c r="K6" s="473"/>
    </row>
    <row r="7" spans="2:11" ht="15.6" x14ac:dyDescent="0.3">
      <c r="B7" s="409"/>
      <c r="C7" s="409"/>
      <c r="D7" s="409"/>
      <c r="E7" s="409"/>
      <c r="F7" s="409"/>
      <c r="G7" s="409"/>
      <c r="H7" s="409"/>
      <c r="I7" s="409"/>
      <c r="J7" s="409"/>
      <c r="K7" s="409"/>
    </row>
    <row r="8" spans="2:11" ht="15.6" x14ac:dyDescent="0.3">
      <c r="B8" s="478" t="s">
        <v>392</v>
      </c>
      <c r="C8" s="409"/>
      <c r="D8" s="409"/>
      <c r="E8" s="409"/>
      <c r="F8" s="409"/>
      <c r="G8" s="409"/>
      <c r="H8" s="409"/>
      <c r="I8" s="409"/>
      <c r="J8" s="409"/>
      <c r="K8" s="409"/>
    </row>
    <row r="9" spans="2:11" ht="47.4" customHeight="1" x14ac:dyDescent="0.3">
      <c r="B9" s="605" t="s">
        <v>393</v>
      </c>
      <c r="C9" s="605"/>
      <c r="D9" s="605"/>
      <c r="E9" s="605"/>
      <c r="F9" s="605"/>
      <c r="G9" s="605"/>
      <c r="H9" s="605"/>
      <c r="I9" s="605"/>
      <c r="J9" s="605"/>
      <c r="K9" s="605"/>
    </row>
    <row r="10" spans="2:11" ht="6" customHeight="1" x14ac:dyDescent="0.3">
      <c r="B10" s="409"/>
      <c r="C10" s="409"/>
      <c r="D10" s="409"/>
      <c r="E10" s="409"/>
      <c r="F10" s="409"/>
      <c r="G10" s="409"/>
      <c r="H10" s="409"/>
      <c r="I10" s="409"/>
      <c r="J10" s="409"/>
      <c r="K10" s="409"/>
    </row>
    <row r="11" spans="2:11" ht="15.6" x14ac:dyDescent="0.3">
      <c r="B11" s="478" t="s">
        <v>394</v>
      </c>
      <c r="C11" s="409"/>
      <c r="D11" s="409"/>
      <c r="E11" s="409"/>
      <c r="F11" s="409"/>
      <c r="G11" s="409"/>
      <c r="H11" s="409"/>
      <c r="I11" s="409"/>
      <c r="J11" s="409"/>
      <c r="K11" s="409"/>
    </row>
    <row r="12" spans="2:11" ht="48" customHeight="1" x14ac:dyDescent="0.3">
      <c r="B12" s="605" t="s">
        <v>395</v>
      </c>
      <c r="C12" s="605"/>
      <c r="D12" s="605"/>
      <c r="E12" s="605"/>
      <c r="F12" s="605"/>
      <c r="G12" s="605"/>
      <c r="H12" s="605"/>
      <c r="I12" s="605"/>
      <c r="J12" s="605"/>
      <c r="K12" s="605"/>
    </row>
    <row r="13" spans="2:11" ht="6" customHeight="1" x14ac:dyDescent="0.3">
      <c r="B13" s="409"/>
      <c r="C13" s="409"/>
      <c r="D13" s="409"/>
      <c r="E13" s="409"/>
      <c r="F13" s="409"/>
      <c r="G13" s="409"/>
      <c r="H13" s="409"/>
      <c r="I13" s="409"/>
      <c r="J13" s="409"/>
      <c r="K13" s="409"/>
    </row>
    <row r="14" spans="2:11" ht="13.8" customHeight="1" x14ac:dyDescent="0.3">
      <c r="B14" s="478" t="s">
        <v>396</v>
      </c>
      <c r="C14" s="409"/>
      <c r="D14" s="409"/>
      <c r="E14" s="409"/>
      <c r="F14" s="409"/>
      <c r="G14" s="409"/>
      <c r="H14" s="409"/>
      <c r="I14" s="409"/>
      <c r="J14" s="409"/>
      <c r="K14" s="409"/>
    </row>
    <row r="15" spans="2:11" ht="45" customHeight="1" x14ac:dyDescent="0.3">
      <c r="B15" s="605" t="s">
        <v>397</v>
      </c>
      <c r="C15" s="605"/>
      <c r="D15" s="605"/>
      <c r="E15" s="605"/>
      <c r="F15" s="605"/>
      <c r="G15" s="605"/>
      <c r="H15" s="605"/>
      <c r="I15" s="605"/>
      <c r="J15" s="605"/>
      <c r="K15" s="605"/>
    </row>
    <row r="16" spans="2:11" ht="6" customHeight="1" x14ac:dyDescent="0.3">
      <c r="B16" s="409"/>
      <c r="C16" s="409"/>
      <c r="D16" s="409"/>
      <c r="E16" s="409"/>
      <c r="F16" s="409"/>
      <c r="G16" s="409"/>
      <c r="H16" s="409"/>
      <c r="I16" s="409"/>
      <c r="J16" s="409"/>
      <c r="K16" s="409"/>
    </row>
    <row r="17" spans="2:11" ht="15.6" x14ac:dyDescent="0.3">
      <c r="B17" s="479" t="s">
        <v>398</v>
      </c>
      <c r="C17" s="409"/>
      <c r="D17" s="409"/>
      <c r="E17" s="409"/>
      <c r="F17" s="409"/>
      <c r="G17" s="409"/>
      <c r="H17" s="409"/>
      <c r="I17" s="409"/>
      <c r="J17" s="409"/>
      <c r="K17" s="409"/>
    </row>
    <row r="18" spans="2:11" ht="2.4" customHeight="1" x14ac:dyDescent="0.3">
      <c r="B18" s="409"/>
      <c r="C18" s="409"/>
      <c r="D18" s="409"/>
      <c r="E18" s="409"/>
      <c r="F18" s="409"/>
      <c r="G18" s="409"/>
      <c r="H18" s="409"/>
      <c r="I18" s="409"/>
      <c r="J18" s="409"/>
      <c r="K18" s="409"/>
    </row>
    <row r="19" spans="2:11" ht="15.6" x14ac:dyDescent="0.3">
      <c r="B19" s="478" t="s">
        <v>376</v>
      </c>
      <c r="C19" s="409"/>
      <c r="D19" s="409"/>
      <c r="E19" s="409"/>
      <c r="F19" s="409"/>
      <c r="G19" s="409"/>
      <c r="H19" s="409"/>
      <c r="I19" s="409"/>
      <c r="J19" s="409"/>
      <c r="K19" s="409"/>
    </row>
    <row r="20" spans="2:11" ht="16.2" customHeight="1" x14ac:dyDescent="0.3">
      <c r="B20" s="603" t="s">
        <v>411</v>
      </c>
      <c r="C20" s="603"/>
      <c r="D20" s="603"/>
      <c r="E20" s="603"/>
      <c r="F20" s="603"/>
      <c r="G20" s="603"/>
      <c r="H20" s="603"/>
      <c r="I20" s="603"/>
      <c r="J20" s="603"/>
      <c r="K20" s="603"/>
    </row>
    <row r="21" spans="2:11" ht="2.4" customHeight="1" x14ac:dyDescent="0.3">
      <c r="B21" s="409"/>
      <c r="C21" s="409"/>
      <c r="D21" s="409"/>
      <c r="E21" s="409"/>
      <c r="F21" s="409"/>
      <c r="G21" s="409"/>
      <c r="H21" s="409"/>
      <c r="I21" s="409"/>
      <c r="J21" s="409"/>
      <c r="K21" s="409"/>
    </row>
    <row r="22" spans="2:11" ht="15.6" x14ac:dyDescent="0.3">
      <c r="B22" s="478" t="s">
        <v>379</v>
      </c>
      <c r="C22" s="409"/>
      <c r="D22" s="409"/>
      <c r="E22" s="409"/>
      <c r="F22" s="409"/>
      <c r="G22" s="409"/>
      <c r="H22" s="409"/>
      <c r="I22" s="409"/>
      <c r="J22" s="409"/>
      <c r="K22" s="409"/>
    </row>
    <row r="23" spans="2:11" ht="30.6" customHeight="1" x14ac:dyDescent="0.3">
      <c r="B23" s="603" t="s">
        <v>412</v>
      </c>
      <c r="C23" s="603"/>
      <c r="D23" s="603"/>
      <c r="E23" s="603"/>
      <c r="F23" s="603"/>
      <c r="G23" s="603"/>
      <c r="H23" s="603"/>
      <c r="I23" s="603"/>
      <c r="J23" s="603"/>
      <c r="K23" s="603"/>
    </row>
    <row r="24" spans="2:11" ht="3" customHeight="1" x14ac:dyDescent="0.3">
      <c r="B24" s="409"/>
      <c r="C24" s="409"/>
      <c r="D24" s="409"/>
      <c r="E24" s="409"/>
      <c r="F24" s="409"/>
      <c r="G24" s="409"/>
      <c r="H24" s="409"/>
      <c r="I24" s="409"/>
      <c r="J24" s="409"/>
      <c r="K24" s="409"/>
    </row>
    <row r="25" spans="2:11" ht="15.6" x14ac:dyDescent="0.3">
      <c r="B25" s="478" t="s">
        <v>380</v>
      </c>
      <c r="C25" s="409"/>
      <c r="D25" s="409"/>
      <c r="E25" s="409"/>
      <c r="F25" s="409"/>
      <c r="G25" s="409"/>
      <c r="H25" s="409"/>
      <c r="I25" s="409"/>
      <c r="J25" s="409"/>
      <c r="K25" s="409"/>
    </row>
    <row r="26" spans="2:11" ht="15.6" x14ac:dyDescent="0.3">
      <c r="B26" s="606" t="s">
        <v>413</v>
      </c>
      <c r="C26" s="606"/>
      <c r="D26" s="606"/>
      <c r="E26" s="606"/>
      <c r="F26" s="606"/>
      <c r="G26" s="606"/>
      <c r="H26" s="606"/>
      <c r="I26" s="606"/>
      <c r="J26" s="606"/>
      <c r="K26" s="606"/>
    </row>
    <row r="27" spans="2:11" ht="2.4" customHeight="1" x14ac:dyDescent="0.3">
      <c r="B27" s="409"/>
      <c r="C27" s="409"/>
      <c r="D27" s="409"/>
      <c r="E27" s="409"/>
      <c r="F27" s="409"/>
      <c r="G27" s="409"/>
      <c r="H27" s="409"/>
      <c r="I27" s="409"/>
      <c r="J27" s="409"/>
      <c r="K27" s="409"/>
    </row>
    <row r="28" spans="2:11" ht="15.6" x14ac:dyDescent="0.3">
      <c r="B28" s="478" t="s">
        <v>399</v>
      </c>
      <c r="C28" s="409"/>
      <c r="D28" s="409"/>
      <c r="E28" s="409"/>
      <c r="F28" s="409"/>
      <c r="G28" s="409"/>
      <c r="H28" s="409"/>
      <c r="I28" s="409"/>
      <c r="J28" s="409"/>
      <c r="K28" s="409"/>
    </row>
    <row r="29" spans="2:11" ht="15.6" x14ac:dyDescent="0.3">
      <c r="B29" s="606" t="s">
        <v>414</v>
      </c>
      <c r="C29" s="606"/>
      <c r="D29" s="606"/>
      <c r="E29" s="606"/>
      <c r="F29" s="606"/>
      <c r="G29" s="606"/>
      <c r="H29" s="606"/>
      <c r="I29" s="606"/>
      <c r="J29" s="606"/>
      <c r="K29" s="606"/>
    </row>
    <row r="30" spans="2:11" ht="2.4" customHeight="1" x14ac:dyDescent="0.3">
      <c r="B30" s="409"/>
      <c r="C30" s="409"/>
      <c r="D30" s="409"/>
      <c r="E30" s="409"/>
      <c r="F30" s="409"/>
      <c r="G30" s="409"/>
      <c r="H30" s="409"/>
      <c r="I30" s="409"/>
      <c r="J30" s="409"/>
      <c r="K30" s="409"/>
    </row>
    <row r="31" spans="2:11" ht="15.6" x14ac:dyDescent="0.3">
      <c r="B31" s="478" t="s">
        <v>382</v>
      </c>
      <c r="C31" s="409"/>
      <c r="D31" s="409"/>
      <c r="E31" s="409"/>
      <c r="F31" s="409"/>
      <c r="G31" s="409"/>
      <c r="H31" s="409"/>
      <c r="I31" s="409"/>
      <c r="J31" s="409"/>
      <c r="K31" s="409"/>
    </row>
    <row r="32" spans="2:11" ht="15.6" x14ac:dyDescent="0.3">
      <c r="B32" s="409" t="s">
        <v>415</v>
      </c>
      <c r="C32" s="409"/>
      <c r="D32" s="409"/>
      <c r="E32" s="409"/>
      <c r="F32" s="409"/>
      <c r="G32" s="409"/>
      <c r="H32" s="409"/>
      <c r="I32" s="409"/>
      <c r="J32" s="409"/>
      <c r="K32" s="409"/>
    </row>
    <row r="33" spans="2:11" ht="6" customHeight="1" x14ac:dyDescent="0.3">
      <c r="B33" s="409"/>
      <c r="C33" s="409"/>
      <c r="D33" s="409"/>
      <c r="E33" s="409"/>
      <c r="F33" s="409"/>
      <c r="G33" s="409"/>
      <c r="H33" s="409"/>
      <c r="I33" s="409"/>
      <c r="J33" s="409"/>
      <c r="K33" s="409"/>
    </row>
    <row r="34" spans="2:11" ht="15.6" x14ac:dyDescent="0.3">
      <c r="B34" s="478" t="s">
        <v>400</v>
      </c>
      <c r="C34" s="409"/>
      <c r="D34" s="409"/>
      <c r="E34" s="409"/>
      <c r="F34" s="409"/>
      <c r="G34" s="409"/>
      <c r="H34" s="409"/>
      <c r="I34" s="409"/>
      <c r="J34" s="409"/>
      <c r="K34" s="409"/>
    </row>
    <row r="35" spans="2:11" ht="48" customHeight="1" x14ac:dyDescent="0.3">
      <c r="B35" s="605" t="s">
        <v>401</v>
      </c>
      <c r="C35" s="605"/>
      <c r="D35" s="605"/>
      <c r="E35" s="605"/>
      <c r="F35" s="605"/>
      <c r="G35" s="605"/>
      <c r="H35" s="605"/>
      <c r="I35" s="605"/>
      <c r="J35" s="605"/>
      <c r="K35" s="605"/>
    </row>
    <row r="36" spans="2:11" ht="6" customHeight="1" x14ac:dyDescent="0.3">
      <c r="B36" s="409"/>
      <c r="C36" s="409"/>
      <c r="D36" s="409"/>
      <c r="E36" s="409"/>
      <c r="F36" s="409"/>
      <c r="G36" s="409"/>
      <c r="H36" s="409"/>
      <c r="I36" s="409"/>
      <c r="J36" s="409"/>
      <c r="K36" s="409"/>
    </row>
    <row r="37" spans="2:11" ht="15.6" x14ac:dyDescent="0.3">
      <c r="B37" s="478" t="s">
        <v>402</v>
      </c>
      <c r="C37" s="409"/>
      <c r="D37" s="409"/>
      <c r="E37" s="409"/>
      <c r="F37" s="409"/>
      <c r="G37" s="409"/>
      <c r="H37" s="409"/>
      <c r="I37" s="409"/>
      <c r="J37" s="409"/>
      <c r="K37" s="409"/>
    </row>
    <row r="38" spans="2:11" ht="45" customHeight="1" x14ac:dyDescent="0.3">
      <c r="B38" s="605" t="s">
        <v>403</v>
      </c>
      <c r="C38" s="605"/>
      <c r="D38" s="605"/>
      <c r="E38" s="605"/>
      <c r="F38" s="605"/>
      <c r="G38" s="605"/>
      <c r="H38" s="605"/>
      <c r="I38" s="605"/>
      <c r="J38" s="605"/>
      <c r="K38" s="605"/>
    </row>
    <row r="39" spans="2:11" ht="6" customHeight="1" x14ac:dyDescent="0.3">
      <c r="B39" s="409"/>
      <c r="C39" s="409"/>
      <c r="D39" s="409"/>
      <c r="E39" s="409"/>
      <c r="F39" s="409"/>
      <c r="G39" s="409"/>
      <c r="H39" s="409"/>
      <c r="I39" s="409"/>
      <c r="J39" s="409"/>
      <c r="K39" s="409"/>
    </row>
    <row r="40" spans="2:11" ht="15.6" x14ac:dyDescent="0.3">
      <c r="B40" s="478" t="s">
        <v>404</v>
      </c>
      <c r="C40" s="409"/>
      <c r="D40" s="409"/>
      <c r="E40" s="409"/>
      <c r="F40" s="409"/>
      <c r="G40" s="409"/>
      <c r="H40" s="409"/>
      <c r="I40" s="409"/>
      <c r="J40" s="409"/>
      <c r="K40" s="409"/>
    </row>
    <row r="41" spans="2:11" ht="47.4" customHeight="1" x14ac:dyDescent="0.3">
      <c r="B41" s="605" t="s">
        <v>405</v>
      </c>
      <c r="C41" s="605"/>
      <c r="D41" s="605"/>
      <c r="E41" s="605"/>
      <c r="F41" s="605"/>
      <c r="G41" s="605"/>
      <c r="H41" s="605"/>
      <c r="I41" s="605"/>
      <c r="J41" s="605"/>
      <c r="K41" s="605"/>
    </row>
    <row r="42" spans="2:11" ht="6" customHeight="1" x14ac:dyDescent="0.3">
      <c r="B42" s="409"/>
      <c r="C42" s="409"/>
      <c r="D42" s="409"/>
      <c r="E42" s="409"/>
      <c r="F42" s="409"/>
      <c r="G42" s="409"/>
      <c r="H42" s="409"/>
      <c r="I42" s="409"/>
      <c r="J42" s="409"/>
      <c r="K42" s="409"/>
    </row>
    <row r="43" spans="2:11" ht="15.6" x14ac:dyDescent="0.3">
      <c r="B43" s="478" t="s">
        <v>239</v>
      </c>
      <c r="C43" s="409"/>
      <c r="D43" s="409"/>
      <c r="E43" s="409"/>
      <c r="F43" s="409"/>
      <c r="G43" s="409"/>
      <c r="H43" s="409"/>
      <c r="I43" s="409"/>
      <c r="J43" s="409"/>
      <c r="K43" s="409"/>
    </row>
    <row r="44" spans="2:11" ht="48.6" customHeight="1" x14ac:dyDescent="0.3">
      <c r="B44" s="605" t="s">
        <v>406</v>
      </c>
      <c r="C44" s="605"/>
      <c r="D44" s="605"/>
      <c r="E44" s="605"/>
      <c r="F44" s="605"/>
      <c r="G44" s="605"/>
      <c r="H44" s="605"/>
      <c r="I44" s="605"/>
      <c r="J44" s="605"/>
      <c r="K44" s="605"/>
    </row>
    <row r="45" spans="2:11" ht="6" customHeight="1" x14ac:dyDescent="0.3">
      <c r="B45" s="409"/>
      <c r="C45" s="409"/>
      <c r="D45" s="409"/>
      <c r="E45" s="409"/>
      <c r="F45" s="409"/>
      <c r="G45" s="409"/>
      <c r="H45" s="409"/>
      <c r="I45" s="409"/>
      <c r="J45" s="409"/>
      <c r="K45" s="409"/>
    </row>
    <row r="46" spans="2:11" ht="15.6" x14ac:dyDescent="0.3">
      <c r="B46" s="479" t="s">
        <v>407</v>
      </c>
      <c r="C46" s="409"/>
      <c r="D46" s="409"/>
      <c r="E46" s="409"/>
      <c r="F46" s="409"/>
      <c r="G46" s="409"/>
      <c r="H46" s="409"/>
      <c r="I46" s="409"/>
      <c r="J46" s="409"/>
      <c r="K46" s="409"/>
    </row>
    <row r="47" spans="2:11" ht="1.2" customHeight="1" x14ac:dyDescent="0.3">
      <c r="B47" s="451"/>
      <c r="C47" s="409"/>
      <c r="D47" s="409"/>
      <c r="E47" s="409"/>
      <c r="F47" s="409"/>
      <c r="G47" s="409"/>
      <c r="H47" s="409"/>
      <c r="I47" s="409"/>
      <c r="J47" s="409"/>
      <c r="K47" s="409"/>
    </row>
    <row r="48" spans="2:11" ht="1.2" customHeight="1" x14ac:dyDescent="0.3">
      <c r="B48" s="451"/>
      <c r="C48" s="409"/>
      <c r="D48" s="409"/>
      <c r="E48" s="409"/>
      <c r="F48" s="409"/>
      <c r="G48" s="409"/>
      <c r="H48" s="409"/>
      <c r="I48" s="409"/>
      <c r="J48" s="409"/>
      <c r="K48" s="409"/>
    </row>
    <row r="49" spans="2:11" ht="15.6" x14ac:dyDescent="0.3">
      <c r="B49" s="451" t="s">
        <v>408</v>
      </c>
      <c r="C49" s="409"/>
      <c r="D49" s="409"/>
      <c r="E49" s="409"/>
      <c r="F49" s="409"/>
      <c r="G49" s="409"/>
      <c r="H49" s="409"/>
      <c r="I49" s="409"/>
      <c r="J49" s="409"/>
      <c r="K49" s="409"/>
    </row>
    <row r="50" spans="2:11" ht="0.6" customHeight="1" x14ac:dyDescent="0.3">
      <c r="B50" s="451"/>
      <c r="C50" s="409"/>
      <c r="D50" s="409"/>
      <c r="E50" s="409"/>
      <c r="F50" s="409"/>
      <c r="G50" s="409"/>
      <c r="H50" s="409"/>
      <c r="I50" s="409"/>
      <c r="J50" s="409"/>
      <c r="K50" s="409"/>
    </row>
    <row r="51" spans="2:11" ht="15.6" x14ac:dyDescent="0.3">
      <c r="B51" s="451" t="s">
        <v>409</v>
      </c>
      <c r="C51" s="409"/>
      <c r="D51" s="409"/>
      <c r="E51" s="409"/>
      <c r="F51" s="409"/>
      <c r="G51" s="409"/>
      <c r="H51" s="409"/>
      <c r="I51" s="409"/>
      <c r="J51" s="409"/>
      <c r="K51" s="409"/>
    </row>
    <row r="52" spans="2:11" ht="1.2" customHeight="1" x14ac:dyDescent="0.3">
      <c r="B52" s="451"/>
      <c r="C52" s="409"/>
      <c r="D52" s="409"/>
      <c r="E52" s="409"/>
      <c r="F52" s="409"/>
      <c r="G52" s="409"/>
      <c r="H52" s="409"/>
      <c r="I52" s="409"/>
      <c r="J52" s="409"/>
      <c r="K52" s="409"/>
    </row>
    <row r="53" spans="2:11" ht="15.6" x14ac:dyDescent="0.3">
      <c r="B53" s="451" t="s">
        <v>410</v>
      </c>
      <c r="C53" s="409"/>
      <c r="D53" s="409"/>
      <c r="E53" s="409"/>
      <c r="F53" s="409"/>
      <c r="G53" s="409"/>
      <c r="H53" s="409"/>
      <c r="I53" s="409"/>
      <c r="J53" s="409"/>
      <c r="K53" s="409"/>
    </row>
    <row r="54" spans="2:11" ht="15.6" x14ac:dyDescent="0.3">
      <c r="B54" s="409"/>
      <c r="C54" s="409"/>
      <c r="D54" s="409"/>
      <c r="E54" s="409"/>
      <c r="F54" s="409"/>
      <c r="G54" s="409"/>
      <c r="H54" s="409"/>
      <c r="I54" s="409"/>
      <c r="J54" s="409"/>
      <c r="K54" s="409"/>
    </row>
    <row r="55" spans="2:11" ht="15.6" x14ac:dyDescent="0.3">
      <c r="B55" s="480"/>
      <c r="C55" s="480"/>
      <c r="D55" s="480"/>
      <c r="E55" s="480"/>
      <c r="F55" s="480"/>
      <c r="G55" s="480"/>
      <c r="H55" s="480"/>
      <c r="I55" s="480"/>
      <c r="J55" s="480"/>
      <c r="K55" s="480"/>
    </row>
  </sheetData>
  <mergeCells count="12">
    <mergeCell ref="B35:K35"/>
    <mergeCell ref="B38:K38"/>
    <mergeCell ref="B41:K41"/>
    <mergeCell ref="B44:K44"/>
    <mergeCell ref="B26:K26"/>
    <mergeCell ref="B29:K29"/>
    <mergeCell ref="B23:K23"/>
    <mergeCell ref="B2:K4"/>
    <mergeCell ref="B9:K9"/>
    <mergeCell ref="B12:K12"/>
    <mergeCell ref="B15:K15"/>
    <mergeCell ref="B20:K20"/>
  </mergeCells>
  <pageMargins left="0.7" right="0.7" top="0.75" bottom="0.75" header="0.3" footer="0.3"/>
  <pageSetup scale="64"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
  <sheetViews>
    <sheetView workbookViewId="0"/>
  </sheetViews>
  <sheetFormatPr defaultRowHeight="14.4" x14ac:dyDescent="0.3"/>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9"/>
  <sheetViews>
    <sheetView workbookViewId="0">
      <selection activeCell="Q3" sqref="Q3:Q9"/>
    </sheetView>
  </sheetViews>
  <sheetFormatPr defaultRowHeight="14.4" x14ac:dyDescent="0.3"/>
  <sheetData>
    <row r="2" spans="2:17" ht="42" thickBot="1" x14ac:dyDescent="0.35">
      <c r="B2" s="315" t="s">
        <v>285</v>
      </c>
      <c r="C2" s="316" t="s">
        <v>118</v>
      </c>
      <c r="D2" s="317" t="s">
        <v>286</v>
      </c>
      <c r="E2" s="317" t="s">
        <v>287</v>
      </c>
      <c r="F2" s="317" t="s">
        <v>288</v>
      </c>
      <c r="G2" s="317" t="s">
        <v>289</v>
      </c>
      <c r="H2" s="317" t="s">
        <v>290</v>
      </c>
      <c r="I2" s="317" t="s">
        <v>291</v>
      </c>
      <c r="J2" s="317" t="s">
        <v>292</v>
      </c>
      <c r="K2" s="317" t="s">
        <v>293</v>
      </c>
      <c r="L2" s="317" t="s">
        <v>294</v>
      </c>
      <c r="M2" s="317" t="s">
        <v>295</v>
      </c>
      <c r="N2" s="317" t="s">
        <v>296</v>
      </c>
      <c r="O2" s="317" t="s">
        <v>297</v>
      </c>
      <c r="P2" s="317" t="s">
        <v>298</v>
      </c>
      <c r="Q2" s="324" t="s">
        <v>65</v>
      </c>
    </row>
    <row r="3" spans="2:17" x14ac:dyDescent="0.3">
      <c r="B3" s="318">
        <v>1</v>
      </c>
      <c r="C3" s="319" t="s">
        <v>299</v>
      </c>
      <c r="D3" s="320">
        <v>148060</v>
      </c>
      <c r="E3" s="320">
        <v>62794.36</v>
      </c>
      <c r="F3" s="320">
        <v>3771.16</v>
      </c>
      <c r="G3" s="320">
        <v>0.2</v>
      </c>
      <c r="H3" s="320">
        <v>33.61</v>
      </c>
      <c r="I3" s="320">
        <v>3.4</v>
      </c>
      <c r="J3" s="320">
        <v>0.42</v>
      </c>
      <c r="K3" s="320">
        <v>66189.03</v>
      </c>
      <c r="L3" s="320">
        <v>376.49</v>
      </c>
      <c r="M3" s="320">
        <v>28152.5</v>
      </c>
      <c r="N3" s="320">
        <v>2845.67</v>
      </c>
      <c r="O3" s="320">
        <v>1653.55</v>
      </c>
      <c r="P3" s="320">
        <v>1869.29</v>
      </c>
      <c r="Q3">
        <f>N3+O3</f>
        <v>4499.22</v>
      </c>
    </row>
    <row r="4" spans="2:17" x14ac:dyDescent="0.3">
      <c r="B4" s="321">
        <v>2</v>
      </c>
      <c r="C4" s="322" t="s">
        <v>300</v>
      </c>
      <c r="D4" s="36">
        <v>2745.3</v>
      </c>
      <c r="E4" s="36">
        <v>53071.37</v>
      </c>
      <c r="F4" s="36">
        <v>3267.45</v>
      </c>
      <c r="G4" s="36">
        <v>0.31</v>
      </c>
      <c r="H4" s="36">
        <v>34.96</v>
      </c>
      <c r="I4" s="36">
        <v>5.1100000000000003</v>
      </c>
      <c r="J4" s="36">
        <v>19.329999999999998</v>
      </c>
      <c r="K4" s="36">
        <v>56252.57</v>
      </c>
      <c r="L4" s="36">
        <v>86.25</v>
      </c>
      <c r="M4" s="36">
        <v>10446.950000000001</v>
      </c>
      <c r="N4" s="36">
        <v>2134.96</v>
      </c>
      <c r="O4" s="36">
        <v>680.66</v>
      </c>
      <c r="P4" s="36">
        <v>1654.96</v>
      </c>
      <c r="Q4">
        <f t="shared" ref="Q4:Q9" si="0">N4+O4</f>
        <v>2815.62</v>
      </c>
    </row>
    <row r="5" spans="2:17" x14ac:dyDescent="0.3">
      <c r="B5" s="323">
        <v>3</v>
      </c>
      <c r="C5" s="319" t="s">
        <v>301</v>
      </c>
      <c r="D5" s="20">
        <v>455.15</v>
      </c>
      <c r="E5" s="20">
        <v>28906.62</v>
      </c>
      <c r="F5" s="20">
        <v>4410.43</v>
      </c>
      <c r="G5" s="20">
        <v>0.3</v>
      </c>
      <c r="H5" s="20">
        <v>23.42</v>
      </c>
      <c r="I5" s="20">
        <v>1.96</v>
      </c>
      <c r="J5" s="20">
        <v>63.51</v>
      </c>
      <c r="K5" s="20">
        <v>32419.55</v>
      </c>
      <c r="L5" s="20">
        <v>897.5</v>
      </c>
      <c r="M5" s="20">
        <v>26123.42</v>
      </c>
      <c r="N5" s="20">
        <v>2172.67</v>
      </c>
      <c r="O5" s="20">
        <v>1498.37</v>
      </c>
      <c r="P5" s="20">
        <v>1121.32</v>
      </c>
      <c r="Q5">
        <f t="shared" si="0"/>
        <v>3671.04</v>
      </c>
    </row>
    <row r="6" spans="2:17" x14ac:dyDescent="0.3">
      <c r="B6" s="321">
        <v>4</v>
      </c>
      <c r="C6" s="322" t="s">
        <v>260</v>
      </c>
      <c r="D6" s="36">
        <v>3827.3</v>
      </c>
      <c r="E6" s="36">
        <v>15481.46</v>
      </c>
      <c r="F6" s="36">
        <v>2136.38</v>
      </c>
      <c r="G6" s="36">
        <v>0.49</v>
      </c>
      <c r="H6" s="36">
        <v>33.75</v>
      </c>
      <c r="I6" s="36">
        <v>3.54</v>
      </c>
      <c r="J6" s="36">
        <v>4.05</v>
      </c>
      <c r="K6" s="36">
        <v>17564.599999999999</v>
      </c>
      <c r="L6" s="36">
        <v>53.24</v>
      </c>
      <c r="M6" s="36">
        <v>13554.46</v>
      </c>
      <c r="N6" s="36">
        <v>929</v>
      </c>
      <c r="O6" s="36">
        <v>582.29</v>
      </c>
      <c r="P6" s="36">
        <v>429.49</v>
      </c>
      <c r="Q6">
        <f t="shared" si="0"/>
        <v>1511.29</v>
      </c>
    </row>
    <row r="7" spans="2:17" x14ac:dyDescent="0.3">
      <c r="B7" s="323">
        <v>5</v>
      </c>
      <c r="C7" s="319" t="s">
        <v>302</v>
      </c>
      <c r="D7" s="20">
        <v>369.4</v>
      </c>
      <c r="E7" s="20">
        <v>10122.299999999999</v>
      </c>
      <c r="F7" s="20">
        <v>4911.1499999999996</v>
      </c>
      <c r="G7" s="20">
        <v>1.01</v>
      </c>
      <c r="H7" s="20">
        <v>19.59</v>
      </c>
      <c r="I7" s="20">
        <v>2.09</v>
      </c>
      <c r="J7" s="20">
        <v>27.4</v>
      </c>
      <c r="K7" s="20">
        <v>14322.07</v>
      </c>
      <c r="L7" s="20">
        <v>711.38</v>
      </c>
      <c r="M7" s="20">
        <v>14692.92</v>
      </c>
      <c r="N7" s="20">
        <v>1220.72</v>
      </c>
      <c r="O7" s="20">
        <v>456.49</v>
      </c>
      <c r="P7" s="20">
        <v>509.31</v>
      </c>
      <c r="Q7">
        <f t="shared" si="0"/>
        <v>1677.21</v>
      </c>
    </row>
    <row r="8" spans="2:17" x14ac:dyDescent="0.3">
      <c r="B8" s="321">
        <v>6</v>
      </c>
      <c r="C8" s="322" t="s">
        <v>303</v>
      </c>
      <c r="D8" s="36">
        <v>3187.1</v>
      </c>
      <c r="E8" s="36">
        <v>2441.3200000000002</v>
      </c>
      <c r="F8" s="36">
        <v>886.02</v>
      </c>
      <c r="G8" s="36">
        <v>0.75</v>
      </c>
      <c r="H8" s="36">
        <v>90.65</v>
      </c>
      <c r="I8" s="36">
        <v>2.06</v>
      </c>
      <c r="J8" s="36">
        <v>0.77</v>
      </c>
      <c r="K8" s="36">
        <v>3310.13</v>
      </c>
      <c r="L8" s="36">
        <v>17.21</v>
      </c>
      <c r="M8" s="36">
        <v>3253.83</v>
      </c>
      <c r="N8" s="36">
        <v>102.04</v>
      </c>
      <c r="O8" s="36">
        <v>128.76</v>
      </c>
      <c r="P8" s="36">
        <v>20.52</v>
      </c>
      <c r="Q8">
        <f t="shared" si="0"/>
        <v>230.8</v>
      </c>
    </row>
    <row r="9" spans="2:17" x14ac:dyDescent="0.3">
      <c r="B9" s="323">
        <v>7</v>
      </c>
      <c r="C9" s="319" t="s">
        <v>304</v>
      </c>
      <c r="D9" s="20">
        <v>1012.45</v>
      </c>
      <c r="E9" s="20">
        <v>2335.7199999999998</v>
      </c>
      <c r="F9" s="20">
        <v>29.15</v>
      </c>
      <c r="G9" s="20">
        <v>0.05</v>
      </c>
      <c r="H9" s="20">
        <v>42.38</v>
      </c>
      <c r="I9" s="20">
        <v>3.87</v>
      </c>
      <c r="J9" s="20">
        <v>2.31</v>
      </c>
      <c r="K9" s="20">
        <v>2170.7199999999998</v>
      </c>
      <c r="L9" s="20">
        <v>194.15</v>
      </c>
      <c r="M9" s="20">
        <v>2608.0500000000002</v>
      </c>
      <c r="N9" s="20">
        <v>79.36</v>
      </c>
      <c r="O9" s="20">
        <v>54.75</v>
      </c>
      <c r="P9" s="20">
        <v>55.12</v>
      </c>
      <c r="Q9">
        <f t="shared" si="0"/>
        <v>134.11000000000001</v>
      </c>
    </row>
  </sheetData>
  <hyperlinks>
    <hyperlink ref="C3" r:id="rId1" display="https://www.screener.in/company/MRF/consolidated/"/>
    <hyperlink ref="C4" r:id="rId2" display="https://www.screener.in/company/BALKRISIND/consolidated/"/>
    <hyperlink ref="C5" r:id="rId3" display="https://www.screener.in/company/APOLLOTYRE/consolidated/"/>
    <hyperlink ref="C6" r:id="rId4" display="https://www.screener.in/company/CEATLTD/consolidated/"/>
    <hyperlink ref="C7" r:id="rId5" display="https://www.screener.in/company/JKTYRE/consolidated/"/>
    <hyperlink ref="C8" r:id="rId6" display="https://www.screener.in/company/TVSSRICHAK/consolidated/"/>
    <hyperlink ref="C9" r:id="rId7" display="https://www.screener.in/company/GOODYEAR/"/>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3"/>
  <sheetViews>
    <sheetView zoomScale="120" zoomScaleNormal="120" zoomScalePageLayoutView="120" workbookViewId="0">
      <pane xSplit="1" ySplit="1" topLeftCell="B68" activePane="bottomRight" state="frozen"/>
      <selection activeCell="C4" sqref="C4"/>
      <selection pane="topRight" activeCell="C4" sqref="C4"/>
      <selection pane="bottomLeft" activeCell="C4" sqref="C4"/>
      <selection pane="bottomRight" activeCell="A91" sqref="A91"/>
    </sheetView>
  </sheetViews>
  <sheetFormatPr defaultColWidth="8.77734375" defaultRowHeight="14.4" x14ac:dyDescent="0.3"/>
  <cols>
    <col min="1" max="1" width="27.6640625" style="3" bestFit="1" customWidth="1"/>
    <col min="2" max="11" width="13.44140625" style="3" bestFit="1" customWidth="1"/>
    <col min="12" max="12" width="9.88671875" style="3" bestFit="1" customWidth="1"/>
    <col min="13" max="16384" width="8.77734375" style="3"/>
  </cols>
  <sheetData>
    <row r="1" spans="1:11" s="1" customFormat="1" x14ac:dyDescent="0.3">
      <c r="A1" s="1" t="s">
        <v>0</v>
      </c>
      <c r="B1" s="1" t="s">
        <v>34</v>
      </c>
      <c r="E1" s="623" t="str">
        <f>IF(B2&lt;&gt;B3, "A NEW VERSION OF THE WORKSHEET IS AVAILABLE", "")</f>
        <v/>
      </c>
      <c r="F1" s="623"/>
      <c r="G1" s="623"/>
      <c r="H1" s="623"/>
      <c r="I1" s="623"/>
      <c r="J1" s="623"/>
      <c r="K1" s="623"/>
    </row>
    <row r="2" spans="1:11" x14ac:dyDescent="0.3">
      <c r="A2" s="1" t="s">
        <v>32</v>
      </c>
      <c r="B2" s="3">
        <v>2.1</v>
      </c>
      <c r="E2" s="624" t="s">
        <v>23</v>
      </c>
      <c r="F2" s="624"/>
      <c r="G2" s="624"/>
      <c r="H2" s="624"/>
      <c r="I2" s="624"/>
      <c r="J2" s="624"/>
      <c r="K2" s="624"/>
    </row>
    <row r="3" spans="1:11" x14ac:dyDescent="0.3">
      <c r="A3" s="1" t="s">
        <v>33</v>
      </c>
      <c r="B3" s="3">
        <v>2.1</v>
      </c>
    </row>
    <row r="4" spans="1:11" x14ac:dyDescent="0.3">
      <c r="A4" s="1"/>
    </row>
    <row r="5" spans="1:11" x14ac:dyDescent="0.3">
      <c r="A5" s="1" t="s">
        <v>35</v>
      </c>
    </row>
    <row r="6" spans="1:11" x14ac:dyDescent="0.3">
      <c r="A6" s="3" t="s">
        <v>29</v>
      </c>
      <c r="B6" s="3">
        <f>IF(B9&gt;0, B9/B8, 0)</f>
        <v>0.4241142779954073</v>
      </c>
    </row>
    <row r="7" spans="1:11" x14ac:dyDescent="0.3">
      <c r="A7" s="3" t="s">
        <v>18</v>
      </c>
      <c r="B7">
        <v>10</v>
      </c>
    </row>
    <row r="8" spans="1:11" x14ac:dyDescent="0.3">
      <c r="A8" s="3" t="s">
        <v>30</v>
      </c>
      <c r="B8">
        <v>148060</v>
      </c>
    </row>
    <row r="9" spans="1:11" x14ac:dyDescent="0.3">
      <c r="A9" s="3" t="s">
        <v>45</v>
      </c>
      <c r="B9">
        <v>62794.36</v>
      </c>
    </row>
    <row r="15" spans="1:11" x14ac:dyDescent="0.3">
      <c r="A15" s="1" t="s">
        <v>24</v>
      </c>
    </row>
    <row r="16" spans="1:11" s="9" customFormat="1" x14ac:dyDescent="0.3">
      <c r="A16" s="8" t="s">
        <v>25</v>
      </c>
      <c r="B16" s="7">
        <v>42460</v>
      </c>
      <c r="C16" s="7">
        <v>42825</v>
      </c>
      <c r="D16" s="7">
        <v>43190</v>
      </c>
      <c r="E16" s="7">
        <v>43555</v>
      </c>
      <c r="F16" s="7">
        <v>43921</v>
      </c>
      <c r="G16" s="7">
        <v>44286</v>
      </c>
      <c r="H16" s="7">
        <v>44651</v>
      </c>
      <c r="I16" s="7">
        <v>45016</v>
      </c>
      <c r="J16" s="7">
        <v>45382</v>
      </c>
      <c r="K16" s="7">
        <v>45747</v>
      </c>
    </row>
    <row r="17" spans="1:11" s="6" customFormat="1" x14ac:dyDescent="0.3">
      <c r="A17" s="6" t="s">
        <v>2</v>
      </c>
      <c r="B17">
        <v>20179.41</v>
      </c>
      <c r="C17">
        <v>13411.98</v>
      </c>
      <c r="D17">
        <v>14953.71</v>
      </c>
      <c r="E17">
        <v>16061.72</v>
      </c>
      <c r="F17">
        <v>16237.38</v>
      </c>
      <c r="G17">
        <v>16162.49</v>
      </c>
      <c r="H17">
        <v>19316.650000000001</v>
      </c>
      <c r="I17">
        <v>23008.33</v>
      </c>
      <c r="J17">
        <v>25168.73</v>
      </c>
      <c r="K17">
        <v>28152.5</v>
      </c>
    </row>
    <row r="18" spans="1:11" s="6" customFormat="1" x14ac:dyDescent="0.3">
      <c r="A18" s="3" t="s">
        <v>46</v>
      </c>
      <c r="B18">
        <v>11288.89</v>
      </c>
      <c r="C18">
        <v>7722.8</v>
      </c>
      <c r="D18">
        <v>9031.34</v>
      </c>
      <c r="E18">
        <v>10323.17</v>
      </c>
      <c r="F18">
        <v>9599.6299999999992</v>
      </c>
      <c r="G18">
        <v>8968.25</v>
      </c>
      <c r="H18">
        <v>13436.89</v>
      </c>
      <c r="I18">
        <v>15786.49</v>
      </c>
      <c r="J18">
        <v>15265.35</v>
      </c>
      <c r="K18">
        <v>18516.43</v>
      </c>
    </row>
    <row r="19" spans="1:11" s="6" customFormat="1" x14ac:dyDescent="0.3">
      <c r="A19" s="3" t="s">
        <v>47</v>
      </c>
      <c r="B19">
        <v>14.48</v>
      </c>
      <c r="C19">
        <v>227.71</v>
      </c>
      <c r="D19">
        <v>-77.61</v>
      </c>
      <c r="E19">
        <v>613.83000000000004</v>
      </c>
      <c r="F19">
        <v>-17.399999999999999</v>
      </c>
      <c r="G19">
        <v>-354.25</v>
      </c>
      <c r="H19">
        <v>856.15</v>
      </c>
      <c r="I19">
        <v>346.91</v>
      </c>
      <c r="J19">
        <v>184.32</v>
      </c>
      <c r="K19">
        <v>590.30999999999995</v>
      </c>
    </row>
    <row r="20" spans="1:11" s="6" customFormat="1" x14ac:dyDescent="0.3">
      <c r="A20" s="3" t="s">
        <v>48</v>
      </c>
      <c r="B20">
        <v>843.37</v>
      </c>
      <c r="C20">
        <v>580.94000000000005</v>
      </c>
      <c r="D20">
        <v>638.23</v>
      </c>
      <c r="E20">
        <v>763.53</v>
      </c>
      <c r="F20">
        <v>721.56</v>
      </c>
      <c r="G20">
        <v>655.20000000000005</v>
      </c>
      <c r="H20">
        <v>931.94</v>
      </c>
      <c r="I20">
        <v>1136.03</v>
      </c>
      <c r="J20">
        <v>1148.6500000000001</v>
      </c>
      <c r="K20">
        <v>1215.5899999999999</v>
      </c>
    </row>
    <row r="21" spans="1:11" s="6" customFormat="1" x14ac:dyDescent="0.3">
      <c r="A21" s="3" t="s">
        <v>49</v>
      </c>
      <c r="B21">
        <v>906.11</v>
      </c>
      <c r="C21">
        <v>639.79999999999995</v>
      </c>
      <c r="D21">
        <v>697.33</v>
      </c>
      <c r="E21">
        <v>827.7</v>
      </c>
      <c r="F21">
        <v>838.44</v>
      </c>
      <c r="G21">
        <v>723.67</v>
      </c>
      <c r="H21">
        <v>915.29</v>
      </c>
      <c r="I21">
        <v>958.08</v>
      </c>
      <c r="J21">
        <v>1066.43</v>
      </c>
      <c r="K21">
        <v>1212.72</v>
      </c>
    </row>
    <row r="22" spans="1:11" s="6" customFormat="1" x14ac:dyDescent="0.3">
      <c r="A22" s="3" t="s">
        <v>50</v>
      </c>
      <c r="B22">
        <v>1285.46</v>
      </c>
      <c r="C22">
        <v>1000.55</v>
      </c>
      <c r="D22">
        <v>1092.55</v>
      </c>
      <c r="E22">
        <v>1165.48</v>
      </c>
      <c r="F22">
        <v>1345.13</v>
      </c>
      <c r="G22">
        <v>1415.26</v>
      </c>
      <c r="H22">
        <v>1502.19</v>
      </c>
      <c r="I22">
        <v>1595.65</v>
      </c>
      <c r="J22">
        <v>1798.47</v>
      </c>
      <c r="K22">
        <v>1885.45</v>
      </c>
    </row>
    <row r="23" spans="1:11" s="6" customFormat="1" x14ac:dyDescent="0.3">
      <c r="A23" s="3" t="s">
        <v>51</v>
      </c>
      <c r="B23">
        <v>1207.31</v>
      </c>
      <c r="C23">
        <v>868.99</v>
      </c>
      <c r="D23">
        <v>961.24</v>
      </c>
      <c r="E23">
        <v>1073.69</v>
      </c>
      <c r="F23">
        <v>1066</v>
      </c>
      <c r="G23">
        <v>866.51</v>
      </c>
      <c r="H23">
        <v>1113.3</v>
      </c>
      <c r="I23">
        <v>1241.1500000000001</v>
      </c>
      <c r="J23">
        <v>1551.58</v>
      </c>
      <c r="K23">
        <v>1580</v>
      </c>
    </row>
    <row r="24" spans="1:11" s="6" customFormat="1" x14ac:dyDescent="0.3">
      <c r="A24" s="3" t="s">
        <v>52</v>
      </c>
      <c r="B24">
        <v>226.18</v>
      </c>
      <c r="C24">
        <v>177.57</v>
      </c>
      <c r="D24">
        <v>166.98</v>
      </c>
      <c r="E24">
        <v>204.63</v>
      </c>
      <c r="F24">
        <v>267.2</v>
      </c>
      <c r="G24">
        <v>225.13</v>
      </c>
      <c r="H24">
        <v>212.2</v>
      </c>
      <c r="I24">
        <v>233.65</v>
      </c>
      <c r="J24">
        <v>250.31</v>
      </c>
      <c r="K24">
        <v>237.97</v>
      </c>
    </row>
    <row r="25" spans="1:11" s="6" customFormat="1" x14ac:dyDescent="0.3">
      <c r="A25" s="6" t="s">
        <v>5</v>
      </c>
      <c r="B25">
        <v>317.05</v>
      </c>
      <c r="C25">
        <v>327.49</v>
      </c>
      <c r="D25">
        <v>329.68</v>
      </c>
      <c r="E25">
        <v>415.83</v>
      </c>
      <c r="F25">
        <v>335.38</v>
      </c>
      <c r="G25">
        <v>205.03</v>
      </c>
      <c r="H25">
        <v>314.79000000000002</v>
      </c>
      <c r="I25">
        <v>245.02</v>
      </c>
      <c r="J25">
        <v>306.16000000000003</v>
      </c>
      <c r="K25">
        <v>405.67</v>
      </c>
    </row>
    <row r="26" spans="1:11" s="6" customFormat="1" x14ac:dyDescent="0.3">
      <c r="A26" s="6" t="s">
        <v>6</v>
      </c>
      <c r="B26">
        <v>737.12</v>
      </c>
      <c r="C26">
        <v>610.58000000000004</v>
      </c>
      <c r="D26">
        <v>706.72</v>
      </c>
      <c r="E26">
        <v>807.6</v>
      </c>
      <c r="F26">
        <v>982.32</v>
      </c>
      <c r="G26">
        <v>1140.77</v>
      </c>
      <c r="H26">
        <v>1205.05</v>
      </c>
      <c r="I26">
        <v>1253.04</v>
      </c>
      <c r="J26">
        <v>1429.97</v>
      </c>
      <c r="K26">
        <v>1653.55</v>
      </c>
    </row>
    <row r="27" spans="1:11" s="6" customFormat="1" x14ac:dyDescent="0.3">
      <c r="A27" s="6" t="s">
        <v>7</v>
      </c>
      <c r="B27">
        <v>360.6</v>
      </c>
      <c r="C27">
        <v>256.58</v>
      </c>
      <c r="D27">
        <v>258.74</v>
      </c>
      <c r="E27">
        <v>273.39999999999998</v>
      </c>
      <c r="F27">
        <v>300.83</v>
      </c>
      <c r="G27">
        <v>281.64</v>
      </c>
      <c r="H27">
        <v>262.8</v>
      </c>
      <c r="I27">
        <v>326.45</v>
      </c>
      <c r="J27">
        <v>361.03</v>
      </c>
      <c r="K27">
        <v>367.77</v>
      </c>
    </row>
    <row r="28" spans="1:11" s="6" customFormat="1" x14ac:dyDescent="0.3">
      <c r="A28" s="6" t="s">
        <v>8</v>
      </c>
      <c r="B28">
        <v>3655.9</v>
      </c>
      <c r="C28">
        <v>2109.37</v>
      </c>
      <c r="D28">
        <v>1652.65</v>
      </c>
      <c r="E28">
        <v>1652.18</v>
      </c>
      <c r="F28">
        <v>1434.25</v>
      </c>
      <c r="G28">
        <v>1736.84</v>
      </c>
      <c r="H28">
        <v>907.93</v>
      </c>
      <c r="I28">
        <v>1069.72</v>
      </c>
      <c r="J28">
        <v>2787.42</v>
      </c>
      <c r="K28">
        <v>2479</v>
      </c>
    </row>
    <row r="29" spans="1:11" s="6" customFormat="1" x14ac:dyDescent="0.3">
      <c r="A29" s="6" t="s">
        <v>9</v>
      </c>
      <c r="B29">
        <v>1146.47</v>
      </c>
      <c r="C29">
        <v>623.15</v>
      </c>
      <c r="D29">
        <v>521.04</v>
      </c>
      <c r="E29">
        <v>521.57000000000005</v>
      </c>
      <c r="F29">
        <v>11.68</v>
      </c>
      <c r="G29">
        <v>459.77</v>
      </c>
      <c r="H29">
        <v>238.69</v>
      </c>
      <c r="I29">
        <v>300.77999999999997</v>
      </c>
      <c r="J29">
        <v>706.19</v>
      </c>
      <c r="K29">
        <v>609.71</v>
      </c>
    </row>
    <row r="30" spans="1:11" s="6" customFormat="1" x14ac:dyDescent="0.3">
      <c r="A30" s="6" t="s">
        <v>10</v>
      </c>
      <c r="B30">
        <v>2509.4299999999998</v>
      </c>
      <c r="C30">
        <v>1486.22</v>
      </c>
      <c r="D30">
        <v>1131.6099999999999</v>
      </c>
      <c r="E30">
        <v>1130.5999999999999</v>
      </c>
      <c r="F30">
        <v>1422.56</v>
      </c>
      <c r="G30">
        <v>1277.06</v>
      </c>
      <c r="H30">
        <v>669.23</v>
      </c>
      <c r="I30">
        <v>768.93</v>
      </c>
      <c r="J30">
        <v>2081.2199999999998</v>
      </c>
      <c r="K30">
        <v>1869.28</v>
      </c>
    </row>
    <row r="31" spans="1:11" s="6" customFormat="1" x14ac:dyDescent="0.3">
      <c r="A31" s="6" t="s">
        <v>36</v>
      </c>
      <c r="B31">
        <v>42.4</v>
      </c>
      <c r="C31">
        <v>25.44</v>
      </c>
      <c r="D31">
        <v>25.44</v>
      </c>
      <c r="E31">
        <v>25.44</v>
      </c>
      <c r="F31">
        <v>42.4</v>
      </c>
      <c r="G31">
        <v>63.6</v>
      </c>
      <c r="H31">
        <v>63.6</v>
      </c>
      <c r="I31">
        <v>74.2</v>
      </c>
      <c r="J31">
        <v>84.8</v>
      </c>
      <c r="K31">
        <v>99.64</v>
      </c>
    </row>
    <row r="32" spans="1:11" s="6" customFormat="1" x14ac:dyDescent="0.3"/>
    <row r="33" spans="1:11" x14ac:dyDescent="0.3">
      <c r="A33" s="6"/>
    </row>
    <row r="34" spans="1:11" x14ac:dyDescent="0.3">
      <c r="A34" s="6"/>
    </row>
    <row r="35" spans="1:11" x14ac:dyDescent="0.3">
      <c r="A35" s="6"/>
    </row>
    <row r="36" spans="1:11" x14ac:dyDescent="0.3">
      <c r="A36" s="6"/>
    </row>
    <row r="37" spans="1:11" x14ac:dyDescent="0.3">
      <c r="A37" s="6"/>
    </row>
    <row r="38" spans="1:11" x14ac:dyDescent="0.3">
      <c r="A38" s="6"/>
    </row>
    <row r="39" spans="1:11" x14ac:dyDescent="0.3">
      <c r="A39" s="6"/>
    </row>
    <row r="40" spans="1:11" x14ac:dyDescent="0.3">
      <c r="A40" s="1" t="s">
        <v>26</v>
      </c>
    </row>
    <row r="41" spans="1:11" s="9" customFormat="1" x14ac:dyDescent="0.3">
      <c r="A41" s="8" t="s">
        <v>25</v>
      </c>
      <c r="B41" s="7">
        <v>44926</v>
      </c>
      <c r="C41" s="7">
        <v>45016</v>
      </c>
      <c r="D41" s="7">
        <v>45107</v>
      </c>
      <c r="E41" s="7">
        <v>45199</v>
      </c>
      <c r="F41" s="7">
        <v>45291</v>
      </c>
      <c r="G41" s="7">
        <v>45382</v>
      </c>
      <c r="H41" s="7">
        <v>45473</v>
      </c>
      <c r="I41" s="7">
        <v>45565</v>
      </c>
      <c r="J41" s="7">
        <v>45657</v>
      </c>
      <c r="K41" s="7">
        <v>45747</v>
      </c>
    </row>
    <row r="42" spans="1:11" s="6" customFormat="1" x14ac:dyDescent="0.3">
      <c r="A42" s="6" t="s">
        <v>2</v>
      </c>
      <c r="B42">
        <v>5644.55</v>
      </c>
      <c r="C42">
        <v>5841.72</v>
      </c>
      <c r="D42">
        <v>6440.29</v>
      </c>
      <c r="E42">
        <v>6217.1</v>
      </c>
      <c r="F42">
        <v>6162.46</v>
      </c>
      <c r="G42">
        <v>6349.36</v>
      </c>
      <c r="H42">
        <v>7196.45</v>
      </c>
      <c r="I42">
        <v>6881.09</v>
      </c>
      <c r="J42">
        <v>7000.82</v>
      </c>
      <c r="K42">
        <v>7074.82</v>
      </c>
    </row>
    <row r="43" spans="1:11" s="6" customFormat="1" x14ac:dyDescent="0.3">
      <c r="A43" s="6" t="s">
        <v>3</v>
      </c>
      <c r="B43">
        <v>5082.96</v>
      </c>
      <c r="C43">
        <v>4988.18</v>
      </c>
      <c r="D43">
        <v>5310.44</v>
      </c>
      <c r="E43">
        <v>5060.1899999999996</v>
      </c>
      <c r="F43">
        <v>5107.6899999999996</v>
      </c>
      <c r="G43">
        <v>5437.33</v>
      </c>
      <c r="H43">
        <v>6036.83</v>
      </c>
      <c r="I43">
        <v>5869.61</v>
      </c>
      <c r="J43">
        <v>6166.08</v>
      </c>
      <c r="K43">
        <v>5996.19</v>
      </c>
    </row>
    <row r="44" spans="1:11" s="6" customFormat="1" x14ac:dyDescent="0.3">
      <c r="A44" s="6" t="s">
        <v>5</v>
      </c>
      <c r="B44">
        <v>71.36</v>
      </c>
      <c r="C44">
        <v>69.790000000000006</v>
      </c>
      <c r="D44">
        <v>74.69</v>
      </c>
      <c r="E44">
        <v>70.72</v>
      </c>
      <c r="F44">
        <v>77.62</v>
      </c>
      <c r="G44">
        <v>93.81</v>
      </c>
      <c r="H44">
        <v>84.04</v>
      </c>
      <c r="I44">
        <v>113.21</v>
      </c>
      <c r="J44">
        <v>98.08</v>
      </c>
      <c r="K44">
        <v>112.78</v>
      </c>
    </row>
    <row r="45" spans="1:11" s="6" customFormat="1" x14ac:dyDescent="0.3">
      <c r="A45" s="6" t="s">
        <v>6</v>
      </c>
      <c r="B45">
        <v>315.85000000000002</v>
      </c>
      <c r="C45">
        <v>329.63</v>
      </c>
      <c r="D45">
        <v>333.26</v>
      </c>
      <c r="E45">
        <v>351.48</v>
      </c>
      <c r="F45">
        <v>359.98</v>
      </c>
      <c r="G45">
        <v>385.25</v>
      </c>
      <c r="H45">
        <v>396.08</v>
      </c>
      <c r="I45">
        <v>409.73</v>
      </c>
      <c r="J45">
        <v>414.99</v>
      </c>
      <c r="K45">
        <v>432.75</v>
      </c>
    </row>
    <row r="46" spans="1:11" s="6" customFormat="1" x14ac:dyDescent="0.3">
      <c r="A46" s="6" t="s">
        <v>7</v>
      </c>
      <c r="B46">
        <v>85.91</v>
      </c>
      <c r="C46">
        <v>92.47</v>
      </c>
      <c r="D46">
        <v>84.22</v>
      </c>
      <c r="E46">
        <v>85.54</v>
      </c>
      <c r="F46">
        <v>90</v>
      </c>
      <c r="G46">
        <v>93.25</v>
      </c>
      <c r="H46">
        <v>84.67</v>
      </c>
      <c r="I46">
        <v>83.78</v>
      </c>
      <c r="J46">
        <v>93.65</v>
      </c>
      <c r="K46">
        <v>97.93</v>
      </c>
    </row>
    <row r="47" spans="1:11" s="6" customFormat="1" x14ac:dyDescent="0.3">
      <c r="A47" s="6" t="s">
        <v>8</v>
      </c>
      <c r="B47">
        <v>231.19</v>
      </c>
      <c r="C47">
        <v>501.23</v>
      </c>
      <c r="D47">
        <v>787.06</v>
      </c>
      <c r="E47">
        <v>790.61</v>
      </c>
      <c r="F47">
        <v>682.41</v>
      </c>
      <c r="G47">
        <v>527.34</v>
      </c>
      <c r="H47">
        <v>762.91</v>
      </c>
      <c r="I47">
        <v>631.17999999999995</v>
      </c>
      <c r="J47">
        <v>424.18</v>
      </c>
      <c r="K47">
        <v>660.73</v>
      </c>
    </row>
    <row r="48" spans="1:11" s="6" customFormat="1" x14ac:dyDescent="0.3">
      <c r="A48" s="6" t="s">
        <v>9</v>
      </c>
      <c r="B48">
        <v>56.36</v>
      </c>
      <c r="C48">
        <v>160.58000000000001</v>
      </c>
      <c r="D48">
        <v>198.31</v>
      </c>
      <c r="E48">
        <v>203.95</v>
      </c>
      <c r="F48">
        <v>172.7</v>
      </c>
      <c r="G48">
        <v>131.22999999999999</v>
      </c>
      <c r="H48">
        <v>191.89</v>
      </c>
      <c r="I48">
        <v>160.47999999999999</v>
      </c>
      <c r="J48">
        <v>108.72</v>
      </c>
      <c r="K48">
        <v>148.62</v>
      </c>
    </row>
    <row r="49" spans="1:11" s="6" customFormat="1" x14ac:dyDescent="0.3">
      <c r="A49" s="6" t="s">
        <v>10</v>
      </c>
      <c r="B49">
        <v>174.83</v>
      </c>
      <c r="C49">
        <v>340.64</v>
      </c>
      <c r="D49">
        <v>588.75</v>
      </c>
      <c r="E49">
        <v>586.66</v>
      </c>
      <c r="F49">
        <v>509.71</v>
      </c>
      <c r="G49">
        <v>396.1</v>
      </c>
      <c r="H49">
        <v>571.02</v>
      </c>
      <c r="I49">
        <v>470.7</v>
      </c>
      <c r="J49">
        <v>315.45</v>
      </c>
      <c r="K49">
        <v>512.11</v>
      </c>
    </row>
    <row r="50" spans="1:11" x14ac:dyDescent="0.3">
      <c r="A50" s="6" t="s">
        <v>4</v>
      </c>
      <c r="B50">
        <v>561.59</v>
      </c>
      <c r="C50">
        <v>853.54</v>
      </c>
      <c r="D50">
        <v>1129.8499999999999</v>
      </c>
      <c r="E50">
        <v>1156.9100000000001</v>
      </c>
      <c r="F50">
        <v>1054.77</v>
      </c>
      <c r="G50">
        <v>912.03</v>
      </c>
      <c r="H50">
        <v>1159.6199999999999</v>
      </c>
      <c r="I50">
        <v>1011.48</v>
      </c>
      <c r="J50">
        <v>834.74</v>
      </c>
      <c r="K50">
        <v>1078.6300000000001</v>
      </c>
    </row>
    <row r="51" spans="1:11" x14ac:dyDescent="0.3">
      <c r="A51" s="6"/>
    </row>
    <row r="52" spans="1:11" x14ac:dyDescent="0.3">
      <c r="A52" s="6"/>
    </row>
    <row r="53" spans="1:11" x14ac:dyDescent="0.3">
      <c r="A53" s="6"/>
    </row>
    <row r="54" spans="1:11" x14ac:dyDescent="0.3">
      <c r="A54" s="6"/>
    </row>
    <row r="55" spans="1:11" x14ac:dyDescent="0.3">
      <c r="A55" s="1" t="s">
        <v>27</v>
      </c>
    </row>
    <row r="56" spans="1:11" s="9" customFormat="1" x14ac:dyDescent="0.3">
      <c r="A56" s="8" t="s">
        <v>25</v>
      </c>
      <c r="B56" s="7">
        <v>42460</v>
      </c>
      <c r="C56" s="7">
        <v>42825</v>
      </c>
      <c r="D56" s="7">
        <v>43190</v>
      </c>
      <c r="E56" s="7">
        <v>43555</v>
      </c>
      <c r="F56" s="7">
        <v>43921</v>
      </c>
      <c r="G56" s="7">
        <v>44286</v>
      </c>
      <c r="H56" s="7">
        <v>44651</v>
      </c>
      <c r="I56" s="7">
        <v>45016</v>
      </c>
      <c r="J56" s="7">
        <v>45382</v>
      </c>
      <c r="K56" s="7">
        <v>45747</v>
      </c>
    </row>
    <row r="57" spans="1:11" x14ac:dyDescent="0.3">
      <c r="A57" s="6" t="s">
        <v>12</v>
      </c>
      <c r="B57">
        <v>4.24</v>
      </c>
      <c r="C57">
        <v>4.24</v>
      </c>
      <c r="D57">
        <v>4.24</v>
      </c>
      <c r="E57">
        <v>4.24</v>
      </c>
      <c r="F57">
        <v>4.24</v>
      </c>
      <c r="G57">
        <v>4.24</v>
      </c>
      <c r="H57">
        <v>4.24</v>
      </c>
      <c r="I57">
        <v>4.24</v>
      </c>
      <c r="J57">
        <v>4.24</v>
      </c>
      <c r="K57">
        <v>4.24</v>
      </c>
    </row>
    <row r="58" spans="1:11" x14ac:dyDescent="0.3">
      <c r="A58" s="6" t="s">
        <v>13</v>
      </c>
      <c r="B58">
        <v>7220.1</v>
      </c>
      <c r="C58">
        <v>8636.52</v>
      </c>
      <c r="D58">
        <v>9733.9500000000007</v>
      </c>
      <c r="E58">
        <v>10833.11</v>
      </c>
      <c r="F58">
        <v>12210.47</v>
      </c>
      <c r="G58">
        <v>13409.43</v>
      </c>
      <c r="H58">
        <v>14027.51</v>
      </c>
      <c r="I58">
        <v>14703.42</v>
      </c>
      <c r="J58">
        <v>16698.75</v>
      </c>
      <c r="K58">
        <v>18484.22</v>
      </c>
    </row>
    <row r="59" spans="1:11" x14ac:dyDescent="0.3">
      <c r="A59" s="6" t="s">
        <v>37</v>
      </c>
      <c r="B59">
        <v>2463.9</v>
      </c>
      <c r="C59">
        <v>2332.84</v>
      </c>
      <c r="D59">
        <v>2162.9</v>
      </c>
      <c r="E59">
        <v>2506.31</v>
      </c>
      <c r="F59">
        <v>1854.14</v>
      </c>
      <c r="G59">
        <v>2388.23</v>
      </c>
      <c r="H59">
        <v>3228.95</v>
      </c>
      <c r="I59">
        <v>3013.61</v>
      </c>
      <c r="J59">
        <v>2821.5</v>
      </c>
      <c r="K59">
        <v>3771.16</v>
      </c>
    </row>
    <row r="60" spans="1:11" x14ac:dyDescent="0.3">
      <c r="A60" s="6" t="s">
        <v>38</v>
      </c>
      <c r="B60">
        <v>3565.57</v>
      </c>
      <c r="C60">
        <v>4074.56</v>
      </c>
      <c r="D60">
        <v>4577.13</v>
      </c>
      <c r="E60">
        <v>5097.54</v>
      </c>
      <c r="F60">
        <v>5373.49</v>
      </c>
      <c r="G60">
        <v>6779.96</v>
      </c>
      <c r="H60">
        <v>5799.04</v>
      </c>
      <c r="I60">
        <v>6648.14</v>
      </c>
      <c r="J60">
        <v>7324.94</v>
      </c>
      <c r="K60">
        <v>7307.37</v>
      </c>
    </row>
    <row r="61" spans="1:11" s="1" customFormat="1" x14ac:dyDescent="0.3">
      <c r="A61" s="1" t="s">
        <v>14</v>
      </c>
      <c r="B61">
        <v>13253.81</v>
      </c>
      <c r="C61">
        <v>15048.16</v>
      </c>
      <c r="D61">
        <v>16478.22</v>
      </c>
      <c r="E61">
        <v>18441.2</v>
      </c>
      <c r="F61">
        <v>19442.34</v>
      </c>
      <c r="G61">
        <v>22581.86</v>
      </c>
      <c r="H61">
        <v>23059.74</v>
      </c>
      <c r="I61">
        <v>24369.41</v>
      </c>
      <c r="J61">
        <v>26849.43</v>
      </c>
      <c r="K61">
        <v>29566.99</v>
      </c>
    </row>
    <row r="62" spans="1:11" x14ac:dyDescent="0.3">
      <c r="A62" s="6" t="s">
        <v>15</v>
      </c>
      <c r="B62">
        <v>4608.29</v>
      </c>
      <c r="C62">
        <v>5502.24</v>
      </c>
      <c r="D62">
        <v>6092.17</v>
      </c>
      <c r="E62">
        <v>6786</v>
      </c>
      <c r="F62">
        <v>8869.76</v>
      </c>
      <c r="G62">
        <v>9440.75</v>
      </c>
      <c r="H62">
        <v>9521.82</v>
      </c>
      <c r="I62">
        <v>10117.969999999999</v>
      </c>
      <c r="J62">
        <v>12046.22</v>
      </c>
      <c r="K62">
        <v>13220.78</v>
      </c>
    </row>
    <row r="63" spans="1:11" x14ac:dyDescent="0.3">
      <c r="A63" s="6" t="s">
        <v>16</v>
      </c>
      <c r="B63">
        <v>1059.28</v>
      </c>
      <c r="C63">
        <v>847.93</v>
      </c>
      <c r="D63">
        <v>1078.9100000000001</v>
      </c>
      <c r="E63">
        <v>1403.47</v>
      </c>
      <c r="F63">
        <v>1740.94</v>
      </c>
      <c r="G63">
        <v>1002.23</v>
      </c>
      <c r="H63">
        <v>1233.07</v>
      </c>
      <c r="I63">
        <v>3045.86</v>
      </c>
      <c r="J63">
        <v>2384.5300000000002</v>
      </c>
      <c r="K63">
        <v>1168.6300000000001</v>
      </c>
    </row>
    <row r="64" spans="1:11" x14ac:dyDescent="0.3">
      <c r="A64" s="6" t="s">
        <v>17</v>
      </c>
      <c r="B64">
        <v>3137.9</v>
      </c>
      <c r="C64">
        <v>3382.1</v>
      </c>
      <c r="D64">
        <v>4145</v>
      </c>
      <c r="E64">
        <v>3854.68</v>
      </c>
      <c r="F64">
        <v>1519.33</v>
      </c>
      <c r="G64">
        <v>5874.02</v>
      </c>
      <c r="H64">
        <v>3656.46</v>
      </c>
      <c r="I64">
        <v>3085.11</v>
      </c>
      <c r="J64">
        <v>3382.97</v>
      </c>
      <c r="K64">
        <v>4548.24</v>
      </c>
    </row>
    <row r="65" spans="1:11" x14ac:dyDescent="0.3">
      <c r="A65" s="6" t="s">
        <v>39</v>
      </c>
      <c r="B65">
        <v>4448.34</v>
      </c>
      <c r="C65">
        <v>5315.89</v>
      </c>
      <c r="D65">
        <v>5162.1400000000003</v>
      </c>
      <c r="E65">
        <v>6397.05</v>
      </c>
      <c r="F65">
        <v>7312.31</v>
      </c>
      <c r="G65">
        <v>6264.86</v>
      </c>
      <c r="H65">
        <v>8648.39</v>
      </c>
      <c r="I65">
        <v>8120.47</v>
      </c>
      <c r="J65">
        <v>9035.7099999999991</v>
      </c>
      <c r="K65">
        <v>10629.34</v>
      </c>
    </row>
    <row r="66" spans="1:11" s="1" customFormat="1" x14ac:dyDescent="0.3">
      <c r="A66" s="1" t="s">
        <v>14</v>
      </c>
      <c r="B66">
        <v>13253.81</v>
      </c>
      <c r="C66">
        <v>15048.16</v>
      </c>
      <c r="D66">
        <v>16478.22</v>
      </c>
      <c r="E66">
        <v>18441.2</v>
      </c>
      <c r="F66">
        <v>19442.34</v>
      </c>
      <c r="G66">
        <v>22581.86</v>
      </c>
      <c r="H66">
        <v>23059.74</v>
      </c>
      <c r="I66">
        <v>24369.41</v>
      </c>
      <c r="J66">
        <v>26849.43</v>
      </c>
      <c r="K66">
        <v>29566.99</v>
      </c>
    </row>
    <row r="67" spans="1:11" s="6" customFormat="1" x14ac:dyDescent="0.3">
      <c r="A67" s="6" t="s">
        <v>44</v>
      </c>
      <c r="B67">
        <v>1838.72</v>
      </c>
      <c r="C67">
        <v>1969</v>
      </c>
      <c r="D67">
        <v>2149.9299999999998</v>
      </c>
      <c r="E67">
        <v>2382.71</v>
      </c>
      <c r="F67">
        <v>2299.4</v>
      </c>
      <c r="G67">
        <v>2145.96</v>
      </c>
      <c r="H67">
        <v>2332.6799999999998</v>
      </c>
      <c r="I67">
        <v>2503.27</v>
      </c>
      <c r="J67">
        <v>2911.96</v>
      </c>
      <c r="K67">
        <v>3370.25</v>
      </c>
    </row>
    <row r="68" spans="1:11" x14ac:dyDescent="0.3">
      <c r="A68" s="6" t="s">
        <v>31</v>
      </c>
      <c r="B68">
        <v>1899.81</v>
      </c>
      <c r="C68">
        <v>2425.27</v>
      </c>
      <c r="D68">
        <v>2197.33</v>
      </c>
      <c r="E68">
        <v>2993.2</v>
      </c>
      <c r="F68">
        <v>2905.18</v>
      </c>
      <c r="G68">
        <v>2938.81</v>
      </c>
      <c r="H68">
        <v>4129.67</v>
      </c>
      <c r="I68">
        <v>4141.05</v>
      </c>
      <c r="J68">
        <v>4468.58</v>
      </c>
      <c r="K68">
        <v>5624.78</v>
      </c>
    </row>
    <row r="69" spans="1:11" x14ac:dyDescent="0.3">
      <c r="A69" s="3" t="s">
        <v>53</v>
      </c>
      <c r="B69">
        <v>124.23</v>
      </c>
      <c r="C69">
        <v>342.61</v>
      </c>
      <c r="D69">
        <v>232.9</v>
      </c>
      <c r="E69">
        <v>104.5</v>
      </c>
      <c r="F69">
        <v>1181.1400000000001</v>
      </c>
      <c r="G69">
        <v>169.39</v>
      </c>
      <c r="H69">
        <v>256.13</v>
      </c>
      <c r="I69">
        <v>258.49</v>
      </c>
      <c r="J69">
        <v>345.38</v>
      </c>
      <c r="K69">
        <v>376.49</v>
      </c>
    </row>
    <row r="70" spans="1:11" x14ac:dyDescent="0.3">
      <c r="A70" s="3" t="s">
        <v>40</v>
      </c>
      <c r="B70">
        <v>4241143</v>
      </c>
      <c r="C70">
        <v>4241143</v>
      </c>
      <c r="D70">
        <v>4241143</v>
      </c>
      <c r="E70">
        <v>4241143</v>
      </c>
      <c r="F70">
        <v>4241143</v>
      </c>
      <c r="G70">
        <v>4241143</v>
      </c>
      <c r="H70">
        <v>4241143</v>
      </c>
      <c r="I70">
        <v>4241143</v>
      </c>
      <c r="J70">
        <v>4241143</v>
      </c>
      <c r="K70">
        <v>4241143</v>
      </c>
    </row>
    <row r="71" spans="1:11" x14ac:dyDescent="0.3">
      <c r="A71" s="3" t="s">
        <v>41</v>
      </c>
      <c r="D71"/>
    </row>
    <row r="72" spans="1:11" x14ac:dyDescent="0.3">
      <c r="A72" s="3" t="s">
        <v>54</v>
      </c>
      <c r="B72">
        <v>10</v>
      </c>
      <c r="C72">
        <v>10</v>
      </c>
      <c r="D72">
        <v>10</v>
      </c>
      <c r="E72">
        <v>10</v>
      </c>
      <c r="F72">
        <v>10</v>
      </c>
      <c r="G72">
        <v>10</v>
      </c>
      <c r="H72">
        <v>10</v>
      </c>
      <c r="I72">
        <v>10</v>
      </c>
      <c r="J72">
        <v>10</v>
      </c>
      <c r="K72">
        <v>10</v>
      </c>
    </row>
    <row r="74" spans="1:11" x14ac:dyDescent="0.3">
      <c r="A74" s="6"/>
    </row>
    <row r="75" spans="1:11" x14ac:dyDescent="0.3">
      <c r="A75" s="6"/>
    </row>
    <row r="76" spans="1:11" x14ac:dyDescent="0.3">
      <c r="A76" s="6"/>
    </row>
    <row r="77" spans="1:11" x14ac:dyDescent="0.3">
      <c r="A77" s="6"/>
    </row>
    <row r="78" spans="1:11" x14ac:dyDescent="0.3">
      <c r="A78" s="6"/>
    </row>
    <row r="79" spans="1:11" x14ac:dyDescent="0.3">
      <c r="A79" s="6"/>
    </row>
    <row r="80" spans="1:11" x14ac:dyDescent="0.3">
      <c r="A80" s="1" t="s">
        <v>28</v>
      </c>
    </row>
    <row r="81" spans="1:11" s="9" customFormat="1" x14ac:dyDescent="0.3">
      <c r="A81" s="8" t="s">
        <v>25</v>
      </c>
      <c r="B81" s="7">
        <v>42460</v>
      </c>
      <c r="C81" s="7">
        <v>42825</v>
      </c>
      <c r="D81" s="7">
        <v>43190</v>
      </c>
      <c r="E81" s="7">
        <v>43555</v>
      </c>
      <c r="F81" s="7">
        <v>43921</v>
      </c>
      <c r="G81" s="7">
        <v>44286</v>
      </c>
      <c r="H81" s="7">
        <v>44651</v>
      </c>
      <c r="I81" s="7">
        <v>45016</v>
      </c>
      <c r="J81" s="7">
        <v>45382</v>
      </c>
      <c r="K81" s="7">
        <v>45747</v>
      </c>
    </row>
    <row r="82" spans="1:11" s="1" customFormat="1" x14ac:dyDescent="0.3">
      <c r="A82" s="6" t="s">
        <v>19</v>
      </c>
      <c r="B82">
        <v>3043.47</v>
      </c>
      <c r="C82">
        <v>1955.72</v>
      </c>
      <c r="D82">
        <v>2412.98</v>
      </c>
      <c r="E82">
        <v>1252.8499999999999</v>
      </c>
      <c r="F82">
        <v>2271.23</v>
      </c>
      <c r="G82">
        <v>4324.58</v>
      </c>
      <c r="H82">
        <v>-578.01</v>
      </c>
      <c r="I82">
        <v>2755.47</v>
      </c>
      <c r="J82">
        <v>3303.36</v>
      </c>
      <c r="K82">
        <v>1867.8</v>
      </c>
    </row>
    <row r="83" spans="1:11" s="6" customFormat="1" x14ac:dyDescent="0.3">
      <c r="A83" s="6" t="s">
        <v>20</v>
      </c>
      <c r="B83">
        <v>-3407.81</v>
      </c>
      <c r="C83">
        <v>-1392.7</v>
      </c>
      <c r="D83">
        <v>-2013.88</v>
      </c>
      <c r="E83">
        <v>-1386.15</v>
      </c>
      <c r="F83">
        <v>-162.31</v>
      </c>
      <c r="G83">
        <v>-5086.57</v>
      </c>
      <c r="H83">
        <v>168.73</v>
      </c>
      <c r="I83">
        <v>-1921.81</v>
      </c>
      <c r="J83">
        <v>-2380.58</v>
      </c>
      <c r="K83">
        <v>-2082.23</v>
      </c>
    </row>
    <row r="84" spans="1:11" s="6" customFormat="1" x14ac:dyDescent="0.3">
      <c r="A84" s="6" t="s">
        <v>21</v>
      </c>
      <c r="B84">
        <v>212.31</v>
      </c>
      <c r="C84">
        <v>-437.62</v>
      </c>
      <c r="D84">
        <v>-452.58</v>
      </c>
      <c r="E84">
        <v>42.19</v>
      </c>
      <c r="F84">
        <v>-1032.3499999999999</v>
      </c>
      <c r="G84">
        <v>-249.68</v>
      </c>
      <c r="H84">
        <v>423.74</v>
      </c>
      <c r="I84">
        <v>-839.54</v>
      </c>
      <c r="J84">
        <v>-868.22</v>
      </c>
      <c r="K84">
        <v>282</v>
      </c>
    </row>
    <row r="85" spans="1:11" s="1" customFormat="1" x14ac:dyDescent="0.3">
      <c r="A85" s="6" t="s">
        <v>22</v>
      </c>
      <c r="B85">
        <v>-152.03</v>
      </c>
      <c r="C85">
        <v>125.4</v>
      </c>
      <c r="D85">
        <v>-53.48</v>
      </c>
      <c r="E85">
        <v>-91.11</v>
      </c>
      <c r="F85">
        <v>1076.57</v>
      </c>
      <c r="G85">
        <v>-1011.67</v>
      </c>
      <c r="H85">
        <v>14.46</v>
      </c>
      <c r="I85">
        <v>-5.88</v>
      </c>
      <c r="J85">
        <v>54.56</v>
      </c>
      <c r="K85">
        <v>67.569999999999993</v>
      </c>
    </row>
    <row r="86" spans="1:11" x14ac:dyDescent="0.3">
      <c r="A86" s="6"/>
    </row>
    <row r="87" spans="1:11" x14ac:dyDescent="0.3">
      <c r="A87" s="6"/>
    </row>
    <row r="88" spans="1:11" x14ac:dyDescent="0.3">
      <c r="A88" s="6"/>
    </row>
    <row r="89" spans="1:11" x14ac:dyDescent="0.3">
      <c r="A89" s="6"/>
    </row>
    <row r="90" spans="1:11" s="1" customFormat="1" x14ac:dyDescent="0.3">
      <c r="A90" s="1" t="s">
        <v>43</v>
      </c>
      <c r="B90">
        <v>38296.75</v>
      </c>
      <c r="C90">
        <v>60954.45</v>
      </c>
      <c r="D90">
        <v>72513.25</v>
      </c>
      <c r="E90">
        <v>57987.15</v>
      </c>
      <c r="F90">
        <v>58164.45</v>
      </c>
      <c r="G90">
        <v>82259.45</v>
      </c>
      <c r="H90">
        <v>65022.1</v>
      </c>
      <c r="I90">
        <v>84047.2</v>
      </c>
      <c r="J90">
        <v>133387.29999999999</v>
      </c>
      <c r="K90">
        <v>112677.75</v>
      </c>
    </row>
    <row r="92" spans="1:11" s="1" customFormat="1" x14ac:dyDescent="0.3">
      <c r="A92" s="1" t="s">
        <v>42</v>
      </c>
    </row>
    <row r="93" spans="1:11" x14ac:dyDescent="0.3">
      <c r="A93" s="3" t="s">
        <v>55</v>
      </c>
      <c r="B93" s="11">
        <v>0.42</v>
      </c>
      <c r="C93" s="11">
        <v>0.42</v>
      </c>
      <c r="D93" s="11">
        <v>0.42</v>
      </c>
      <c r="E93" s="11">
        <v>0.42</v>
      </c>
      <c r="F93" s="11">
        <v>0.42</v>
      </c>
      <c r="G93" s="11">
        <v>0.42</v>
      </c>
      <c r="H93" s="11">
        <v>0.42</v>
      </c>
      <c r="I93" s="11">
        <v>0.42</v>
      </c>
      <c r="J93" s="11">
        <v>0.42</v>
      </c>
      <c r="K93" s="11">
        <v>0.42</v>
      </c>
    </row>
  </sheetData>
  <mergeCells count="2">
    <mergeCell ref="E1:K1"/>
    <mergeCell ref="E2:K2"/>
  </mergeCells>
  <conditionalFormatting sqref="E1:K1">
    <cfRule type="cellIs" dxfId="0" priority="1" operator="notEqual">
      <formula>""</formula>
    </cfRule>
  </conditionalFormatting>
  <hyperlinks>
    <hyperlink ref="E1:K1" r:id="rId1" display="https://www.screener.in/excel/"/>
  </hyperlinks>
  <pageMargins left="0.7" right="0.7" top="0.75" bottom="0.75" header="0.3" footer="0.3"/>
  <pageSetup paperSize="9"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M31"/>
  <sheetViews>
    <sheetView zoomScale="150" zoomScaleNormal="150" zoomScalePageLayoutView="150" workbookViewId="0">
      <pane xSplit="1" ySplit="2" topLeftCell="B3" activePane="bottomRight" state="frozen"/>
      <selection pane="topRight" activeCell="B1" sqref="B1"/>
      <selection pane="bottomLeft" activeCell="A4" sqref="A4"/>
      <selection pane="bottomRight" activeCell="A15" sqref="A15"/>
    </sheetView>
  </sheetViews>
  <sheetFormatPr defaultColWidth="8.77734375" defaultRowHeight="14.4" x14ac:dyDescent="0.3"/>
  <cols>
    <col min="1" max="1" width="34.109375" style="4" bestFit="1" customWidth="1"/>
    <col min="2" max="8" width="13.44140625" style="4" hidden="1" customWidth="1"/>
    <col min="9" max="9" width="13.44140625" style="4" bestFit="1" customWidth="1"/>
    <col min="10" max="16384" width="8.77734375" style="4"/>
  </cols>
  <sheetData>
    <row r="1" spans="1:13" s="5" customFormat="1" x14ac:dyDescent="0.3">
      <c r="A1" s="5" t="e">
        <f>#REF!</f>
        <v>#REF!</v>
      </c>
      <c r="C1">
        <f>UPDATE</f>
        <v>0</v>
      </c>
      <c r="D1"/>
      <c r="H1" s="2" t="s">
        <v>1</v>
      </c>
      <c r="I1" s="2"/>
    </row>
    <row r="2" spans="1:13" x14ac:dyDescent="0.3">
      <c r="A2" s="4" t="s">
        <v>251</v>
      </c>
    </row>
    <row r="3" spans="1:13" s="5" customFormat="1" ht="15" thickBot="1" x14ac:dyDescent="0.35">
      <c r="B3" s="17"/>
      <c r="C3" s="17"/>
      <c r="D3" s="17"/>
      <c r="E3" s="17"/>
      <c r="F3" s="17"/>
      <c r="G3" s="17"/>
      <c r="H3" s="17"/>
      <c r="I3" s="17"/>
      <c r="J3" s="17"/>
      <c r="K3" s="17"/>
      <c r="L3" s="16"/>
    </row>
    <row r="4" spans="1:13" ht="15" thickBot="1" x14ac:dyDescent="0.35">
      <c r="B4" s="65">
        <v>41518</v>
      </c>
      <c r="C4" s="65">
        <v>41883</v>
      </c>
      <c r="D4" s="65">
        <v>42430</v>
      </c>
      <c r="E4" s="65">
        <v>42795</v>
      </c>
      <c r="F4" s="65">
        <v>43160</v>
      </c>
      <c r="G4" s="65">
        <v>43525</v>
      </c>
      <c r="H4" s="65">
        <v>43891</v>
      </c>
      <c r="I4" s="65">
        <v>44256</v>
      </c>
      <c r="J4" s="65">
        <v>44621</v>
      </c>
      <c r="K4" s="65">
        <v>44986</v>
      </c>
      <c r="L4" s="65">
        <v>45352</v>
      </c>
      <c r="M4" s="65">
        <v>45717</v>
      </c>
    </row>
    <row r="5" spans="1:13" ht="15" thickBot="1" x14ac:dyDescent="0.35">
      <c r="A5" s="66" t="s">
        <v>252</v>
      </c>
      <c r="B5" s="67">
        <v>1499</v>
      </c>
      <c r="C5" s="67">
        <v>1699</v>
      </c>
      <c r="D5" s="67">
        <v>3043</v>
      </c>
      <c r="E5" s="67">
        <v>1956</v>
      </c>
      <c r="F5" s="67">
        <v>2413</v>
      </c>
      <c r="G5" s="67">
        <v>1253</v>
      </c>
      <c r="H5" s="67">
        <v>2271</v>
      </c>
      <c r="I5" s="67">
        <v>4325</v>
      </c>
      <c r="J5" s="68">
        <v>-578</v>
      </c>
      <c r="K5" s="67">
        <v>2755</v>
      </c>
      <c r="L5" s="67">
        <v>3303</v>
      </c>
      <c r="M5" s="67">
        <v>1868</v>
      </c>
    </row>
    <row r="6" spans="1:13" s="5" customFormat="1" x14ac:dyDescent="0.3">
      <c r="A6" s="69" t="s">
        <v>89</v>
      </c>
      <c r="B6" s="67">
        <v>1795</v>
      </c>
      <c r="C6" s="67">
        <v>1959</v>
      </c>
      <c r="D6" s="67">
        <v>4457</v>
      </c>
      <c r="E6" s="67">
        <v>2662</v>
      </c>
      <c r="F6" s="67">
        <v>2376</v>
      </c>
      <c r="G6" s="67">
        <v>2473</v>
      </c>
      <c r="H6" s="67">
        <v>2485</v>
      </c>
      <c r="I6" s="67">
        <v>3019</v>
      </c>
      <c r="J6" s="67">
        <v>2144</v>
      </c>
      <c r="K6" s="67">
        <v>2447</v>
      </c>
      <c r="L6" s="67">
        <v>4351</v>
      </c>
      <c r="M6" s="67">
        <v>4171</v>
      </c>
    </row>
    <row r="7" spans="1:13" x14ac:dyDescent="0.3">
      <c r="A7" s="33" t="s">
        <v>44</v>
      </c>
      <c r="B7" s="20">
        <v>-92</v>
      </c>
      <c r="C7" s="20">
        <v>-162</v>
      </c>
      <c r="D7" s="20">
        <v>-129</v>
      </c>
      <c r="E7" s="20">
        <v>-132</v>
      </c>
      <c r="F7" s="20">
        <v>-178</v>
      </c>
      <c r="G7" s="20">
        <v>-238</v>
      </c>
      <c r="H7" s="20">
        <v>97</v>
      </c>
      <c r="I7" s="20">
        <v>35</v>
      </c>
      <c r="J7" s="20">
        <v>-188</v>
      </c>
      <c r="K7" s="20">
        <v>-172</v>
      </c>
      <c r="L7" s="20">
        <v>-409</v>
      </c>
      <c r="M7" s="20">
        <v>-463</v>
      </c>
    </row>
    <row r="8" spans="1:13" x14ac:dyDescent="0.3">
      <c r="A8" s="33" t="s">
        <v>31</v>
      </c>
      <c r="B8" s="20">
        <v>-152</v>
      </c>
      <c r="C8" s="20">
        <v>-9</v>
      </c>
      <c r="D8" s="20">
        <v>-74</v>
      </c>
      <c r="E8" s="20">
        <v>-525</v>
      </c>
      <c r="F8" s="20">
        <v>228</v>
      </c>
      <c r="G8" s="20">
        <v>-796</v>
      </c>
      <c r="H8" s="20">
        <v>88</v>
      </c>
      <c r="I8" s="20">
        <v>-34</v>
      </c>
      <c r="J8" s="34">
        <v>-1191</v>
      </c>
      <c r="K8" s="20">
        <v>-11</v>
      </c>
      <c r="L8" s="20">
        <v>-328</v>
      </c>
      <c r="M8" s="34">
        <v>-1156</v>
      </c>
    </row>
    <row r="9" spans="1:13" x14ac:dyDescent="0.3">
      <c r="A9" s="33" t="s">
        <v>90</v>
      </c>
      <c r="B9" s="20">
        <v>120</v>
      </c>
      <c r="C9" s="20">
        <v>216</v>
      </c>
      <c r="D9" s="20">
        <v>-12</v>
      </c>
      <c r="E9" s="20">
        <v>303</v>
      </c>
      <c r="F9" s="20">
        <v>167</v>
      </c>
      <c r="G9" s="20">
        <v>117</v>
      </c>
      <c r="H9" s="20">
        <v>188</v>
      </c>
      <c r="I9" s="34">
        <v>1608</v>
      </c>
      <c r="J9" s="34">
        <v>-1250</v>
      </c>
      <c r="K9" s="20">
        <v>380</v>
      </c>
      <c r="L9" s="20">
        <v>216</v>
      </c>
      <c r="M9" s="20">
        <v>174</v>
      </c>
    </row>
    <row r="10" spans="1:13" x14ac:dyDescent="0.3">
      <c r="A10" s="33" t="s">
        <v>91</v>
      </c>
      <c r="B10" s="20">
        <v>0</v>
      </c>
      <c r="C10" s="20">
        <v>6</v>
      </c>
      <c r="D10" s="20">
        <v>0</v>
      </c>
      <c r="E10" s="20">
        <v>0</v>
      </c>
      <c r="F10" s="20">
        <v>0</v>
      </c>
      <c r="G10" s="20">
        <v>0</v>
      </c>
      <c r="H10" s="20">
        <v>0</v>
      </c>
      <c r="I10" s="20">
        <v>0</v>
      </c>
      <c r="J10" s="20">
        <v>0</v>
      </c>
      <c r="K10" s="20">
        <v>0</v>
      </c>
      <c r="L10" s="20">
        <v>0</v>
      </c>
      <c r="M10" s="20">
        <v>0</v>
      </c>
    </row>
    <row r="11" spans="1:13" ht="15" thickBot="1" x14ac:dyDescent="0.35">
      <c r="A11" s="33" t="s">
        <v>92</v>
      </c>
      <c r="B11" s="20">
        <v>135</v>
      </c>
      <c r="C11" s="20">
        <v>102</v>
      </c>
      <c r="D11" s="20">
        <v>-31</v>
      </c>
      <c r="E11" s="20">
        <v>58</v>
      </c>
      <c r="F11" s="20">
        <v>295</v>
      </c>
      <c r="G11" s="20">
        <v>112</v>
      </c>
      <c r="H11" s="20">
        <v>-145</v>
      </c>
      <c r="I11" s="20">
        <v>212</v>
      </c>
      <c r="J11" s="20">
        <v>120</v>
      </c>
      <c r="K11" s="20">
        <v>439</v>
      </c>
      <c r="L11" s="20">
        <v>195</v>
      </c>
      <c r="M11" s="20">
        <v>-265</v>
      </c>
    </row>
    <row r="12" spans="1:13" x14ac:dyDescent="0.3">
      <c r="A12" s="69" t="s">
        <v>93</v>
      </c>
      <c r="B12" s="68">
        <v>11</v>
      </c>
      <c r="C12" s="68">
        <v>152</v>
      </c>
      <c r="D12" s="68">
        <v>-245</v>
      </c>
      <c r="E12" s="68">
        <v>-296</v>
      </c>
      <c r="F12" s="68">
        <v>512</v>
      </c>
      <c r="G12" s="68">
        <v>-804</v>
      </c>
      <c r="H12" s="68">
        <v>228</v>
      </c>
      <c r="I12" s="67">
        <v>1822</v>
      </c>
      <c r="J12" s="67">
        <v>-2509</v>
      </c>
      <c r="K12" s="68">
        <v>636</v>
      </c>
      <c r="L12" s="68">
        <v>-325</v>
      </c>
      <c r="M12" s="67">
        <v>-1711</v>
      </c>
    </row>
    <row r="13" spans="1:13" ht="15" thickBot="1" x14ac:dyDescent="0.35">
      <c r="A13" s="33" t="s">
        <v>94</v>
      </c>
      <c r="B13" s="20">
        <v>-307</v>
      </c>
      <c r="C13" s="20">
        <v>-412</v>
      </c>
      <c r="D13" s="34">
        <v>-1169</v>
      </c>
      <c r="E13" s="20">
        <v>-411</v>
      </c>
      <c r="F13" s="20">
        <v>-475</v>
      </c>
      <c r="G13" s="20">
        <v>-416</v>
      </c>
      <c r="H13" s="20">
        <v>-442</v>
      </c>
      <c r="I13" s="20">
        <v>-517</v>
      </c>
      <c r="J13" s="20">
        <v>-213</v>
      </c>
      <c r="K13" s="20">
        <v>-328</v>
      </c>
      <c r="L13" s="20">
        <v>-722</v>
      </c>
      <c r="M13" s="20">
        <v>-592</v>
      </c>
    </row>
    <row r="14" spans="1:13" x14ac:dyDescent="0.3">
      <c r="A14" s="70" t="s">
        <v>253</v>
      </c>
      <c r="B14" s="71">
        <v>-959</v>
      </c>
      <c r="C14" s="72">
        <v>-1791</v>
      </c>
      <c r="D14" s="72">
        <v>-3408</v>
      </c>
      <c r="E14" s="72">
        <v>-1393</v>
      </c>
      <c r="F14" s="72">
        <v>-2014</v>
      </c>
      <c r="G14" s="72">
        <v>-1386</v>
      </c>
      <c r="H14" s="71">
        <v>-162</v>
      </c>
      <c r="I14" s="72">
        <v>-5087</v>
      </c>
      <c r="J14" s="71">
        <v>169</v>
      </c>
      <c r="K14" s="72">
        <v>-1922</v>
      </c>
      <c r="L14" s="72">
        <v>-2381</v>
      </c>
      <c r="M14" s="72">
        <v>-2082</v>
      </c>
    </row>
    <row r="15" spans="1:13" x14ac:dyDescent="0.3">
      <c r="A15" s="35" t="s">
        <v>95</v>
      </c>
      <c r="B15" s="36">
        <v>-449</v>
      </c>
      <c r="C15" s="32">
        <v>-1246</v>
      </c>
      <c r="D15" s="32">
        <v>-2308</v>
      </c>
      <c r="E15" s="32">
        <v>-1369</v>
      </c>
      <c r="F15" s="32">
        <v>-1567</v>
      </c>
      <c r="G15" s="32">
        <v>-1964</v>
      </c>
      <c r="H15" s="32">
        <v>-2752</v>
      </c>
      <c r="I15" s="36">
        <v>-853</v>
      </c>
      <c r="J15" s="32">
        <v>-1707</v>
      </c>
      <c r="K15" s="32">
        <v>-3291</v>
      </c>
      <c r="L15" s="32">
        <v>-2164</v>
      </c>
      <c r="M15" s="32">
        <v>-1308</v>
      </c>
    </row>
    <row r="16" spans="1:13" x14ac:dyDescent="0.3">
      <c r="A16" s="35" t="s">
        <v>96</v>
      </c>
      <c r="B16" s="36">
        <v>2</v>
      </c>
      <c r="C16" s="36">
        <v>0</v>
      </c>
      <c r="D16" s="36">
        <v>2</v>
      </c>
      <c r="E16" s="36">
        <v>3</v>
      </c>
      <c r="F16" s="36">
        <v>3</v>
      </c>
      <c r="G16" s="36">
        <v>0</v>
      </c>
      <c r="H16" s="36">
        <v>2</v>
      </c>
      <c r="I16" s="36">
        <v>1</v>
      </c>
      <c r="J16" s="36">
        <v>2</v>
      </c>
      <c r="K16" s="36">
        <v>1</v>
      </c>
      <c r="L16" s="36">
        <v>1</v>
      </c>
      <c r="M16" s="36">
        <v>14</v>
      </c>
    </row>
    <row r="17" spans="1:13" x14ac:dyDescent="0.3">
      <c r="A17" s="35" t="s">
        <v>97</v>
      </c>
      <c r="B17" s="36">
        <v>-474</v>
      </c>
      <c r="C17" s="36">
        <v>-656</v>
      </c>
      <c r="D17" s="32">
        <v>-2347</v>
      </c>
      <c r="E17" s="36">
        <v>0</v>
      </c>
      <c r="F17" s="32">
        <v>-3007</v>
      </c>
      <c r="G17" s="32">
        <v>-2122</v>
      </c>
      <c r="H17" s="32">
        <v>-2066</v>
      </c>
      <c r="I17" s="32">
        <v>-6218</v>
      </c>
      <c r="J17" s="36">
        <v>-650</v>
      </c>
      <c r="K17" s="36">
        <v>-136</v>
      </c>
      <c r="L17" s="36">
        <v>-446</v>
      </c>
      <c r="M17" s="32">
        <v>-2888</v>
      </c>
    </row>
    <row r="18" spans="1:13" x14ac:dyDescent="0.3">
      <c r="A18" s="35" t="s">
        <v>98</v>
      </c>
      <c r="B18" s="36">
        <v>0</v>
      </c>
      <c r="C18" s="36">
        <v>493</v>
      </c>
      <c r="D18" s="36">
        <v>728</v>
      </c>
      <c r="E18" s="36">
        <v>33</v>
      </c>
      <c r="F18" s="32">
        <v>2477</v>
      </c>
      <c r="G18" s="32">
        <v>2718</v>
      </c>
      <c r="H18" s="32">
        <v>4651</v>
      </c>
      <c r="I18" s="32">
        <v>1884</v>
      </c>
      <c r="J18" s="32">
        <v>3033</v>
      </c>
      <c r="K18" s="36">
        <v>787</v>
      </c>
      <c r="L18" s="36">
        <v>316</v>
      </c>
      <c r="M18" s="32">
        <v>1962</v>
      </c>
    </row>
    <row r="19" spans="1:13" x14ac:dyDescent="0.3">
      <c r="A19" s="35" t="s">
        <v>99</v>
      </c>
      <c r="B19" s="36">
        <v>6</v>
      </c>
      <c r="C19" s="36">
        <v>33</v>
      </c>
      <c r="D19" s="36">
        <v>67</v>
      </c>
      <c r="E19" s="36">
        <v>33</v>
      </c>
      <c r="F19" s="36">
        <v>24</v>
      </c>
      <c r="G19" s="36">
        <v>11</v>
      </c>
      <c r="H19" s="36">
        <v>20</v>
      </c>
      <c r="I19" s="36">
        <v>87</v>
      </c>
      <c r="J19" s="36">
        <v>88</v>
      </c>
      <c r="K19" s="36">
        <v>116</v>
      </c>
      <c r="L19" s="36">
        <v>98</v>
      </c>
      <c r="M19" s="36">
        <v>104</v>
      </c>
    </row>
    <row r="20" spans="1:13" x14ac:dyDescent="0.3">
      <c r="A20" s="35" t="s">
        <v>254</v>
      </c>
      <c r="B20" s="36">
        <v>0</v>
      </c>
      <c r="C20" s="36">
        <v>1</v>
      </c>
      <c r="D20" s="36">
        <v>0</v>
      </c>
      <c r="E20" s="36">
        <v>0</v>
      </c>
      <c r="F20" s="36">
        <v>0</v>
      </c>
      <c r="G20" s="36">
        <v>0</v>
      </c>
      <c r="H20" s="36">
        <v>0</v>
      </c>
      <c r="I20" s="36">
        <v>0</v>
      </c>
      <c r="J20" s="36">
        <v>0</v>
      </c>
      <c r="K20" s="36">
        <v>0</v>
      </c>
      <c r="L20" s="36">
        <v>0</v>
      </c>
      <c r="M20" s="36">
        <v>0</v>
      </c>
    </row>
    <row r="21" spans="1:13" ht="15" thickBot="1" x14ac:dyDescent="0.35">
      <c r="A21" s="35" t="s">
        <v>100</v>
      </c>
      <c r="B21" s="36">
        <v>-44</v>
      </c>
      <c r="C21" s="36">
        <v>-415</v>
      </c>
      <c r="D21" s="36">
        <v>450</v>
      </c>
      <c r="E21" s="36">
        <v>-93</v>
      </c>
      <c r="F21" s="36">
        <v>57</v>
      </c>
      <c r="G21" s="36">
        <v>-30</v>
      </c>
      <c r="H21" s="36">
        <v>-17</v>
      </c>
      <c r="I21" s="36">
        <v>11</v>
      </c>
      <c r="J21" s="36">
        <v>-598</v>
      </c>
      <c r="K21" s="36">
        <v>601</v>
      </c>
      <c r="L21" s="36">
        <v>-187</v>
      </c>
      <c r="M21" s="36">
        <v>34</v>
      </c>
    </row>
    <row r="22" spans="1:13" x14ac:dyDescent="0.3">
      <c r="A22" s="66" t="s">
        <v>255</v>
      </c>
      <c r="B22" s="68">
        <v>-313</v>
      </c>
      <c r="C22" s="68">
        <v>67</v>
      </c>
      <c r="D22" s="68">
        <v>212</v>
      </c>
      <c r="E22" s="68">
        <v>-438</v>
      </c>
      <c r="F22" s="68">
        <v>-453</v>
      </c>
      <c r="G22" s="68">
        <v>42</v>
      </c>
      <c r="H22" s="67">
        <v>-1032</v>
      </c>
      <c r="I22" s="68">
        <v>-250</v>
      </c>
      <c r="J22" s="68">
        <v>424</v>
      </c>
      <c r="K22" s="68">
        <v>-840</v>
      </c>
      <c r="L22" s="68">
        <v>-868</v>
      </c>
      <c r="M22" s="68">
        <v>282</v>
      </c>
    </row>
    <row r="23" spans="1:13" s="10" customFormat="1" x14ac:dyDescent="0.3">
      <c r="A23" s="33" t="s">
        <v>256</v>
      </c>
      <c r="B23" s="20">
        <v>0</v>
      </c>
      <c r="C23" s="20">
        <v>0</v>
      </c>
      <c r="D23" s="20">
        <v>0</v>
      </c>
      <c r="E23" s="20">
        <v>0</v>
      </c>
      <c r="F23" s="20">
        <v>0</v>
      </c>
      <c r="G23" s="20">
        <v>0</v>
      </c>
      <c r="H23" s="20">
        <v>0</v>
      </c>
      <c r="I23" s="20">
        <v>0</v>
      </c>
      <c r="J23" s="20">
        <v>0</v>
      </c>
      <c r="K23" s="20">
        <v>150</v>
      </c>
      <c r="L23" s="20">
        <v>0</v>
      </c>
      <c r="M23" s="20">
        <v>0</v>
      </c>
    </row>
    <row r="24" spans="1:13" x14ac:dyDescent="0.3">
      <c r="A24" s="33" t="s">
        <v>257</v>
      </c>
      <c r="B24" s="20">
        <v>-52</v>
      </c>
      <c r="C24" s="20">
        <v>-65</v>
      </c>
      <c r="D24" s="20">
        <v>-135</v>
      </c>
      <c r="E24" s="20">
        <v>0</v>
      </c>
      <c r="F24" s="20">
        <v>0</v>
      </c>
      <c r="G24" s="20">
        <v>0</v>
      </c>
      <c r="H24" s="20">
        <v>-160</v>
      </c>
      <c r="I24" s="20">
        <v>-160</v>
      </c>
      <c r="J24" s="20">
        <v>-180</v>
      </c>
      <c r="K24" s="20">
        <v>0</v>
      </c>
      <c r="L24" s="20">
        <v>0</v>
      </c>
      <c r="M24" s="20">
        <v>0</v>
      </c>
    </row>
    <row r="25" spans="1:13" x14ac:dyDescent="0.3">
      <c r="A25" s="33" t="s">
        <v>101</v>
      </c>
      <c r="B25" s="20">
        <v>0</v>
      </c>
      <c r="C25" s="20">
        <v>0</v>
      </c>
      <c r="D25" s="20">
        <v>0</v>
      </c>
      <c r="E25" s="20">
        <v>0</v>
      </c>
      <c r="F25" s="20">
        <v>0</v>
      </c>
      <c r="G25" s="20">
        <v>506</v>
      </c>
      <c r="H25" s="20">
        <v>81</v>
      </c>
      <c r="I25" s="20">
        <v>484</v>
      </c>
      <c r="J25" s="34">
        <v>1086</v>
      </c>
      <c r="K25" s="20">
        <v>8</v>
      </c>
      <c r="L25" s="20">
        <v>0</v>
      </c>
      <c r="M25" s="20">
        <v>920</v>
      </c>
    </row>
    <row r="26" spans="1:13" x14ac:dyDescent="0.3">
      <c r="A26" s="33" t="s">
        <v>102</v>
      </c>
      <c r="B26" s="20">
        <v>0</v>
      </c>
      <c r="C26" s="20">
        <v>0</v>
      </c>
      <c r="D26" s="20">
        <v>0</v>
      </c>
      <c r="E26" s="20">
        <v>0</v>
      </c>
      <c r="F26" s="20">
        <v>0</v>
      </c>
      <c r="G26" s="20">
        <v>-160</v>
      </c>
      <c r="H26" s="20">
        <v>-556</v>
      </c>
      <c r="I26" s="20">
        <v>-182</v>
      </c>
      <c r="J26" s="20">
        <v>-87</v>
      </c>
      <c r="K26" s="20">
        <v>-544</v>
      </c>
      <c r="L26" s="20">
        <v>-353</v>
      </c>
      <c r="M26" s="20">
        <v>-101</v>
      </c>
    </row>
    <row r="27" spans="1:13" x14ac:dyDescent="0.3">
      <c r="A27" s="33" t="s">
        <v>103</v>
      </c>
      <c r="B27" s="20">
        <v>-191</v>
      </c>
      <c r="C27" s="20">
        <v>-222</v>
      </c>
      <c r="D27" s="20">
        <v>-321</v>
      </c>
      <c r="E27" s="20">
        <v>-247</v>
      </c>
      <c r="F27" s="20">
        <v>-254</v>
      </c>
      <c r="G27" s="20">
        <v>-270</v>
      </c>
      <c r="H27" s="20">
        <v>-281</v>
      </c>
      <c r="I27" s="20">
        <v>-254</v>
      </c>
      <c r="J27" s="20">
        <v>-236</v>
      </c>
      <c r="K27" s="20">
        <v>-270</v>
      </c>
      <c r="L27" s="20">
        <v>-290</v>
      </c>
      <c r="M27" s="20">
        <v>-273</v>
      </c>
    </row>
    <row r="28" spans="1:13" x14ac:dyDescent="0.3">
      <c r="A28" s="33" t="s">
        <v>104</v>
      </c>
      <c r="B28" s="20">
        <v>-12</v>
      </c>
      <c r="C28" s="20">
        <v>-15</v>
      </c>
      <c r="D28" s="20">
        <v>-27</v>
      </c>
      <c r="E28" s="20">
        <v>-51</v>
      </c>
      <c r="F28" s="20">
        <v>-31</v>
      </c>
      <c r="G28" s="20">
        <v>-31</v>
      </c>
      <c r="H28" s="20">
        <v>-25</v>
      </c>
      <c r="I28" s="20">
        <v>-42</v>
      </c>
      <c r="J28" s="20">
        <v>-64</v>
      </c>
      <c r="K28" s="20">
        <v>-64</v>
      </c>
      <c r="L28" s="20">
        <v>-74</v>
      </c>
      <c r="M28" s="20">
        <v>-85</v>
      </c>
    </row>
    <row r="29" spans="1:13" x14ac:dyDescent="0.3">
      <c r="A29" s="33" t="s">
        <v>105</v>
      </c>
      <c r="B29" s="20">
        <v>0</v>
      </c>
      <c r="C29" s="20">
        <v>0</v>
      </c>
      <c r="D29" s="20">
        <v>0</v>
      </c>
      <c r="E29" s="20">
        <v>0</v>
      </c>
      <c r="F29" s="20">
        <v>0</v>
      </c>
      <c r="G29" s="20">
        <v>0</v>
      </c>
      <c r="H29" s="20">
        <v>-86</v>
      </c>
      <c r="I29" s="20">
        <v>-98</v>
      </c>
      <c r="J29" s="20">
        <v>-97</v>
      </c>
      <c r="K29" s="20">
        <v>-121</v>
      </c>
      <c r="L29" s="20">
        <v>-152</v>
      </c>
      <c r="M29" s="20">
        <v>-181</v>
      </c>
    </row>
    <row r="30" spans="1:13" ht="15" thickBot="1" x14ac:dyDescent="0.35">
      <c r="A30" s="33" t="s">
        <v>106</v>
      </c>
      <c r="B30" s="20">
        <v>-57</v>
      </c>
      <c r="C30" s="20">
        <v>369</v>
      </c>
      <c r="D30" s="20">
        <v>695</v>
      </c>
      <c r="E30" s="20">
        <v>-139</v>
      </c>
      <c r="F30" s="20">
        <v>-168</v>
      </c>
      <c r="G30" s="20">
        <v>-4</v>
      </c>
      <c r="H30" s="20">
        <v>-5</v>
      </c>
      <c r="I30" s="20">
        <v>2</v>
      </c>
      <c r="J30" s="20">
        <v>1</v>
      </c>
      <c r="K30" s="20">
        <v>1</v>
      </c>
      <c r="L30" s="20">
        <v>2</v>
      </c>
      <c r="M30" s="20">
        <v>2</v>
      </c>
    </row>
    <row r="31" spans="1:13" x14ac:dyDescent="0.3">
      <c r="A31" s="70" t="s">
        <v>22</v>
      </c>
      <c r="B31" s="71">
        <v>228</v>
      </c>
      <c r="C31" s="71">
        <v>-24</v>
      </c>
      <c r="D31" s="71">
        <v>-152</v>
      </c>
      <c r="E31" s="71">
        <v>125</v>
      </c>
      <c r="F31" s="71">
        <v>-53</v>
      </c>
      <c r="G31" s="71">
        <v>-91</v>
      </c>
      <c r="H31" s="72">
        <v>1077</v>
      </c>
      <c r="I31" s="72">
        <v>-1012</v>
      </c>
      <c r="J31" s="71">
        <v>14</v>
      </c>
      <c r="K31" s="71">
        <v>-6</v>
      </c>
      <c r="L31" s="71">
        <v>55</v>
      </c>
      <c r="M31" s="71">
        <v>68</v>
      </c>
    </row>
  </sheetData>
  <hyperlinks>
    <hyperlink ref="H1" r:id="rId1"/>
  </hyperlinks>
  <printOptions gridLines="1"/>
  <pageMargins left="0.7" right="0.7" top="0.75" bottom="0.75" header="0.3" footer="0.3"/>
  <pageSetup paperSize="9"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
  <sheetViews>
    <sheetView topLeftCell="A5" workbookViewId="0">
      <selection activeCell="A37" sqref="A37"/>
    </sheetView>
  </sheetViews>
  <sheetFormatPr defaultRowHeight="14.4" x14ac:dyDescent="0.3"/>
  <cols>
    <col min="1" max="1" width="24.44140625" bestFit="1" customWidth="1"/>
  </cols>
  <sheetData>
    <row r="1" spans="1:6" ht="91.2" customHeight="1" x14ac:dyDescent="0.3">
      <c r="A1" s="93" t="s">
        <v>268</v>
      </c>
    </row>
    <row r="2" spans="1:6" x14ac:dyDescent="0.3">
      <c r="A2" s="77" t="s">
        <v>262</v>
      </c>
    </row>
    <row r="3" spans="1:6" ht="15" thickBot="1" x14ac:dyDescent="0.35">
      <c r="A3" s="78"/>
      <c r="B3" s="79">
        <v>44256</v>
      </c>
      <c r="C3" s="79">
        <v>44621</v>
      </c>
      <c r="D3" s="79">
        <v>44986</v>
      </c>
      <c r="E3" s="79">
        <v>45352</v>
      </c>
      <c r="F3" s="79">
        <v>45717</v>
      </c>
    </row>
    <row r="4" spans="1:6" x14ac:dyDescent="0.3">
      <c r="A4" s="80" t="s">
        <v>190</v>
      </c>
      <c r="B4" s="81">
        <v>4</v>
      </c>
      <c r="C4" s="81">
        <v>4</v>
      </c>
      <c r="D4" s="81">
        <v>4</v>
      </c>
      <c r="E4" s="81">
        <v>4</v>
      </c>
      <c r="F4" s="81">
        <v>4</v>
      </c>
    </row>
    <row r="5" spans="1:6" ht="15" thickBot="1" x14ac:dyDescent="0.35">
      <c r="A5" s="82" t="s">
        <v>13</v>
      </c>
      <c r="B5" s="83">
        <v>13409</v>
      </c>
      <c r="C5" s="83">
        <v>14028</v>
      </c>
      <c r="D5" s="83">
        <v>14703</v>
      </c>
      <c r="E5" s="83">
        <v>16699</v>
      </c>
      <c r="F5" s="83">
        <v>18484</v>
      </c>
    </row>
    <row r="6" spans="1:6" x14ac:dyDescent="0.3">
      <c r="A6" s="84" t="s">
        <v>263</v>
      </c>
      <c r="B6" s="85">
        <v>2388</v>
      </c>
      <c r="C6" s="85">
        <v>3229</v>
      </c>
      <c r="D6" s="85">
        <v>3014</v>
      </c>
      <c r="E6" s="85">
        <v>2822</v>
      </c>
      <c r="F6" s="85">
        <v>3771</v>
      </c>
    </row>
    <row r="7" spans="1:6" x14ac:dyDescent="0.3">
      <c r="A7" s="86" t="s">
        <v>191</v>
      </c>
      <c r="B7" s="81">
        <v>812</v>
      </c>
      <c r="C7" s="81">
        <v>817</v>
      </c>
      <c r="D7" s="81">
        <v>824</v>
      </c>
      <c r="E7" s="81">
        <v>724</v>
      </c>
      <c r="F7" s="81">
        <v>374</v>
      </c>
    </row>
    <row r="8" spans="1:6" x14ac:dyDescent="0.3">
      <c r="A8" s="86" t="s">
        <v>192</v>
      </c>
      <c r="B8" s="87">
        <v>1209</v>
      </c>
      <c r="C8" s="87">
        <v>2001</v>
      </c>
      <c r="D8" s="87">
        <v>1606</v>
      </c>
      <c r="E8" s="87">
        <v>1351</v>
      </c>
      <c r="F8" s="87">
        <v>2530</v>
      </c>
    </row>
    <row r="9" spans="1:6" x14ac:dyDescent="0.3">
      <c r="A9" s="86" t="s">
        <v>193</v>
      </c>
      <c r="B9" s="81">
        <v>368</v>
      </c>
      <c r="C9" s="81">
        <v>411</v>
      </c>
      <c r="D9" s="81">
        <v>584</v>
      </c>
      <c r="E9" s="81">
        <v>746</v>
      </c>
      <c r="F9" s="81">
        <v>866</v>
      </c>
    </row>
    <row r="10" spans="1:6" ht="15" thickBot="1" x14ac:dyDescent="0.35">
      <c r="A10" s="86" t="s">
        <v>194</v>
      </c>
      <c r="B10" s="81">
        <v>0</v>
      </c>
      <c r="C10" s="81">
        <v>0</v>
      </c>
      <c r="D10" s="81">
        <v>0</v>
      </c>
      <c r="E10" s="81">
        <v>0</v>
      </c>
      <c r="F10" s="81">
        <v>0</v>
      </c>
    </row>
    <row r="11" spans="1:6" x14ac:dyDescent="0.3">
      <c r="A11" s="88" t="s">
        <v>264</v>
      </c>
      <c r="B11" s="89">
        <v>6780</v>
      </c>
      <c r="C11" s="89">
        <v>5799</v>
      </c>
      <c r="D11" s="89">
        <v>6648</v>
      </c>
      <c r="E11" s="89">
        <v>7325</v>
      </c>
      <c r="F11" s="89">
        <v>7307</v>
      </c>
    </row>
    <row r="12" spans="1:6" x14ac:dyDescent="0.3">
      <c r="A12" s="90" t="s">
        <v>195</v>
      </c>
      <c r="B12" s="91">
        <v>0</v>
      </c>
      <c r="C12" s="91">
        <v>0</v>
      </c>
      <c r="D12" s="91">
        <v>0</v>
      </c>
      <c r="E12" s="91">
        <v>0</v>
      </c>
      <c r="F12" s="91">
        <v>0</v>
      </c>
    </row>
    <row r="13" spans="1:6" x14ac:dyDescent="0.3">
      <c r="A13" s="90" t="s">
        <v>159</v>
      </c>
      <c r="B13" s="83">
        <v>3306</v>
      </c>
      <c r="C13" s="83">
        <v>2057</v>
      </c>
      <c r="D13" s="83">
        <v>2436</v>
      </c>
      <c r="E13" s="83">
        <v>2653</v>
      </c>
      <c r="F13" s="83">
        <v>2822</v>
      </c>
    </row>
    <row r="14" spans="1:6" x14ac:dyDescent="0.3">
      <c r="A14" s="90" t="s">
        <v>160</v>
      </c>
      <c r="B14" s="91">
        <v>0</v>
      </c>
      <c r="C14" s="91">
        <v>0</v>
      </c>
      <c r="D14" s="91">
        <v>0</v>
      </c>
      <c r="E14" s="91">
        <v>0</v>
      </c>
      <c r="F14" s="91">
        <v>0</v>
      </c>
    </row>
    <row r="15" spans="1:6" ht="15" thickBot="1" x14ac:dyDescent="0.35">
      <c r="A15" s="90" t="s">
        <v>196</v>
      </c>
      <c r="B15" s="83">
        <v>3474</v>
      </c>
      <c r="C15" s="83">
        <v>3742</v>
      </c>
      <c r="D15" s="83">
        <v>4212</v>
      </c>
      <c r="E15" s="83">
        <v>4672</v>
      </c>
      <c r="F15" s="83">
        <v>4485</v>
      </c>
    </row>
    <row r="16" spans="1:6" ht="15" thickBot="1" x14ac:dyDescent="0.35">
      <c r="A16" s="84" t="s">
        <v>83</v>
      </c>
      <c r="B16" s="85">
        <v>22582</v>
      </c>
      <c r="C16" s="85">
        <v>23060</v>
      </c>
      <c r="D16" s="85">
        <v>24369</v>
      </c>
      <c r="E16" s="85">
        <v>26849</v>
      </c>
      <c r="F16" s="85">
        <v>29567</v>
      </c>
    </row>
    <row r="17" spans="1:6" x14ac:dyDescent="0.3">
      <c r="A17" s="88" t="s">
        <v>265</v>
      </c>
      <c r="B17" s="89">
        <v>9441</v>
      </c>
      <c r="C17" s="89">
        <v>9522</v>
      </c>
      <c r="D17" s="89">
        <v>10118</v>
      </c>
      <c r="E17" s="89">
        <v>12046</v>
      </c>
      <c r="F17" s="89">
        <v>13221</v>
      </c>
    </row>
    <row r="18" spans="1:6" x14ac:dyDescent="0.3">
      <c r="A18" s="90" t="s">
        <v>165</v>
      </c>
      <c r="B18" s="91">
        <v>677</v>
      </c>
      <c r="C18" s="91">
        <v>678</v>
      </c>
      <c r="D18" s="91">
        <v>684</v>
      </c>
      <c r="E18" s="91">
        <v>707</v>
      </c>
      <c r="F18" s="91">
        <v>713</v>
      </c>
    </row>
    <row r="19" spans="1:6" x14ac:dyDescent="0.3">
      <c r="A19" s="90" t="s">
        <v>166</v>
      </c>
      <c r="B19" s="83">
        <v>3476</v>
      </c>
      <c r="C19" s="83">
        <v>3705</v>
      </c>
      <c r="D19" s="83">
        <v>4292</v>
      </c>
      <c r="E19" s="83">
        <v>5106</v>
      </c>
      <c r="F19" s="83">
        <v>5672</v>
      </c>
    </row>
    <row r="20" spans="1:6" x14ac:dyDescent="0.3">
      <c r="A20" s="90" t="s">
        <v>197</v>
      </c>
      <c r="B20" s="83">
        <v>8421</v>
      </c>
      <c r="C20" s="83">
        <v>9214</v>
      </c>
      <c r="D20" s="83">
        <v>10105</v>
      </c>
      <c r="E20" s="83">
        <v>12204</v>
      </c>
      <c r="F20" s="83">
        <v>14075</v>
      </c>
    </row>
    <row r="21" spans="1:6" x14ac:dyDescent="0.3">
      <c r="A21" s="90" t="s">
        <v>168</v>
      </c>
      <c r="B21" s="91">
        <v>747</v>
      </c>
      <c r="C21" s="91">
        <v>869</v>
      </c>
      <c r="D21" s="91">
        <v>973</v>
      </c>
      <c r="E21" s="83">
        <v>1161</v>
      </c>
      <c r="F21" s="83">
        <v>1299</v>
      </c>
    </row>
    <row r="22" spans="1:6" x14ac:dyDescent="0.3">
      <c r="A22" s="90" t="s">
        <v>170</v>
      </c>
      <c r="B22" s="91">
        <v>54</v>
      </c>
      <c r="C22" s="91">
        <v>57</v>
      </c>
      <c r="D22" s="91">
        <v>67</v>
      </c>
      <c r="E22" s="91">
        <v>80</v>
      </c>
      <c r="F22" s="91">
        <v>91</v>
      </c>
    </row>
    <row r="23" spans="1:6" x14ac:dyDescent="0.3">
      <c r="A23" s="90" t="s">
        <v>198</v>
      </c>
      <c r="B23" s="91">
        <v>34</v>
      </c>
      <c r="C23" s="91">
        <v>37</v>
      </c>
      <c r="D23" s="91">
        <v>39</v>
      </c>
      <c r="E23" s="91">
        <v>42</v>
      </c>
      <c r="F23" s="91">
        <v>49</v>
      </c>
    </row>
    <row r="24" spans="1:6" x14ac:dyDescent="0.3">
      <c r="A24" s="90" t="s">
        <v>171</v>
      </c>
      <c r="B24" s="91">
        <v>163</v>
      </c>
      <c r="C24" s="91">
        <v>180</v>
      </c>
      <c r="D24" s="91">
        <v>214</v>
      </c>
      <c r="E24" s="91">
        <v>231</v>
      </c>
      <c r="F24" s="91">
        <v>241</v>
      </c>
    </row>
    <row r="25" spans="1:6" ht="15" thickBot="1" x14ac:dyDescent="0.35">
      <c r="A25" s="90" t="s">
        <v>199</v>
      </c>
      <c r="B25" s="91">
        <v>507</v>
      </c>
      <c r="C25" s="91">
        <v>548</v>
      </c>
      <c r="D25" s="91">
        <v>598</v>
      </c>
      <c r="E25" s="91">
        <v>696</v>
      </c>
      <c r="F25" s="91">
        <v>783</v>
      </c>
    </row>
    <row r="26" spans="1:6" x14ac:dyDescent="0.3">
      <c r="A26" s="92" t="s">
        <v>173</v>
      </c>
      <c r="B26" s="89">
        <v>14079</v>
      </c>
      <c r="C26" s="89">
        <v>15287</v>
      </c>
      <c r="D26" s="89">
        <v>16973</v>
      </c>
      <c r="E26" s="89">
        <v>20227</v>
      </c>
      <c r="F26" s="89">
        <v>22923</v>
      </c>
    </row>
    <row r="27" spans="1:6" x14ac:dyDescent="0.3">
      <c r="A27" s="90" t="s">
        <v>174</v>
      </c>
      <c r="B27" s="83">
        <v>4638</v>
      </c>
      <c r="C27" s="83">
        <v>5766</v>
      </c>
      <c r="D27" s="83">
        <v>6855</v>
      </c>
      <c r="E27" s="83">
        <v>8181</v>
      </c>
      <c r="F27" s="83">
        <v>9702</v>
      </c>
    </row>
    <row r="28" spans="1:6" x14ac:dyDescent="0.3">
      <c r="A28" s="80" t="s">
        <v>200</v>
      </c>
      <c r="B28" s="87">
        <v>1002</v>
      </c>
      <c r="C28" s="87">
        <v>1233</v>
      </c>
      <c r="D28" s="87">
        <v>3046</v>
      </c>
      <c r="E28" s="87">
        <v>2385</v>
      </c>
      <c r="F28" s="87">
        <v>1169</v>
      </c>
    </row>
    <row r="29" spans="1:6" ht="15" thickBot="1" x14ac:dyDescent="0.35">
      <c r="A29" s="82" t="s">
        <v>17</v>
      </c>
      <c r="B29" s="83">
        <v>5874</v>
      </c>
      <c r="C29" s="83">
        <v>3656</v>
      </c>
      <c r="D29" s="83">
        <v>3085</v>
      </c>
      <c r="E29" s="83">
        <v>3383</v>
      </c>
      <c r="F29" s="83">
        <v>4548</v>
      </c>
    </row>
    <row r="30" spans="1:6" x14ac:dyDescent="0.3">
      <c r="A30" s="84" t="s">
        <v>266</v>
      </c>
      <c r="B30" s="85">
        <v>6265</v>
      </c>
      <c r="C30" s="85">
        <v>8648</v>
      </c>
      <c r="D30" s="85">
        <v>8120</v>
      </c>
      <c r="E30" s="85">
        <v>9036</v>
      </c>
      <c r="F30" s="85">
        <v>10629</v>
      </c>
    </row>
    <row r="31" spans="1:6" x14ac:dyDescent="0.3">
      <c r="A31" s="86" t="s">
        <v>154</v>
      </c>
      <c r="B31" s="87">
        <v>2939</v>
      </c>
      <c r="C31" s="87">
        <v>4130</v>
      </c>
      <c r="D31" s="87">
        <v>4141</v>
      </c>
      <c r="E31" s="87">
        <v>4469</v>
      </c>
      <c r="F31" s="87">
        <v>5625</v>
      </c>
    </row>
    <row r="32" spans="1:6" x14ac:dyDescent="0.3">
      <c r="A32" s="86" t="s">
        <v>267</v>
      </c>
      <c r="B32" s="87">
        <v>2146</v>
      </c>
      <c r="C32" s="87">
        <v>2333</v>
      </c>
      <c r="D32" s="87">
        <v>2503</v>
      </c>
      <c r="E32" s="87">
        <v>2912</v>
      </c>
      <c r="F32" s="87">
        <v>3370</v>
      </c>
    </row>
    <row r="33" spans="1:6" x14ac:dyDescent="0.3">
      <c r="A33" s="86" t="s">
        <v>201</v>
      </c>
      <c r="B33" s="81">
        <v>169</v>
      </c>
      <c r="C33" s="81">
        <v>256</v>
      </c>
      <c r="D33" s="81">
        <v>258</v>
      </c>
      <c r="E33" s="81">
        <v>345</v>
      </c>
      <c r="F33" s="81">
        <v>376</v>
      </c>
    </row>
    <row r="34" spans="1:6" x14ac:dyDescent="0.3">
      <c r="A34" s="86" t="s">
        <v>202</v>
      </c>
      <c r="B34" s="81">
        <v>70</v>
      </c>
      <c r="C34" s="81">
        <v>75</v>
      </c>
      <c r="D34" s="81">
        <v>80</v>
      </c>
      <c r="E34" s="81">
        <v>98</v>
      </c>
      <c r="F34" s="81">
        <v>111</v>
      </c>
    </row>
    <row r="35" spans="1:6" ht="15" thickBot="1" x14ac:dyDescent="0.35">
      <c r="A35" s="86" t="s">
        <v>203</v>
      </c>
      <c r="B35" s="81">
        <v>940</v>
      </c>
      <c r="C35" s="87">
        <v>1855</v>
      </c>
      <c r="D35" s="87">
        <v>1138</v>
      </c>
      <c r="E35" s="87">
        <v>1212</v>
      </c>
      <c r="F35" s="87">
        <v>1146</v>
      </c>
    </row>
    <row r="36" spans="1:6" x14ac:dyDescent="0.3">
      <c r="A36" s="88" t="s">
        <v>87</v>
      </c>
      <c r="B36" s="89">
        <v>22582</v>
      </c>
      <c r="C36" s="89">
        <v>23060</v>
      </c>
      <c r="D36" s="89">
        <v>24369</v>
      </c>
      <c r="E36" s="89">
        <v>26849</v>
      </c>
      <c r="F36" s="89">
        <v>29567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30"/>
  <sheetViews>
    <sheetView workbookViewId="0">
      <selection activeCell="F8" sqref="F8"/>
    </sheetView>
  </sheetViews>
  <sheetFormatPr defaultRowHeight="14.4" x14ac:dyDescent="0.3"/>
  <sheetData>
    <row r="2" spans="2:8" x14ac:dyDescent="0.3">
      <c r="B2" s="625" t="s">
        <v>229</v>
      </c>
      <c r="C2" s="625"/>
    </row>
    <row r="4" spans="2:8" x14ac:dyDescent="0.3">
      <c r="C4" s="57" t="s">
        <v>228</v>
      </c>
      <c r="D4" s="57" t="s">
        <v>227</v>
      </c>
    </row>
    <row r="5" spans="2:8" x14ac:dyDescent="0.3">
      <c r="C5" s="56">
        <v>2000</v>
      </c>
      <c r="D5" s="55">
        <v>-14.65</v>
      </c>
    </row>
    <row r="6" spans="2:8" x14ac:dyDescent="0.3">
      <c r="C6" s="53">
        <v>2001</v>
      </c>
      <c r="D6" s="52">
        <v>-16.18</v>
      </c>
      <c r="F6" t="s">
        <v>226</v>
      </c>
      <c r="H6" s="12">
        <f>AVERAGE(D5:D29)%</f>
        <v>0.15334799999999996</v>
      </c>
    </row>
    <row r="7" spans="2:8" x14ac:dyDescent="0.3">
      <c r="C7" s="53">
        <v>2002</v>
      </c>
      <c r="D7" s="52">
        <v>3.25</v>
      </c>
      <c r="F7" t="s">
        <v>225</v>
      </c>
      <c r="H7" s="49">
        <v>1.29E-2</v>
      </c>
    </row>
    <row r="8" spans="2:8" x14ac:dyDescent="0.3">
      <c r="C8" s="53">
        <v>2003</v>
      </c>
      <c r="D8" s="52">
        <v>71.900000000000006</v>
      </c>
      <c r="F8" s="13" t="s">
        <v>224</v>
      </c>
      <c r="G8" s="13"/>
      <c r="H8" s="54">
        <f>SUM(H6:H7)</f>
        <v>0.16624799999999995</v>
      </c>
    </row>
    <row r="9" spans="2:8" x14ac:dyDescent="0.3">
      <c r="C9" s="53">
        <v>2004</v>
      </c>
      <c r="D9" s="52">
        <v>10.68</v>
      </c>
    </row>
    <row r="10" spans="2:8" x14ac:dyDescent="0.3">
      <c r="C10" s="53">
        <v>2005</v>
      </c>
      <c r="D10" s="52">
        <v>36.340000000000003</v>
      </c>
      <c r="F10" s="14"/>
      <c r="H10" s="49"/>
    </row>
    <row r="11" spans="2:8" x14ac:dyDescent="0.3">
      <c r="C11" s="53">
        <v>2006</v>
      </c>
      <c r="D11" s="52">
        <v>39.83</v>
      </c>
    </row>
    <row r="12" spans="2:8" x14ac:dyDescent="0.3">
      <c r="C12" s="53">
        <v>2007</v>
      </c>
      <c r="D12" s="52">
        <v>54.77</v>
      </c>
    </row>
    <row r="13" spans="2:8" x14ac:dyDescent="0.3">
      <c r="C13" s="53">
        <v>2008</v>
      </c>
      <c r="D13" s="52">
        <v>-51.79</v>
      </c>
    </row>
    <row r="14" spans="2:8" x14ac:dyDescent="0.3">
      <c r="C14" s="53">
        <v>2009</v>
      </c>
      <c r="D14" s="52">
        <v>75.760000000000005</v>
      </c>
    </row>
    <row r="15" spans="2:8" x14ac:dyDescent="0.3">
      <c r="C15" s="53">
        <v>2010</v>
      </c>
      <c r="D15" s="52">
        <v>17.95</v>
      </c>
    </row>
    <row r="16" spans="2:8" x14ac:dyDescent="0.3">
      <c r="C16" s="53">
        <v>2011</v>
      </c>
      <c r="D16" s="52">
        <v>-24.62</v>
      </c>
    </row>
    <row r="17" spans="3:4" x14ac:dyDescent="0.3">
      <c r="C17" s="53">
        <v>2012</v>
      </c>
      <c r="D17" s="52">
        <v>27.7</v>
      </c>
    </row>
    <row r="18" spans="3:4" x14ac:dyDescent="0.3">
      <c r="C18" s="53">
        <v>2013</v>
      </c>
      <c r="D18" s="52">
        <v>6.76</v>
      </c>
    </row>
    <row r="19" spans="3:4" x14ac:dyDescent="0.3">
      <c r="C19" s="53">
        <v>2014</v>
      </c>
      <c r="D19" s="52">
        <v>31.39</v>
      </c>
    </row>
    <row r="20" spans="3:4" x14ac:dyDescent="0.3">
      <c r="C20" s="53">
        <v>2015</v>
      </c>
      <c r="D20" s="52">
        <v>-4.0599999999999996</v>
      </c>
    </row>
    <row r="21" spans="3:4" x14ac:dyDescent="0.3">
      <c r="C21" s="53">
        <v>2016</v>
      </c>
      <c r="D21" s="52">
        <v>3.01</v>
      </c>
    </row>
    <row r="22" spans="3:4" x14ac:dyDescent="0.3">
      <c r="C22" s="53">
        <v>2017</v>
      </c>
      <c r="D22" s="52">
        <v>28.65</v>
      </c>
    </row>
    <row r="23" spans="3:4" x14ac:dyDescent="0.3">
      <c r="C23" s="53">
        <v>2018</v>
      </c>
      <c r="D23" s="52">
        <v>3.15</v>
      </c>
    </row>
    <row r="24" spans="3:4" x14ac:dyDescent="0.3">
      <c r="C24" s="53">
        <v>2019</v>
      </c>
      <c r="D24" s="52">
        <v>12.02</v>
      </c>
    </row>
    <row r="25" spans="3:4" x14ac:dyDescent="0.3">
      <c r="C25" s="53">
        <v>2020</v>
      </c>
      <c r="D25" s="52">
        <v>14.9</v>
      </c>
    </row>
    <row r="26" spans="3:4" x14ac:dyDescent="0.3">
      <c r="C26" s="53">
        <v>2021</v>
      </c>
      <c r="D26" s="52">
        <v>24.12</v>
      </c>
    </row>
    <row r="27" spans="3:4" x14ac:dyDescent="0.3">
      <c r="C27" s="53">
        <v>2022</v>
      </c>
      <c r="D27" s="52">
        <v>4.32</v>
      </c>
    </row>
    <row r="28" spans="3:4" x14ac:dyDescent="0.3">
      <c r="C28" s="53">
        <v>2023</v>
      </c>
      <c r="D28" s="52">
        <v>19.420000000000002</v>
      </c>
    </row>
    <row r="29" spans="3:4" x14ac:dyDescent="0.3">
      <c r="C29" s="53">
        <v>2024</v>
      </c>
      <c r="D29" s="52">
        <v>8.75</v>
      </c>
    </row>
    <row r="30" spans="3:4" x14ac:dyDescent="0.3">
      <c r="C30" s="53">
        <v>2025</v>
      </c>
      <c r="D30" s="52"/>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24</vt:i4>
      </vt:variant>
    </vt:vector>
  </HeadingPairs>
  <TitlesOfParts>
    <vt:vector size="45" baseType="lpstr">
      <vt:lpstr>Table of contents</vt:lpstr>
      <vt:lpstr>Case Study</vt:lpstr>
      <vt:lpstr>Financials &gt;</vt:lpstr>
      <vt:lpstr>Historical FS</vt:lpstr>
      <vt:lpstr>Common Statement</vt:lpstr>
      <vt:lpstr>Ratios</vt:lpstr>
      <vt:lpstr>Relative Valuation</vt:lpstr>
      <vt:lpstr>DCF</vt:lpstr>
      <vt:lpstr>WACC</vt:lpstr>
      <vt:lpstr>Intrensic Growth</vt:lpstr>
      <vt:lpstr>FCFF</vt:lpstr>
      <vt:lpstr>Dupont</vt:lpstr>
      <vt:lpstr>Dupont Interpretation</vt:lpstr>
      <vt:lpstr>Altman</vt:lpstr>
      <vt:lpstr>Altman Interpretation</vt:lpstr>
      <vt:lpstr>Data &gt;</vt:lpstr>
      <vt:lpstr>Rel Data</vt:lpstr>
      <vt:lpstr>Data Sheet</vt:lpstr>
      <vt:lpstr>Cash Flow</vt:lpstr>
      <vt:lpstr>Raw Balance Sheet</vt:lpstr>
      <vt:lpstr>Rm</vt:lpstr>
      <vt:lpstr>CompsUnleveredBeta</vt:lpstr>
      <vt:lpstr>CostOfDebt</vt:lpstr>
      <vt:lpstr>CostOfEquity</vt:lpstr>
      <vt:lpstr>DebtToEquity</vt:lpstr>
      <vt:lpstr>DebtWeight</vt:lpstr>
      <vt:lpstr>EquityRiskPremium</vt:lpstr>
      <vt:lpstr>EquityWeight</vt:lpstr>
      <vt:lpstr>LeveredBeta2</vt:lpstr>
      <vt:lpstr>LeveredBeta4</vt:lpstr>
      <vt:lpstr>'Altman Interpretation'!Print_Area</vt:lpstr>
      <vt:lpstr>'Common Statement'!Print_Area</vt:lpstr>
      <vt:lpstr>Dupont!Print_Area</vt:lpstr>
      <vt:lpstr>'Dupont Interpretation'!Print_Area</vt:lpstr>
      <vt:lpstr>FCFF!Print_Area</vt:lpstr>
      <vt:lpstr>'Historical FS'!Print_Area</vt:lpstr>
      <vt:lpstr>'Intrensic Growth'!Print_Area</vt:lpstr>
      <vt:lpstr>Ratios!Print_Area</vt:lpstr>
      <vt:lpstr>WACC!Print_Area</vt:lpstr>
      <vt:lpstr>'Historical FS'!Print_Titles</vt:lpstr>
      <vt:lpstr>RiskFreeRate</vt:lpstr>
      <vt:lpstr>Rm</vt:lpstr>
      <vt:lpstr>TargetDebtToEquity</vt:lpstr>
      <vt:lpstr>TaxRate</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User</cp:lastModifiedBy>
  <cp:lastPrinted>2025-08-03T11:24:41Z</cp:lastPrinted>
  <dcterms:created xsi:type="dcterms:W3CDTF">2012-08-17T09:55:37Z</dcterms:created>
  <dcterms:modified xsi:type="dcterms:W3CDTF">2025-08-03T12:09:36Z</dcterms:modified>
</cp:coreProperties>
</file>