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 firstSheet="3" activeTab="3"/>
  </bookViews>
  <sheets>
    <sheet name="Financials &gt;" sheetId="7" r:id="rId1"/>
    <sheet name="Historical FS" sheetId="8" r:id="rId2"/>
    <sheet name="DCF" sheetId="10" r:id="rId3"/>
    <sheet name="WACC" sheetId="11" r:id="rId4"/>
    <sheet name="Intrensic Growth" sheetId="12" r:id="rId5"/>
    <sheet name="FCFF" sheetId="14" r:id="rId6"/>
    <sheet name="Data &gt;" sheetId="9" r:id="rId7"/>
    <sheet name="Data Sheet" sheetId="6" r:id="rId8"/>
    <sheet name="Cash Flow" sheetId="4" r:id="rId9"/>
    <sheet name="Raw Balance Sheet" sheetId="13" r:id="rId10"/>
    <sheet name="Rm" sheetId="16" r:id="rId11"/>
  </sheets>
  <externalReferences>
    <externalReference r:id="rId12"/>
  </externalReferences>
  <definedNames>
    <definedName name="CompsUnleveredBeta">WACC!$J$34</definedName>
    <definedName name="CostOfDebt">WACC!$E$28</definedName>
    <definedName name="CostOfEquity">WACC!$J$29</definedName>
    <definedName name="DebtToEquity">WACC!$G1</definedName>
    <definedName name="DebtWeight">WACC!$E$35</definedName>
    <definedName name="EquityRiskPremium">WACC!$J$27</definedName>
    <definedName name="EquityWeight">WACC!$E$36</definedName>
    <definedName name="LeveredBeta2">WACC!$I1</definedName>
    <definedName name="LeveredBeta4">WACC!$J$37</definedName>
    <definedName name="RiskFreeRate">WACC!$J$26</definedName>
    <definedName name="Rm">WACC!$J$8</definedName>
    <definedName name="TargetDebtToEquity">WACC!$J$35</definedName>
    <definedName name="TaxRate">WACC!$F1</definedName>
    <definedName name="UPDATE">'Data Sheet'!$E1048562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4" l="1"/>
  <c r="E29" i="14"/>
  <c r="H6" i="16"/>
  <c r="H8" i="16" s="1"/>
  <c r="J28" i="11"/>
  <c r="E42" i="14"/>
  <c r="E40" i="14"/>
  <c r="E39" i="14"/>
  <c r="E27" i="14"/>
  <c r="G16" i="14"/>
  <c r="H16" i="14"/>
  <c r="I16" i="14"/>
  <c r="J16" i="14"/>
  <c r="K16" i="14"/>
  <c r="F16" i="14"/>
  <c r="H12" i="14"/>
  <c r="I12" i="14"/>
  <c r="J12" i="14"/>
  <c r="K12" i="14"/>
  <c r="G12" i="14"/>
  <c r="G10" i="14"/>
  <c r="H10" i="14"/>
  <c r="I10" i="14"/>
  <c r="J10" i="14"/>
  <c r="K10" i="14"/>
  <c r="F10" i="14"/>
  <c r="H8" i="14"/>
  <c r="I8" i="14" s="1"/>
  <c r="J8" i="14" s="1"/>
  <c r="K8" i="14" s="1"/>
  <c r="G8" i="14"/>
  <c r="E22" i="14"/>
  <c r="H14" i="14"/>
  <c r="I14" i="14"/>
  <c r="J14" i="14"/>
  <c r="K14" i="14"/>
  <c r="G14" i="14"/>
  <c r="F14" i="14"/>
  <c r="F8" i="14"/>
  <c r="F12" i="14"/>
  <c r="F6" i="14"/>
  <c r="G6" i="14" s="1"/>
  <c r="H6" i="14" s="1"/>
  <c r="I6" i="14" s="1"/>
  <c r="J6" i="14" s="1"/>
  <c r="K6" i="14" s="1"/>
  <c r="H65" i="12"/>
  <c r="I65" i="12"/>
  <c r="J65" i="12"/>
  <c r="G65" i="12"/>
  <c r="H63" i="12"/>
  <c r="I63" i="12"/>
  <c r="J63" i="12"/>
  <c r="F63" i="12"/>
  <c r="H62" i="12"/>
  <c r="I62" i="12"/>
  <c r="J62" i="12"/>
  <c r="F62" i="12"/>
  <c r="G63" i="12"/>
  <c r="G62" i="12"/>
  <c r="H55" i="12"/>
  <c r="I55" i="12"/>
  <c r="J55" i="12"/>
  <c r="G55" i="12"/>
  <c r="H54" i="12"/>
  <c r="I54" i="12"/>
  <c r="J54" i="12"/>
  <c r="G54" i="12"/>
  <c r="G52" i="12"/>
  <c r="H52" i="12"/>
  <c r="I52" i="12"/>
  <c r="J52" i="12"/>
  <c r="F52" i="12"/>
  <c r="G40" i="12"/>
  <c r="G42" i="12" s="1"/>
  <c r="H40" i="12"/>
  <c r="H42" i="12" s="1"/>
  <c r="I40" i="12"/>
  <c r="J40" i="12"/>
  <c r="F40" i="12"/>
  <c r="F42" i="12" s="1"/>
  <c r="I50" i="12"/>
  <c r="J50" i="12"/>
  <c r="H48" i="12"/>
  <c r="I48" i="12"/>
  <c r="J48" i="12"/>
  <c r="G48" i="12"/>
  <c r="G47" i="12"/>
  <c r="H47" i="12"/>
  <c r="I47" i="12"/>
  <c r="J47" i="12"/>
  <c r="F47" i="12"/>
  <c r="I42" i="12"/>
  <c r="J42" i="12"/>
  <c r="G39" i="12"/>
  <c r="H39" i="12"/>
  <c r="I39" i="12"/>
  <c r="J39" i="12"/>
  <c r="F39" i="12"/>
  <c r="G37" i="12"/>
  <c r="H37" i="12"/>
  <c r="I37" i="12"/>
  <c r="J37" i="12"/>
  <c r="F37" i="12"/>
  <c r="G36" i="12"/>
  <c r="H36" i="12"/>
  <c r="I36" i="12"/>
  <c r="J36" i="12"/>
  <c r="F36" i="12"/>
  <c r="G35" i="12"/>
  <c r="H35" i="12"/>
  <c r="I35" i="12"/>
  <c r="J35" i="12"/>
  <c r="F35" i="12"/>
  <c r="G33" i="12"/>
  <c r="H33" i="12"/>
  <c r="I33" i="12"/>
  <c r="J33" i="12"/>
  <c r="G32" i="12"/>
  <c r="H32" i="12"/>
  <c r="I32" i="12"/>
  <c r="J32" i="12"/>
  <c r="G31" i="12"/>
  <c r="H31" i="12"/>
  <c r="I31" i="12"/>
  <c r="J31" i="12"/>
  <c r="G30" i="12"/>
  <c r="H30" i="12"/>
  <c r="I30" i="12"/>
  <c r="J30" i="12"/>
  <c r="G29" i="12"/>
  <c r="H29" i="12"/>
  <c r="I29" i="12"/>
  <c r="J29" i="12"/>
  <c r="G28" i="12"/>
  <c r="H28" i="12"/>
  <c r="I28" i="12"/>
  <c r="J28" i="12"/>
  <c r="J27" i="12"/>
  <c r="G27" i="12"/>
  <c r="H27" i="12"/>
  <c r="I27" i="12"/>
  <c r="G26" i="12"/>
  <c r="H26" i="12"/>
  <c r="I26" i="12"/>
  <c r="J26" i="12"/>
  <c r="G25" i="12"/>
  <c r="H25" i="12"/>
  <c r="I25" i="12"/>
  <c r="J25" i="12"/>
  <c r="G24" i="12"/>
  <c r="H24" i="12"/>
  <c r="I24" i="12"/>
  <c r="J24" i="12"/>
  <c r="F33" i="12"/>
  <c r="F32" i="12"/>
  <c r="F31" i="12"/>
  <c r="F30" i="12"/>
  <c r="F29" i="12"/>
  <c r="F28" i="12"/>
  <c r="F27" i="12"/>
  <c r="F26" i="12"/>
  <c r="F25" i="12"/>
  <c r="F24" i="12"/>
  <c r="F19" i="12"/>
  <c r="G18" i="12"/>
  <c r="H18" i="12"/>
  <c r="I18" i="12"/>
  <c r="J18" i="12"/>
  <c r="G17" i="12"/>
  <c r="H17" i="12"/>
  <c r="I17" i="12"/>
  <c r="J17" i="12"/>
  <c r="G16" i="12"/>
  <c r="G19" i="12" s="1"/>
  <c r="H16" i="12"/>
  <c r="H19" i="12" s="1"/>
  <c r="I16" i="12"/>
  <c r="I19" i="12" s="1"/>
  <c r="J16" i="12"/>
  <c r="J19" i="12" s="1"/>
  <c r="F18" i="12"/>
  <c r="F17" i="12"/>
  <c r="F16" i="12"/>
  <c r="J13" i="12"/>
  <c r="F13" i="12"/>
  <c r="F21" i="12" s="1"/>
  <c r="G12" i="12"/>
  <c r="H12" i="12"/>
  <c r="I12" i="12"/>
  <c r="J12" i="12"/>
  <c r="F12" i="12"/>
  <c r="G11" i="12"/>
  <c r="H11" i="12"/>
  <c r="H13" i="12" s="1"/>
  <c r="I11" i="12"/>
  <c r="I13" i="12" s="1"/>
  <c r="J11" i="12"/>
  <c r="F11" i="12"/>
  <c r="G10" i="12"/>
  <c r="H10" i="12"/>
  <c r="I10" i="12"/>
  <c r="J10" i="12"/>
  <c r="F10" i="12"/>
  <c r="G9" i="12"/>
  <c r="G13" i="12" s="1"/>
  <c r="G21" i="12" s="1"/>
  <c r="H9" i="12"/>
  <c r="I9" i="12"/>
  <c r="J9" i="12"/>
  <c r="F9" i="12"/>
  <c r="D37" i="13"/>
  <c r="E37" i="13"/>
  <c r="F37" i="13"/>
  <c r="G37" i="13"/>
  <c r="H37" i="13"/>
  <c r="I37" i="13"/>
  <c r="J37" i="13"/>
  <c r="K37" i="13"/>
  <c r="L37" i="13"/>
  <c r="M37" i="13"/>
  <c r="N37" i="13"/>
  <c r="C37" i="13"/>
  <c r="H68" i="12"/>
  <c r="H67" i="12"/>
  <c r="J6" i="12"/>
  <c r="J45" i="12" s="1"/>
  <c r="J60" i="12" s="1"/>
  <c r="I6" i="12"/>
  <c r="I45" i="12" s="1"/>
  <c r="I60" i="12" s="1"/>
  <c r="H6" i="12"/>
  <c r="H45" i="12" s="1"/>
  <c r="H60" i="12" s="1"/>
  <c r="G6" i="12"/>
  <c r="G45" i="12" s="1"/>
  <c r="G60" i="12" s="1"/>
  <c r="F6" i="12"/>
  <c r="F45" i="12" s="1"/>
  <c r="F60" i="12" s="1"/>
  <c r="C36" i="11"/>
  <c r="D36" i="11" s="1"/>
  <c r="C35" i="11"/>
  <c r="E26" i="11"/>
  <c r="J36" i="11"/>
  <c r="J14" i="11"/>
  <c r="J15" i="11"/>
  <c r="J16" i="11"/>
  <c r="J17" i="11"/>
  <c r="J18" i="11"/>
  <c r="I21" i="11"/>
  <c r="H21" i="11"/>
  <c r="G21" i="11"/>
  <c r="F21" i="11"/>
  <c r="E27" i="11" s="1"/>
  <c r="I20" i="11"/>
  <c r="G20" i="11"/>
  <c r="F20" i="11"/>
  <c r="H15" i="11"/>
  <c r="H16" i="11"/>
  <c r="H17" i="11"/>
  <c r="H18" i="11"/>
  <c r="H14" i="11"/>
  <c r="H20" i="11" s="1"/>
  <c r="E35" i="11" s="1"/>
  <c r="J45" i="11" s="1"/>
  <c r="J27" i="11" l="1"/>
  <c r="G50" i="12"/>
  <c r="H50" i="12"/>
  <c r="F50" i="12"/>
  <c r="I21" i="12"/>
  <c r="H21" i="12"/>
  <c r="J21" i="12"/>
  <c r="E28" i="11"/>
  <c r="J44" i="11" s="1"/>
  <c r="D35" i="11"/>
  <c r="D39" i="11"/>
  <c r="C37" i="11"/>
  <c r="J20" i="11"/>
  <c r="J21" i="11"/>
  <c r="J34" i="11" s="1"/>
  <c r="D37" i="11" l="1"/>
  <c r="E37" i="11" s="1"/>
  <c r="E36" i="11" s="1"/>
  <c r="J58" i="12" l="1"/>
  <c r="J57" i="12"/>
  <c r="J42" i="11"/>
  <c r="E39" i="11"/>
  <c r="J35" i="11" s="1"/>
  <c r="J67" i="12" l="1"/>
  <c r="J68" i="12"/>
  <c r="J37" i="11"/>
  <c r="I79" i="8" l="1"/>
  <c r="J79" i="8"/>
  <c r="K79" i="8"/>
  <c r="L79" i="8"/>
  <c r="H79" i="8"/>
  <c r="A79" i="8"/>
  <c r="D96" i="8" l="1"/>
  <c r="D103" i="8" s="1"/>
  <c r="E96" i="8"/>
  <c r="F96" i="8"/>
  <c r="G96" i="8"/>
  <c r="H96" i="8"/>
  <c r="I96" i="8"/>
  <c r="J96" i="8"/>
  <c r="K96" i="8"/>
  <c r="L96" i="8"/>
  <c r="L103" i="8" s="1"/>
  <c r="D97" i="8"/>
  <c r="E97" i="8"/>
  <c r="F97" i="8"/>
  <c r="G97" i="8"/>
  <c r="H97" i="8"/>
  <c r="I97" i="8"/>
  <c r="J97" i="8"/>
  <c r="K97" i="8"/>
  <c r="L97" i="8"/>
  <c r="D98" i="8"/>
  <c r="E98" i="8"/>
  <c r="F98" i="8"/>
  <c r="G98" i="8"/>
  <c r="H98" i="8"/>
  <c r="I98" i="8"/>
  <c r="J98" i="8"/>
  <c r="K98" i="8"/>
  <c r="L98" i="8"/>
  <c r="D99" i="8"/>
  <c r="E99" i="8"/>
  <c r="F99" i="8"/>
  <c r="G99" i="8"/>
  <c r="H99" i="8"/>
  <c r="I99" i="8"/>
  <c r="J99" i="8"/>
  <c r="K99" i="8"/>
  <c r="L99" i="8"/>
  <c r="D100" i="8"/>
  <c r="E100" i="8"/>
  <c r="F100" i="8"/>
  <c r="G100" i="8"/>
  <c r="H100" i="8"/>
  <c r="I100" i="8"/>
  <c r="J100" i="8"/>
  <c r="K100" i="8"/>
  <c r="L100" i="8"/>
  <c r="D101" i="8"/>
  <c r="E101" i="8"/>
  <c r="F101" i="8"/>
  <c r="G101" i="8"/>
  <c r="H101" i="8"/>
  <c r="I101" i="8"/>
  <c r="J101" i="8"/>
  <c r="K101" i="8"/>
  <c r="L101" i="8"/>
  <c r="D102" i="8"/>
  <c r="E102" i="8"/>
  <c r="F102" i="8"/>
  <c r="G102" i="8"/>
  <c r="H102" i="8"/>
  <c r="I102" i="8"/>
  <c r="J102" i="8"/>
  <c r="K102" i="8"/>
  <c r="L102" i="8"/>
  <c r="C97" i="8"/>
  <c r="C98" i="8"/>
  <c r="C99" i="8"/>
  <c r="C100" i="8"/>
  <c r="C101" i="8"/>
  <c r="C102" i="8"/>
  <c r="C96" i="8"/>
  <c r="D85" i="8"/>
  <c r="E85" i="8"/>
  <c r="F85" i="8"/>
  <c r="F93" i="8" s="1"/>
  <c r="G85" i="8"/>
  <c r="H85" i="8"/>
  <c r="I85" i="8"/>
  <c r="J85" i="8"/>
  <c r="K85" i="8"/>
  <c r="L85" i="8"/>
  <c r="D86" i="8"/>
  <c r="E86" i="8"/>
  <c r="F86" i="8"/>
  <c r="G86" i="8"/>
  <c r="H86" i="8"/>
  <c r="I86" i="8"/>
  <c r="J86" i="8"/>
  <c r="K86" i="8"/>
  <c r="L86" i="8"/>
  <c r="D87" i="8"/>
  <c r="E87" i="8"/>
  <c r="F87" i="8"/>
  <c r="G87" i="8"/>
  <c r="H87" i="8"/>
  <c r="I87" i="8"/>
  <c r="J87" i="8"/>
  <c r="K87" i="8"/>
  <c r="L87" i="8"/>
  <c r="D88" i="8"/>
  <c r="E88" i="8"/>
  <c r="F88" i="8"/>
  <c r="G88" i="8"/>
  <c r="H88" i="8"/>
  <c r="I88" i="8"/>
  <c r="J88" i="8"/>
  <c r="K88" i="8"/>
  <c r="L88" i="8"/>
  <c r="D89" i="8"/>
  <c r="E89" i="8"/>
  <c r="F89" i="8"/>
  <c r="G89" i="8"/>
  <c r="H89" i="8"/>
  <c r="I89" i="8"/>
  <c r="J89" i="8"/>
  <c r="K89" i="8"/>
  <c r="L89" i="8"/>
  <c r="D90" i="8"/>
  <c r="E90" i="8"/>
  <c r="F90" i="8"/>
  <c r="G90" i="8"/>
  <c r="H90" i="8"/>
  <c r="I90" i="8"/>
  <c r="J90" i="8"/>
  <c r="K90" i="8"/>
  <c r="L90" i="8"/>
  <c r="D91" i="8"/>
  <c r="E91" i="8"/>
  <c r="F91" i="8"/>
  <c r="G91" i="8"/>
  <c r="H91" i="8"/>
  <c r="H93" i="8" s="1"/>
  <c r="I91" i="8"/>
  <c r="J91" i="8"/>
  <c r="K91" i="8"/>
  <c r="L91" i="8"/>
  <c r="D92" i="8"/>
  <c r="E92" i="8"/>
  <c r="F92" i="8"/>
  <c r="G92" i="8"/>
  <c r="H92" i="8"/>
  <c r="I92" i="8"/>
  <c r="J92" i="8"/>
  <c r="K92" i="8"/>
  <c r="L92" i="8"/>
  <c r="C86" i="8"/>
  <c r="C87" i="8"/>
  <c r="C88" i="8"/>
  <c r="C89" i="8"/>
  <c r="C90" i="8"/>
  <c r="C91" i="8"/>
  <c r="C92" i="8"/>
  <c r="C85" i="8"/>
  <c r="D73" i="8"/>
  <c r="E73" i="8"/>
  <c r="F73" i="8"/>
  <c r="G73" i="8"/>
  <c r="H73" i="8"/>
  <c r="I73" i="8"/>
  <c r="J73" i="8"/>
  <c r="K73" i="8"/>
  <c r="L73" i="8"/>
  <c r="D74" i="8"/>
  <c r="E74" i="8"/>
  <c r="F74" i="8"/>
  <c r="G74" i="8"/>
  <c r="H74" i="8"/>
  <c r="I74" i="8"/>
  <c r="J74" i="8"/>
  <c r="K74" i="8"/>
  <c r="L74" i="8"/>
  <c r="D75" i="8"/>
  <c r="E75" i="8"/>
  <c r="F75" i="8"/>
  <c r="G75" i="8"/>
  <c r="H75" i="8"/>
  <c r="I75" i="8"/>
  <c r="J75" i="8"/>
  <c r="K75" i="8"/>
  <c r="L75" i="8"/>
  <c r="D76" i="8"/>
  <c r="E76" i="8"/>
  <c r="F76" i="8"/>
  <c r="G76" i="8"/>
  <c r="H76" i="8"/>
  <c r="I76" i="8"/>
  <c r="J76" i="8"/>
  <c r="K76" i="8"/>
  <c r="L76" i="8"/>
  <c r="D77" i="8"/>
  <c r="E77" i="8"/>
  <c r="F77" i="8"/>
  <c r="G77" i="8"/>
  <c r="H77" i="8"/>
  <c r="I77" i="8"/>
  <c r="J77" i="8"/>
  <c r="K77" i="8"/>
  <c r="L77" i="8"/>
  <c r="D78" i="8"/>
  <c r="E78" i="8"/>
  <c r="F78" i="8"/>
  <c r="G78" i="8"/>
  <c r="H78" i="8"/>
  <c r="I78" i="8"/>
  <c r="J78" i="8"/>
  <c r="K78" i="8"/>
  <c r="L78" i="8"/>
  <c r="D80" i="8"/>
  <c r="E80" i="8"/>
  <c r="F80" i="8"/>
  <c r="G80" i="8"/>
  <c r="H80" i="8"/>
  <c r="I80" i="8"/>
  <c r="J80" i="8"/>
  <c r="K80" i="8"/>
  <c r="L80" i="8"/>
  <c r="D81" i="8"/>
  <c r="E81" i="8"/>
  <c r="F81" i="8"/>
  <c r="G81" i="8"/>
  <c r="H81" i="8"/>
  <c r="I81" i="8"/>
  <c r="J81" i="8"/>
  <c r="K81" i="8"/>
  <c r="L81" i="8"/>
  <c r="C74" i="8"/>
  <c r="C75" i="8"/>
  <c r="C76" i="8"/>
  <c r="C77" i="8"/>
  <c r="C78" i="8"/>
  <c r="C80" i="8"/>
  <c r="C81" i="8"/>
  <c r="C73" i="8"/>
  <c r="D59" i="8"/>
  <c r="E59" i="8"/>
  <c r="F59" i="8"/>
  <c r="G59" i="8"/>
  <c r="H59" i="8"/>
  <c r="I59" i="8"/>
  <c r="J59" i="8"/>
  <c r="K59" i="8"/>
  <c r="L59" i="8"/>
  <c r="C59" i="8"/>
  <c r="D62" i="8"/>
  <c r="E62" i="8"/>
  <c r="E65" i="8" s="1"/>
  <c r="F62" i="8"/>
  <c r="G62" i="8"/>
  <c r="H62" i="8"/>
  <c r="I62" i="8"/>
  <c r="J62" i="8"/>
  <c r="K62" i="8"/>
  <c r="L62" i="8"/>
  <c r="D63" i="8"/>
  <c r="E63" i="8"/>
  <c r="F63" i="8"/>
  <c r="G63" i="8"/>
  <c r="H63" i="8"/>
  <c r="I63" i="8"/>
  <c r="J63" i="8"/>
  <c r="K63" i="8"/>
  <c r="L63" i="8"/>
  <c r="D64" i="8"/>
  <c r="E64" i="8"/>
  <c r="F64" i="8"/>
  <c r="G64" i="8"/>
  <c r="H64" i="8"/>
  <c r="I64" i="8"/>
  <c r="J64" i="8"/>
  <c r="K64" i="8"/>
  <c r="L64" i="8"/>
  <c r="C63" i="8"/>
  <c r="C64" i="8"/>
  <c r="C62" i="8"/>
  <c r="D56" i="8"/>
  <c r="E56" i="8"/>
  <c r="F56" i="8"/>
  <c r="G56" i="8"/>
  <c r="H56" i="8"/>
  <c r="I56" i="8"/>
  <c r="J56" i="8"/>
  <c r="K56" i="8"/>
  <c r="L56" i="8"/>
  <c r="D57" i="8"/>
  <c r="E57" i="8"/>
  <c r="F57" i="8"/>
  <c r="G57" i="8"/>
  <c r="H57" i="8"/>
  <c r="I57" i="8"/>
  <c r="J57" i="8"/>
  <c r="K57" i="8"/>
  <c r="L57" i="8"/>
  <c r="D58" i="8"/>
  <c r="E58" i="8"/>
  <c r="F58" i="8"/>
  <c r="G58" i="8"/>
  <c r="H58" i="8"/>
  <c r="I58" i="8"/>
  <c r="J58" i="8"/>
  <c r="K58" i="8"/>
  <c r="L58" i="8"/>
  <c r="C57" i="8"/>
  <c r="C58" i="8"/>
  <c r="C56" i="8"/>
  <c r="C51" i="8"/>
  <c r="D51" i="8"/>
  <c r="E51" i="8"/>
  <c r="F51" i="8"/>
  <c r="G51" i="8"/>
  <c r="H51" i="8"/>
  <c r="I51" i="8"/>
  <c r="J51" i="8"/>
  <c r="K51" i="8"/>
  <c r="L51" i="8"/>
  <c r="C52" i="8"/>
  <c r="D52" i="8"/>
  <c r="E52" i="8"/>
  <c r="F52" i="8"/>
  <c r="G52" i="8"/>
  <c r="H52" i="8"/>
  <c r="I52" i="8"/>
  <c r="J52" i="8"/>
  <c r="K52" i="8"/>
  <c r="L52" i="8"/>
  <c r="C53" i="8"/>
  <c r="D53" i="8"/>
  <c r="E53" i="8"/>
  <c r="F53" i="8"/>
  <c r="G53" i="8"/>
  <c r="H53" i="8"/>
  <c r="I53" i="8"/>
  <c r="J53" i="8"/>
  <c r="K53" i="8"/>
  <c r="L53" i="8"/>
  <c r="C54" i="8"/>
  <c r="D54" i="8"/>
  <c r="E54" i="8"/>
  <c r="F54" i="8"/>
  <c r="G54" i="8"/>
  <c r="H54" i="8"/>
  <c r="I54" i="8"/>
  <c r="J54" i="8"/>
  <c r="K54" i="8"/>
  <c r="L54" i="8"/>
  <c r="D50" i="8"/>
  <c r="E50" i="8"/>
  <c r="F50" i="8"/>
  <c r="G50" i="8"/>
  <c r="H50" i="8"/>
  <c r="I50" i="8"/>
  <c r="J50" i="8"/>
  <c r="K50" i="8"/>
  <c r="L50" i="8"/>
  <c r="C50" i="8"/>
  <c r="D39" i="8"/>
  <c r="D44" i="8" s="1"/>
  <c r="D45" i="8" s="1"/>
  <c r="D47" i="8" s="1"/>
  <c r="E39" i="8"/>
  <c r="E44" i="8" s="1"/>
  <c r="E45" i="8" s="1"/>
  <c r="E47" i="8" s="1"/>
  <c r="F39" i="8"/>
  <c r="F44" i="8" s="1"/>
  <c r="F45" i="8" s="1"/>
  <c r="F47" i="8" s="1"/>
  <c r="G39" i="8"/>
  <c r="G44" i="8" s="1"/>
  <c r="G45" i="8" s="1"/>
  <c r="G47" i="8" s="1"/>
  <c r="H39" i="8"/>
  <c r="H44" i="8" s="1"/>
  <c r="H45" i="8" s="1"/>
  <c r="H47" i="8" s="1"/>
  <c r="I39" i="8"/>
  <c r="I44" i="8" s="1"/>
  <c r="I45" i="8" s="1"/>
  <c r="I47" i="8" s="1"/>
  <c r="J39" i="8"/>
  <c r="J44" i="8" s="1"/>
  <c r="J45" i="8" s="1"/>
  <c r="J47" i="8" s="1"/>
  <c r="K39" i="8"/>
  <c r="K44" i="8" s="1"/>
  <c r="K45" i="8" s="1"/>
  <c r="K47" i="8" s="1"/>
  <c r="L39" i="8"/>
  <c r="L44" i="8" s="1"/>
  <c r="L45" i="8" s="1"/>
  <c r="L47" i="8" s="1"/>
  <c r="M39" i="8"/>
  <c r="M44" i="8" s="1"/>
  <c r="C39" i="8"/>
  <c r="C44" i="8" s="1"/>
  <c r="C45" i="8" s="1"/>
  <c r="C47" i="8" s="1"/>
  <c r="E82" i="8" l="1"/>
  <c r="E93" i="8"/>
  <c r="K103" i="8"/>
  <c r="D82" i="8"/>
  <c r="K93" i="8"/>
  <c r="C82" i="8"/>
  <c r="K82" i="8"/>
  <c r="C93" i="8"/>
  <c r="C103" i="8"/>
  <c r="I103" i="8"/>
  <c r="F82" i="8"/>
  <c r="F105" i="8" s="1"/>
  <c r="L93" i="8"/>
  <c r="G82" i="8"/>
  <c r="H82" i="8"/>
  <c r="H105" i="8" s="1"/>
  <c r="I82" i="8"/>
  <c r="I105" i="8" s="1"/>
  <c r="J82" i="8"/>
  <c r="J105" i="8" s="1"/>
  <c r="H103" i="8"/>
  <c r="J93" i="8"/>
  <c r="H65" i="8"/>
  <c r="C60" i="8"/>
  <c r="G60" i="8"/>
  <c r="G65" i="8"/>
  <c r="G103" i="8"/>
  <c r="D93" i="8"/>
  <c r="F65" i="8"/>
  <c r="F103" i="8"/>
  <c r="L82" i="8"/>
  <c r="I93" i="8"/>
  <c r="J103" i="8"/>
  <c r="G93" i="8"/>
  <c r="E103" i="8"/>
  <c r="K105" i="8"/>
  <c r="H60" i="8"/>
  <c r="H67" i="8" s="1"/>
  <c r="H69" i="8" s="1"/>
  <c r="F60" i="8"/>
  <c r="K65" i="8"/>
  <c r="L65" i="8"/>
  <c r="D65" i="8"/>
  <c r="E60" i="8"/>
  <c r="E67" i="8" s="1"/>
  <c r="E69" i="8" s="1"/>
  <c r="J65" i="8"/>
  <c r="J67" i="8" s="1"/>
  <c r="J69" i="8" s="1"/>
  <c r="L60" i="8"/>
  <c r="L67" i="8" s="1"/>
  <c r="L69" i="8" s="1"/>
  <c r="D60" i="8"/>
  <c r="I60" i="8"/>
  <c r="J60" i="8"/>
  <c r="K60" i="8"/>
  <c r="K67" i="8" s="1"/>
  <c r="K69" i="8" s="1"/>
  <c r="C65" i="8"/>
  <c r="C67" i="8" s="1"/>
  <c r="C69" i="8" s="1"/>
  <c r="I65" i="8"/>
  <c r="D67" i="8"/>
  <c r="D69" i="8" s="1"/>
  <c r="G67" i="8"/>
  <c r="G69" i="8" s="1"/>
  <c r="M30" i="8"/>
  <c r="M36" i="8"/>
  <c r="M41" i="8" s="1"/>
  <c r="D36" i="8"/>
  <c r="D41" i="8" s="1"/>
  <c r="E36" i="8"/>
  <c r="E41" i="8" s="1"/>
  <c r="F36" i="8"/>
  <c r="F41" i="8" s="1"/>
  <c r="G36" i="8"/>
  <c r="G41" i="8" s="1"/>
  <c r="H36" i="8"/>
  <c r="H41" i="8" s="1"/>
  <c r="I36" i="8"/>
  <c r="I41" i="8" s="1"/>
  <c r="I42" i="8" s="1"/>
  <c r="J36" i="8"/>
  <c r="J41" i="8" s="1"/>
  <c r="K36" i="8"/>
  <c r="K41" i="8" s="1"/>
  <c r="L36" i="8"/>
  <c r="L41" i="8" s="1"/>
  <c r="L42" i="8" s="1"/>
  <c r="C36" i="8"/>
  <c r="C41" i="8" s="1"/>
  <c r="M33" i="8"/>
  <c r="D33" i="8"/>
  <c r="E33" i="8"/>
  <c r="F33" i="8"/>
  <c r="G33" i="8"/>
  <c r="H33" i="8"/>
  <c r="I33" i="8"/>
  <c r="J33" i="8"/>
  <c r="K33" i="8"/>
  <c r="L33" i="8"/>
  <c r="C33" i="8"/>
  <c r="M27" i="8"/>
  <c r="D27" i="8"/>
  <c r="E27" i="8"/>
  <c r="F27" i="8"/>
  <c r="G27" i="8"/>
  <c r="H27" i="8"/>
  <c r="I27" i="8"/>
  <c r="J27" i="8"/>
  <c r="K27" i="8"/>
  <c r="L27" i="8"/>
  <c r="C27" i="8"/>
  <c r="M24" i="8"/>
  <c r="D24" i="8"/>
  <c r="E24" i="8"/>
  <c r="F24" i="8"/>
  <c r="G24" i="8"/>
  <c r="H24" i="8"/>
  <c r="I24" i="8"/>
  <c r="J24" i="8"/>
  <c r="K24" i="8"/>
  <c r="L24" i="8"/>
  <c r="C24" i="8"/>
  <c r="D18" i="8"/>
  <c r="E18" i="8"/>
  <c r="F18" i="8"/>
  <c r="G18" i="8"/>
  <c r="H18" i="8"/>
  <c r="I18" i="8"/>
  <c r="J18" i="8"/>
  <c r="K18" i="8"/>
  <c r="L18" i="8"/>
  <c r="C18" i="8"/>
  <c r="M12" i="8"/>
  <c r="D12" i="8"/>
  <c r="E12" i="8"/>
  <c r="F12" i="8"/>
  <c r="G12" i="8"/>
  <c r="H12" i="8"/>
  <c r="I12" i="8"/>
  <c r="J12" i="8"/>
  <c r="K12" i="8"/>
  <c r="L12" i="8"/>
  <c r="C12" i="8"/>
  <c r="M9" i="8"/>
  <c r="M37" i="8" s="1"/>
  <c r="D9" i="8"/>
  <c r="E9" i="8"/>
  <c r="F9" i="8"/>
  <c r="G9" i="8"/>
  <c r="H9" i="8"/>
  <c r="I9" i="8"/>
  <c r="J9" i="8"/>
  <c r="K9" i="8"/>
  <c r="L9" i="8"/>
  <c r="C9" i="8"/>
  <c r="B6" i="8"/>
  <c r="L7" i="8"/>
  <c r="I7" i="8"/>
  <c r="J7" i="8"/>
  <c r="K7" i="8"/>
  <c r="D7" i="8"/>
  <c r="E7" i="8"/>
  <c r="F7" i="8"/>
  <c r="G7" i="8"/>
  <c r="H7" i="8"/>
  <c r="C7" i="8"/>
  <c r="F10" i="8" l="1"/>
  <c r="G42" i="8"/>
  <c r="C105" i="8"/>
  <c r="D105" i="8"/>
  <c r="L105" i="8"/>
  <c r="G105" i="8"/>
  <c r="K42" i="8"/>
  <c r="F67" i="8"/>
  <c r="F69" i="8" s="1"/>
  <c r="E105" i="8"/>
  <c r="I67" i="8"/>
  <c r="I69" i="8" s="1"/>
  <c r="E42" i="8"/>
  <c r="J13" i="8"/>
  <c r="G28" i="8"/>
  <c r="F42" i="8"/>
  <c r="H10" i="8"/>
  <c r="F13" i="8"/>
  <c r="C28" i="8"/>
  <c r="E28" i="8"/>
  <c r="I19" i="8"/>
  <c r="J42" i="8"/>
  <c r="F19" i="8"/>
  <c r="H25" i="8"/>
  <c r="G19" i="8"/>
  <c r="E15" i="8"/>
  <c r="I13" i="8"/>
  <c r="C19" i="8"/>
  <c r="E19" i="8"/>
  <c r="G25" i="8"/>
  <c r="I37" i="8"/>
  <c r="L15" i="8"/>
  <c r="L21" i="8" s="1"/>
  <c r="L22" i="8" s="1"/>
  <c r="D15" i="8"/>
  <c r="D21" i="8" s="1"/>
  <c r="D22" i="8" s="1"/>
  <c r="F37" i="8"/>
  <c r="H13" i="8"/>
  <c r="D42" i="8"/>
  <c r="C15" i="8"/>
  <c r="C21" i="8" s="1"/>
  <c r="G13" i="8"/>
  <c r="E25" i="8"/>
  <c r="H28" i="8"/>
  <c r="H42" i="8"/>
  <c r="H37" i="8"/>
  <c r="L25" i="8"/>
  <c r="J10" i="8"/>
  <c r="D10" i="8"/>
  <c r="D25" i="8"/>
  <c r="F28" i="8"/>
  <c r="G37" i="8"/>
  <c r="L10" i="8"/>
  <c r="D19" i="8"/>
  <c r="C37" i="8"/>
  <c r="K19" i="8"/>
  <c r="H19" i="8"/>
  <c r="L28" i="8"/>
  <c r="D28" i="8"/>
  <c r="E37" i="8"/>
  <c r="G10" i="8"/>
  <c r="C13" i="8"/>
  <c r="E13" i="8"/>
  <c r="F25" i="8"/>
  <c r="M28" i="8"/>
  <c r="L37" i="8"/>
  <c r="D37" i="8"/>
  <c r="M25" i="8"/>
  <c r="L19" i="8"/>
  <c r="E10" i="8"/>
  <c r="F15" i="8"/>
  <c r="D13" i="8"/>
  <c r="C25" i="8"/>
  <c r="K37" i="8"/>
  <c r="M31" i="8"/>
  <c r="L13" i="8"/>
  <c r="K13" i="8"/>
  <c r="J37" i="8"/>
  <c r="M34" i="8"/>
  <c r="J28" i="8"/>
  <c r="I15" i="8"/>
  <c r="J25" i="8"/>
  <c r="I28" i="8"/>
  <c r="M13" i="8"/>
  <c r="K28" i="8"/>
  <c r="K10" i="8"/>
  <c r="H15" i="8"/>
  <c r="I25" i="8"/>
  <c r="K15" i="8"/>
  <c r="G15" i="8"/>
  <c r="J15" i="8"/>
  <c r="K25" i="8"/>
  <c r="I10" i="8"/>
  <c r="M19" i="8"/>
  <c r="J19" i="8"/>
  <c r="M15" i="8"/>
  <c r="B6" i="6"/>
  <c r="E1" i="6"/>
  <c r="A1" i="4"/>
  <c r="D16" i="8" l="1"/>
  <c r="L16" i="8"/>
  <c r="D30" i="8"/>
  <c r="D31" i="8" s="1"/>
  <c r="L30" i="8"/>
  <c r="L31" i="8" s="1"/>
  <c r="C16" i="8"/>
  <c r="E21" i="8"/>
  <c r="E16" i="8"/>
  <c r="H21" i="8"/>
  <c r="H16" i="8"/>
  <c r="K21" i="8"/>
  <c r="K16" i="8"/>
  <c r="I21" i="8"/>
  <c r="I16" i="8"/>
  <c r="M21" i="8"/>
  <c r="M16" i="8"/>
  <c r="J21" i="8"/>
  <c r="J16" i="8"/>
  <c r="F21" i="8"/>
  <c r="F16" i="8"/>
  <c r="G21" i="8"/>
  <c r="G16" i="8"/>
  <c r="C1" i="4"/>
  <c r="L34" i="8" l="1"/>
  <c r="D34" i="8"/>
  <c r="E22" i="8"/>
  <c r="E30" i="8"/>
  <c r="G22" i="8"/>
  <c r="G30" i="8"/>
  <c r="I22" i="8"/>
  <c r="I30" i="8"/>
  <c r="F22" i="8"/>
  <c r="F30" i="8"/>
  <c r="K22" i="8"/>
  <c r="K30" i="8"/>
  <c r="J22" i="8"/>
  <c r="J30" i="8"/>
  <c r="H22" i="8"/>
  <c r="H30" i="8"/>
  <c r="E31" i="8" l="1"/>
  <c r="E34" i="8"/>
  <c r="K34" i="8"/>
  <c r="K31" i="8"/>
  <c r="H31" i="8"/>
  <c r="H34" i="8"/>
  <c r="J31" i="8"/>
  <c r="J34" i="8"/>
  <c r="F31" i="8"/>
  <c r="F34" i="8"/>
  <c r="I31" i="8"/>
  <c r="I34" i="8"/>
  <c r="G34" i="8"/>
  <c r="G31" i="8"/>
  <c r="C30" i="8" l="1"/>
  <c r="C34" i="8" s="1"/>
  <c r="C22" i="8"/>
  <c r="C31" i="8" l="1"/>
  <c r="J29" i="11" l="1"/>
  <c r="J41" i="11" s="1"/>
  <c r="J47" i="11" l="1"/>
  <c r="F18" i="14" l="1"/>
  <c r="F20" i="14" s="1"/>
  <c r="G18" i="14" l="1"/>
  <c r="G20" i="14" s="1"/>
  <c r="J18" i="14"/>
  <c r="J20" i="14" s="1"/>
  <c r="E31" i="14"/>
  <c r="H18" i="14"/>
  <c r="H20" i="14" s="1"/>
  <c r="I18" i="14"/>
  <c r="I20" i="14" s="1"/>
  <c r="K18" i="14"/>
  <c r="K20" i="14" s="1"/>
  <c r="E35" i="14" l="1"/>
  <c r="E36" i="14"/>
  <c r="E37" i="14" s="1"/>
  <c r="G27" i="14" l="1"/>
  <c r="E41" i="14"/>
  <c r="E43" i="14" s="1"/>
</calcChain>
</file>

<file path=xl/sharedStrings.xml><?xml version="1.0" encoding="utf-8"?>
<sst xmlns="http://schemas.openxmlformats.org/spreadsheetml/2006/main" count="346" uniqueCount="257">
  <si>
    <t>COMPANY NAME</t>
  </si>
  <si>
    <t>SCREENER.IN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</si>
  <si>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</si>
  <si>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</si>
  <si>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</si>
  <si>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</si>
  <si>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</si>
  <si>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</si>
  <si>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</si>
  <si>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</si>
  <si>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</si>
  <si>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</si>
  <si>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</si>
  <si>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</si>
  <si>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</si>
  <si>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</si>
  <si>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</si>
  <si>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</si>
  <si>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</si>
  <si>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</si>
  <si>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</si>
  <si>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</si>
  <si>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</si>
  <si>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</si>
  <si>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</si>
  <si>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</si>
  <si>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</si>
  <si>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</si>
  <si>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</si>
  <si>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</si>
  <si>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</si>
  <si>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</si>
  <si>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</si>
  <si>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</si>
  <si>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LARSEN &amp; TOUBRO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</si>
  <si>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</si>
  <si>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</si>
  <si>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</si>
  <si>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</si>
  <si>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</si>
  <si>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</si>
  <si>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</si>
  <si>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</si>
  <si>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</si>
  <si>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</si>
  <si>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</si>
  <si>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</si>
  <si>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</si>
  <si>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</si>
  <si>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</si>
  <si>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</si>
  <si>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</si>
  <si>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</si>
  <si>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</si>
  <si>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</si>
  <si>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</si>
  <si>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</si>
  <si>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 xml:space="preserve">         LTM </t>
  </si>
  <si>
    <t>Income Statement</t>
  </si>
  <si>
    <t>#</t>
  </si>
  <si>
    <t>-</t>
  </si>
  <si>
    <t>COGS</t>
  </si>
  <si>
    <t>COGS % Sales</t>
  </si>
  <si>
    <t>Gross Profit</t>
  </si>
  <si>
    <t>S&amp;G Expences %Sales</t>
  </si>
  <si>
    <t>EBITDA</t>
  </si>
  <si>
    <t>EBITDA Margin</t>
  </si>
  <si>
    <t>Interest %Sales</t>
  </si>
  <si>
    <t>Depreciation %Sales</t>
  </si>
  <si>
    <t>Gross Margin</t>
  </si>
  <si>
    <t>EBT</t>
  </si>
  <si>
    <t>EBT %Sales</t>
  </si>
  <si>
    <t>Effective Tax Rate</t>
  </si>
  <si>
    <t>Net Profit</t>
  </si>
  <si>
    <t>Net Margin</t>
  </si>
  <si>
    <t>No of Equity Shares</t>
  </si>
  <si>
    <t>Earning per Share</t>
  </si>
  <si>
    <t>Dividend per share</t>
  </si>
  <si>
    <t>EPS Growth %</t>
  </si>
  <si>
    <t xml:space="preserve"> -</t>
  </si>
  <si>
    <t>Dividend Payout Ratio</t>
  </si>
  <si>
    <t>Retained Earnings</t>
  </si>
  <si>
    <t>Balance Sheet</t>
  </si>
  <si>
    <t>Total Liabilities</t>
  </si>
  <si>
    <t>Fixed Assets Net Block</t>
  </si>
  <si>
    <t>Total  Non Current Assets</t>
  </si>
  <si>
    <t>Total Current Assets</t>
  </si>
  <si>
    <t>Total Assets</t>
  </si>
  <si>
    <t>Check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</si>
  <si>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</si>
  <si>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</si>
  <si>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</si>
  <si>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Loans Advances</t>
  </si>
  <si>
    <t>Other WC items</t>
  </si>
  <si>
    <t>Working capital changes</t>
  </si>
  <si>
    <t>Direct taxes</t>
  </si>
  <si>
    <t>Other operating items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</si>
  <si>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</si>
  <si>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</si>
  <si>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</si>
  <si>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</si>
  <si>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</si>
  <si>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Interest received</t>
  </si>
  <si>
    <t>Redemp n Canc of Shares</t>
  </si>
  <si>
    <t>Acquisition of companies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</si>
  <si>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</si>
  <si>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</si>
  <si>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</si>
  <si>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</si>
  <si>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</si>
  <si>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</si>
  <si>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</si>
  <si>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</si>
  <si>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</si>
  <si>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</si>
  <si>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Operating Activities</t>
  </si>
  <si>
    <t>Cash From Operating Activities</t>
  </si>
  <si>
    <t>Investing Activities</t>
  </si>
  <si>
    <t>Cash From Investing Activities</t>
  </si>
  <si>
    <t>Financial Activities</t>
  </si>
  <si>
    <t>Cash From Financial Activities</t>
  </si>
  <si>
    <t>Net CashFlow</t>
  </si>
  <si>
    <t>S &amp; G Expenses</t>
  </si>
  <si>
    <t>Weigted Average Cost of Capital</t>
  </si>
  <si>
    <t>All figures are in INR  in crores unless stated otherwise</t>
  </si>
  <si>
    <t>Peer Comps</t>
  </si>
  <si>
    <t>Name</t>
  </si>
  <si>
    <t>Country</t>
  </si>
  <si>
    <t>Total Debt</t>
  </si>
  <si>
    <t>Total Equity</t>
  </si>
  <si>
    <t xml:space="preserve">Tax Rate </t>
  </si>
  <si>
    <t>Debt /</t>
  </si>
  <si>
    <t xml:space="preserve">Levered </t>
  </si>
  <si>
    <t>UnLevered</t>
  </si>
  <si>
    <t>Equity</t>
  </si>
  <si>
    <t>Capital</t>
  </si>
  <si>
    <t>Beta 2</t>
  </si>
  <si>
    <t>Beta 3</t>
  </si>
  <si>
    <t>India</t>
  </si>
  <si>
    <t>Larsen &amp; Toubro</t>
  </si>
  <si>
    <t>Rail Vikas</t>
  </si>
  <si>
    <t>NBCC</t>
  </si>
  <si>
    <t>IRB Infra</t>
  </si>
  <si>
    <t>KEC Intl</t>
  </si>
  <si>
    <t>Average</t>
  </si>
  <si>
    <t>Median</t>
  </si>
  <si>
    <t>Cost Of Debt</t>
  </si>
  <si>
    <t>Cost of Equity</t>
  </si>
  <si>
    <t>Pre Tax Cost of Debt</t>
  </si>
  <si>
    <t>Risk Free Rate</t>
  </si>
  <si>
    <t>Tax Rate</t>
  </si>
  <si>
    <t>Equity Risk Premium</t>
  </si>
  <si>
    <t>After Tax Cost of Debt</t>
  </si>
  <si>
    <t>Levered Beta 4</t>
  </si>
  <si>
    <t>Capital Structure</t>
  </si>
  <si>
    <t>Levered Beta</t>
  </si>
  <si>
    <t>Current</t>
  </si>
  <si>
    <t>Target</t>
  </si>
  <si>
    <t>Comps Median Unlevered Beta</t>
  </si>
  <si>
    <t>Target Debt/Equity</t>
  </si>
  <si>
    <t>Market Capitalisation</t>
  </si>
  <si>
    <t>Total Capitalisation</t>
  </si>
  <si>
    <t>Debt/Equity</t>
  </si>
  <si>
    <t>Weighted Average Cost of Capital</t>
  </si>
  <si>
    <t>Equity Weight</t>
  </si>
  <si>
    <t>Cost of Debt</t>
  </si>
  <si>
    <t>Debt Weight</t>
  </si>
  <si>
    <t>WACC</t>
  </si>
  <si>
    <t>Calculation of ROIC</t>
  </si>
  <si>
    <t>Current Assets</t>
  </si>
  <si>
    <t>Inventories</t>
  </si>
  <si>
    <t>Trade Recievables</t>
  </si>
  <si>
    <t>Loans &amp; Advances</t>
  </si>
  <si>
    <t>Other Asset Items</t>
  </si>
  <si>
    <t>Current Liabilities</t>
  </si>
  <si>
    <t>Trade Payables</t>
  </si>
  <si>
    <t>Advance from Customers</t>
  </si>
  <si>
    <t>Other Liability Items</t>
  </si>
  <si>
    <t>Total Current Liabilities</t>
  </si>
  <si>
    <t>Net Working Capital</t>
  </si>
  <si>
    <t>Non Current Assets</t>
  </si>
  <si>
    <t>Land</t>
  </si>
  <si>
    <t>Building</t>
  </si>
  <si>
    <t>Plant and Machinery</t>
  </si>
  <si>
    <t>Equipments</t>
  </si>
  <si>
    <t>Furniture and Fittings</t>
  </si>
  <si>
    <t>Computers</t>
  </si>
  <si>
    <t>Vehicles</t>
  </si>
  <si>
    <t>Intangible Assets</t>
  </si>
  <si>
    <t>Other Fixed Assets</t>
  </si>
  <si>
    <t>Gross Block</t>
  </si>
  <si>
    <t>Accumulated Depreciation</t>
  </si>
  <si>
    <t>Non Net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</si>
  <si>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</si>
  <si>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</si>
  <si>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</si>
  <si>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</si>
  <si>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</si>
  <si>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</si>
  <si>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</si>
  <si>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EBIT(1-Tax)</t>
  </si>
  <si>
    <t>Reinvestment</t>
  </si>
  <si>
    <t>Reinvestment Rate</t>
  </si>
  <si>
    <t>4 Years Average</t>
  </si>
  <si>
    <t>4 Years Median</t>
  </si>
  <si>
    <t>Calculation of Growth Rate</t>
  </si>
  <si>
    <t>Intrensic Growth</t>
  </si>
  <si>
    <t>Equity Capital</t>
  </si>
  <si>
    <r>
      <t>Borrowings </t>
    </r>
    <r>
      <rPr>
        <sz val="11"/>
        <color rgb="FF665EFD"/>
        <rFont val="Arial"/>
        <family val="2"/>
      </rPr>
      <t>-</t>
    </r>
  </si>
  <si>
    <t>Long term Borrowings</t>
  </si>
  <si>
    <t>Short term Borrowings</t>
  </si>
  <si>
    <t>Lease Liabilities</t>
  </si>
  <si>
    <t>Preference Capital</t>
  </si>
  <si>
    <t>Other Borrowings</t>
  </si>
  <si>
    <r>
      <t>Other Liabilities </t>
    </r>
    <r>
      <rPr>
        <sz val="11"/>
        <color rgb="FF665EFD"/>
        <rFont val="Arial"/>
        <family val="2"/>
      </rPr>
      <t>-</t>
    </r>
  </si>
  <si>
    <t>Non controlling int</t>
  </si>
  <si>
    <t>Other liability items</t>
  </si>
  <si>
    <r>
      <t>Fixed Assets </t>
    </r>
    <r>
      <rPr>
        <sz val="11"/>
        <color rgb="FF665EFD"/>
        <rFont val="Arial"/>
        <family val="2"/>
      </rPr>
      <t>-</t>
    </r>
  </si>
  <si>
    <t>Plant Machinery</t>
  </si>
  <si>
    <t>Ships Vessels</t>
  </si>
  <si>
    <t>Furniture n fittings</t>
  </si>
  <si>
    <t>Railway sidings</t>
  </si>
  <si>
    <t>Other fixed assets</t>
  </si>
  <si>
    <t>CWIP</t>
  </si>
  <si>
    <r>
      <t>Other Assets </t>
    </r>
    <r>
      <rPr>
        <sz val="11"/>
        <color rgb="FF665EFD"/>
        <rFont val="Arial"/>
        <family val="2"/>
      </rPr>
      <t>-</t>
    </r>
  </si>
  <si>
    <r>
      <t>Trade receivables </t>
    </r>
    <r>
      <rPr>
        <sz val="11"/>
        <color rgb="FF665EFD"/>
        <rFont val="Arial"/>
        <family val="2"/>
      </rPr>
      <t>+</t>
    </r>
  </si>
  <si>
    <t>Cash Equivalents</t>
  </si>
  <si>
    <t>Loans n Advances</t>
  </si>
  <si>
    <t>Other asset items</t>
  </si>
  <si>
    <t>Particulars</t>
  </si>
  <si>
    <t>Calculation of Present Value of FCFF</t>
  </si>
  <si>
    <t>EBIT(1-T)</t>
  </si>
  <si>
    <t>Less: Reinvestment Rate</t>
  </si>
  <si>
    <t>Free Cash Flow to Firm</t>
  </si>
  <si>
    <t>Discounting Factor</t>
  </si>
  <si>
    <t>PV of FCFF</t>
  </si>
  <si>
    <t>Expected GrowthRate</t>
  </si>
  <si>
    <t>Terminal Growth</t>
  </si>
  <si>
    <t>Calculation of Terminal Value</t>
  </si>
  <si>
    <t>Sensitivity Analysis (WACC,Terminal Growth Rate)</t>
  </si>
  <si>
    <t>FCFF (n+1)</t>
  </si>
  <si>
    <t>Terminal Growth Rate</t>
  </si>
  <si>
    <t>Terminal Value</t>
  </si>
  <si>
    <t>Calculation of Enterprise Value</t>
  </si>
  <si>
    <t>PV of Terminal Value</t>
  </si>
  <si>
    <t>Value of Operating Asset</t>
  </si>
  <si>
    <t>ADD: CASH</t>
  </si>
  <si>
    <t>Less: Debt</t>
  </si>
  <si>
    <t>Value of Equity</t>
  </si>
  <si>
    <t>No Of Share</t>
  </si>
  <si>
    <t>Value per Share</t>
  </si>
  <si>
    <t>Total Market Return</t>
  </si>
  <si>
    <t>Dividend Yield</t>
  </si>
  <si>
    <t>Average Return</t>
  </si>
  <si>
    <t>Annual</t>
  </si>
  <si>
    <t>Year</t>
  </si>
  <si>
    <t>Return on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</si>
</sst>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[$-409]mmm/yy;@"/>
    <numFmt numFmtId="167" formatCode="&quot;₹&quot;\ #,##0.00"/>
    <numFmt numFmtId="168" formatCode="&quot;₹&quot;\ #,##0.00;&quot;₹&quot;\ \(#,##0.00\);\ \-"/>
    <numFmt numFmtId="169" formatCode="0.00%;\ \(0.00%\)"/>
    <numFmt numFmtId="170" formatCode="#,##0.00;\(#,##0.00\);\ \-"/>
    <numFmt numFmtId="178" formatCode="0.00%;\ \(0.00%\);\ \-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sz val="10"/>
      <color rgb="FF3333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theme="0"/>
      <name val="Arial"/>
      <family val="2"/>
    </font>
    <font>
      <b/>
      <sz val="11"/>
      <color rgb="FF00487E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48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E1AB2"/>
        <bgColor indexed="64"/>
      </patternFill>
    </fill>
    <fill>
      <patternFill patternType="solid">
        <fgColor rgb="FF0000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medium">
        <color rgb="FFDBE4F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theme="8" tint="-0.499984740745262"/>
      </bottom>
      <diagonal/>
    </border>
    <border>
      <left/>
      <right/>
      <top style="hair">
        <color theme="8" tint="-0.499984740745262"/>
      </top>
      <bottom style="hair">
        <color theme="8" tint="-0.499984740745262"/>
      </bottom>
      <diagonal/>
    </border>
    <border>
      <left/>
      <right/>
      <top style="hair">
        <color theme="8" tint="-0.499984740745262"/>
      </top>
      <bottom style="thin">
        <color theme="8" tint="-0.499984740745262"/>
      </bottom>
      <diagonal/>
    </border>
    <border>
      <left/>
      <right/>
      <top style="hair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dotted">
        <color theme="8" tint="-0.499984740745262"/>
      </bottom>
      <diagonal/>
    </border>
    <border>
      <left/>
      <right/>
      <top style="dotted">
        <color theme="8" tint="-0.499984740745262"/>
      </top>
      <bottom style="dotted">
        <color theme="8" tint="-0.499984740745262"/>
      </bottom>
      <diagonal/>
    </border>
    <border>
      <left/>
      <right/>
      <top style="dotted">
        <color theme="8" tint="-0.499984740745262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04">
    <xf numFmtId="0" fontId="0" fillId="0" borderId="0" xfId="0"/>
    <xf numFmtId="43" fontId="1" fillId="0" borderId="0" xfId="1" applyFont="1" applyBorder="1"/>
    <xf numFmtId="0" fontId="1" fillId="0" borderId="0" xfId="0" applyFont="1" applyFill="1" applyBorder="1" applyAlignment="1"/>
    <xf numFmtId="43" fontId="0" fillId="0" borderId="0" xfId="1" applyFont="1" applyBorder="1"/>
    <xf numFmtId="0" fontId="0" fillId="0" borderId="0" xfId="0" applyFont="1" applyBorder="1"/>
    <xf numFmtId="0" fontId="1" fillId="0" borderId="0" xfId="0" applyFont="1" applyBorder="1"/>
    <xf numFmtId="43" fontId="3" fillId="0" borderId="0" xfId="1" applyFont="1" applyBorder="1"/>
    <xf numFmtId="165" fontId="2" fillId="3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Font="1" applyFill="1" applyBorder="1"/>
    <xf numFmtId="164" fontId="0" fillId="0" borderId="0" xfId="1" applyNumberFormat="1" applyFont="1" applyBorder="1"/>
    <xf numFmtId="0" fontId="2" fillId="4" borderId="0" xfId="0" applyFont="1" applyFill="1"/>
    <xf numFmtId="166" fontId="2" fillId="4" borderId="0" xfId="0" applyNumberFormat="1" applyFont="1" applyFill="1"/>
    <xf numFmtId="166" fontId="2" fillId="4" borderId="0" xfId="0" applyNumberFormat="1" applyFont="1" applyFill="1" applyAlignment="1">
      <alignment horizontal="right"/>
    </xf>
    <xf numFmtId="10" fontId="0" fillId="0" borderId="0" xfId="4" applyNumberFormat="1" applyFont="1"/>
    <xf numFmtId="0" fontId="7" fillId="0" borderId="0" xfId="0" applyFont="1"/>
    <xf numFmtId="169" fontId="7" fillId="0" borderId="0" xfId="4" applyNumberFormat="1" applyFont="1"/>
    <xf numFmtId="169" fontId="7" fillId="0" borderId="0" xfId="0" applyNumberFormat="1" applyFont="1"/>
    <xf numFmtId="169" fontId="7" fillId="0" borderId="0" xfId="4" applyNumberFormat="1" applyFont="1" applyAlignment="1">
      <alignment horizontal="right"/>
    </xf>
    <xf numFmtId="0" fontId="1" fillId="0" borderId="0" xfId="0" applyFont="1"/>
    <xf numFmtId="43" fontId="1" fillId="0" borderId="0" xfId="1" applyFont="1" applyFill="1" applyBorder="1"/>
    <xf numFmtId="0" fontId="0" fillId="0" borderId="0" xfId="0" applyFont="1"/>
    <xf numFmtId="0" fontId="8" fillId="0" borderId="0" xfId="0" applyFont="1"/>
    <xf numFmtId="168" fontId="1" fillId="0" borderId="0" xfId="0" applyNumberFormat="1" applyFont="1"/>
    <xf numFmtId="0" fontId="0" fillId="5" borderId="0" xfId="0" applyFill="1"/>
    <xf numFmtId="17" fontId="9" fillId="5" borderId="1" xfId="0" applyNumberFormat="1" applyFont="1" applyFill="1" applyBorder="1" applyAlignment="1">
      <alignment horizontal="right" vertical="center" wrapText="1"/>
    </xf>
    <xf numFmtId="0" fontId="10" fillId="6" borderId="2" xfId="0" applyFont="1" applyFill="1" applyBorder="1" applyAlignment="1">
      <alignment horizontal="left" vertical="center" indent="2"/>
    </xf>
    <xf numFmtId="0" fontId="10" fillId="6" borderId="2" xfId="0" applyFont="1" applyFill="1" applyBorder="1" applyAlignment="1">
      <alignment horizontal="right" vertical="center" wrapText="1"/>
    </xf>
    <xf numFmtId="3" fontId="10" fillId="6" borderId="2" xfId="0" applyNumberFormat="1" applyFont="1" applyFill="1" applyBorder="1" applyAlignment="1">
      <alignment horizontal="right" vertical="center" wrapText="1"/>
    </xf>
    <xf numFmtId="0" fontId="10" fillId="6" borderId="2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 wrapText="1"/>
    </xf>
    <xf numFmtId="3" fontId="12" fillId="6" borderId="0" xfId="0" applyNumberFormat="1" applyFont="1" applyFill="1" applyAlignment="1">
      <alignment horizontal="right" vertical="center" wrapText="1"/>
    </xf>
    <xf numFmtId="0" fontId="10" fillId="5" borderId="2" xfId="0" applyFont="1" applyFill="1" applyBorder="1" applyAlignment="1">
      <alignment horizontal="left" vertical="center" indent="2"/>
    </xf>
    <xf numFmtId="0" fontId="10" fillId="5" borderId="2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right" vertical="center" wrapText="1"/>
    </xf>
    <xf numFmtId="0" fontId="1" fillId="7" borderId="0" xfId="0" applyFont="1" applyFill="1"/>
    <xf numFmtId="166" fontId="0" fillId="0" borderId="0" xfId="0" applyNumberFormat="1" applyFont="1"/>
    <xf numFmtId="0" fontId="0" fillId="7" borderId="0" xfId="0" applyFont="1" applyFill="1"/>
    <xf numFmtId="168" fontId="0" fillId="0" borderId="0" xfId="0" applyNumberFormat="1" applyFont="1"/>
    <xf numFmtId="167" fontId="0" fillId="0" borderId="0" xfId="0" applyNumberFormat="1" applyFont="1"/>
    <xf numFmtId="0" fontId="14" fillId="6" borderId="2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170" fontId="0" fillId="0" borderId="0" xfId="0" applyNumberFormat="1" applyFont="1"/>
    <xf numFmtId="0" fontId="15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16" fillId="10" borderId="0" xfId="0" applyFont="1" applyFill="1" applyAlignment="1"/>
    <xf numFmtId="0" fontId="0" fillId="10" borderId="0" xfId="0" applyFill="1"/>
    <xf numFmtId="0" fontId="17" fillId="0" borderId="0" xfId="0" applyFont="1"/>
    <xf numFmtId="0" fontId="16" fillId="0" borderId="0" xfId="0" applyFont="1"/>
    <xf numFmtId="0" fontId="18" fillId="0" borderId="0" xfId="0" applyFont="1"/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0" fillId="5" borderId="0" xfId="0" applyFont="1" applyFill="1" applyAlignment="1">
      <alignment horizontal="left" vertical="center" indent="2"/>
    </xf>
    <xf numFmtId="0" fontId="10" fillId="6" borderId="0" xfId="0" applyFont="1" applyFill="1" applyAlignment="1">
      <alignment horizontal="right" vertical="center" wrapText="1"/>
    </xf>
    <xf numFmtId="0" fontId="0" fillId="8" borderId="0" xfId="0" applyFont="1" applyFill="1"/>
    <xf numFmtId="2" fontId="0" fillId="8" borderId="0" xfId="0" applyNumberFormat="1" applyFont="1" applyFill="1"/>
    <xf numFmtId="0" fontId="20" fillId="8" borderId="0" xfId="0" applyFont="1" applyFill="1"/>
    <xf numFmtId="0" fontId="21" fillId="8" borderId="0" xfId="0" applyFont="1" applyFill="1" applyAlignment="1">
      <alignment horizontal="right" vertical="center" wrapText="1"/>
    </xf>
    <xf numFmtId="0" fontId="21" fillId="8" borderId="0" xfId="0" applyFont="1" applyFill="1"/>
    <xf numFmtId="9" fontId="20" fillId="8" borderId="0" xfId="0" applyNumberFormat="1" applyFont="1" applyFill="1"/>
    <xf numFmtId="0" fontId="20" fillId="8" borderId="0" xfId="0" applyFont="1" applyFill="1" applyAlignment="1">
      <alignment horizontal="right" vertical="center" wrapText="1"/>
    </xf>
    <xf numFmtId="0" fontId="16" fillId="0" borderId="3" xfId="0" applyFont="1" applyBorder="1" applyAlignment="1">
      <alignment horizontal="left"/>
    </xf>
    <xf numFmtId="178" fontId="18" fillId="0" borderId="3" xfId="0" applyNumberFormat="1" applyFont="1" applyBorder="1" applyAlignment="1">
      <alignment horizontal="right"/>
    </xf>
    <xf numFmtId="170" fontId="18" fillId="0" borderId="3" xfId="0" applyNumberFormat="1" applyFont="1" applyBorder="1" applyAlignment="1">
      <alignment horizontal="right"/>
    </xf>
    <xf numFmtId="0" fontId="16" fillId="0" borderId="4" xfId="0" applyFont="1" applyBorder="1" applyAlignment="1">
      <alignment horizontal="left"/>
    </xf>
    <xf numFmtId="178" fontId="18" fillId="0" borderId="4" xfId="0" applyNumberFormat="1" applyFont="1" applyBorder="1" applyAlignment="1">
      <alignment horizontal="right"/>
    </xf>
    <xf numFmtId="170" fontId="18" fillId="0" borderId="4" xfId="0" applyNumberFormat="1" applyFont="1" applyBorder="1" applyAlignment="1">
      <alignment horizontal="right"/>
    </xf>
    <xf numFmtId="0" fontId="16" fillId="0" borderId="4" xfId="0" applyFont="1" applyBorder="1"/>
    <xf numFmtId="0" fontId="18" fillId="0" borderId="4" xfId="0" applyFont="1" applyBorder="1"/>
    <xf numFmtId="0" fontId="18" fillId="0" borderId="4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10" fontId="18" fillId="0" borderId="0" xfId="4" applyNumberFormat="1" applyFont="1" applyAlignment="1">
      <alignment horizontal="right"/>
    </xf>
    <xf numFmtId="0" fontId="18" fillId="0" borderId="0" xfId="0" applyFont="1" applyAlignment="1">
      <alignment horizontal="left"/>
    </xf>
    <xf numFmtId="10" fontId="22" fillId="0" borderId="0" xfId="0" applyNumberFormat="1" applyFont="1" applyAlignment="1">
      <alignment horizontal="right"/>
    </xf>
    <xf numFmtId="178" fontId="18" fillId="0" borderId="0" xfId="0" applyNumberFormat="1" applyFont="1" applyAlignment="1">
      <alignment horizontal="right"/>
    </xf>
    <xf numFmtId="10" fontId="18" fillId="0" borderId="0" xfId="0" applyNumberFormat="1" applyFont="1" applyAlignment="1">
      <alignment horizontal="right"/>
    </xf>
    <xf numFmtId="0" fontId="18" fillId="0" borderId="5" xfId="0" applyFont="1" applyBorder="1"/>
    <xf numFmtId="10" fontId="18" fillId="9" borderId="5" xfId="4" applyNumberFormat="1" applyFont="1" applyFill="1" applyBorder="1" applyAlignment="1">
      <alignment horizontal="right"/>
    </xf>
    <xf numFmtId="0" fontId="18" fillId="0" borderId="6" xfId="0" applyFont="1" applyBorder="1" applyAlignment="1">
      <alignment horizontal="left"/>
    </xf>
    <xf numFmtId="2" fontId="18" fillId="9" borderId="0" xfId="0" applyNumberFormat="1" applyFont="1" applyFill="1" applyAlignment="1">
      <alignment horizontal="right"/>
    </xf>
    <xf numFmtId="0" fontId="18" fillId="0" borderId="5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70" fontId="18" fillId="0" borderId="0" xfId="0" applyNumberFormat="1" applyFont="1" applyAlignment="1">
      <alignment horizontal="right"/>
    </xf>
    <xf numFmtId="0" fontId="22" fillId="0" borderId="0" xfId="0" applyFont="1"/>
    <xf numFmtId="178" fontId="22" fillId="0" borderId="0" xfId="0" applyNumberFormat="1" applyFont="1" applyAlignment="1">
      <alignment horizontal="right"/>
    </xf>
    <xf numFmtId="0" fontId="18" fillId="0" borderId="5" xfId="0" applyFont="1" applyBorder="1"/>
    <xf numFmtId="9" fontId="18" fillId="0" borderId="5" xfId="4" applyFont="1" applyBorder="1" applyAlignment="1">
      <alignment horizontal="right"/>
    </xf>
    <xf numFmtId="2" fontId="23" fillId="0" borderId="0" xfId="0" applyNumberFormat="1" applyFont="1" applyAlignment="1">
      <alignment horizontal="right"/>
    </xf>
    <xf numFmtId="10" fontId="18" fillId="9" borderId="0" xfId="4" applyNumberFormat="1" applyFont="1" applyFill="1" applyAlignment="1">
      <alignment horizontal="right"/>
    </xf>
    <xf numFmtId="0" fontId="16" fillId="0" borderId="4" xfId="0" applyFont="1" applyBorder="1" applyAlignment="1">
      <alignment horizontal="right"/>
    </xf>
    <xf numFmtId="0" fontId="16" fillId="12" borderId="0" xfId="0" applyFont="1" applyFill="1" applyAlignment="1">
      <alignment horizontal="left"/>
    </xf>
    <xf numFmtId="10" fontId="16" fillId="12" borderId="0" xfId="4" applyNumberFormat="1" applyFont="1" applyFill="1" applyAlignment="1">
      <alignment horizontal="right"/>
    </xf>
    <xf numFmtId="10" fontId="0" fillId="9" borderId="0" xfId="4" applyNumberFormat="1" applyFont="1" applyFill="1"/>
    <xf numFmtId="10" fontId="21" fillId="9" borderId="0" xfId="4" applyNumberFormat="1" applyFont="1" applyFill="1"/>
    <xf numFmtId="10" fontId="20" fillId="9" borderId="0" xfId="4" applyNumberFormat="1" applyFont="1" applyFill="1"/>
    <xf numFmtId="0" fontId="5" fillId="13" borderId="0" xfId="0" applyFont="1" applyFill="1"/>
    <xf numFmtId="166" fontId="5" fillId="13" borderId="0" xfId="0" applyNumberFormat="1" applyFont="1" applyFill="1"/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/>
    <xf numFmtId="0" fontId="0" fillId="0" borderId="9" xfId="0" applyBorder="1" applyAlignment="1"/>
    <xf numFmtId="0" fontId="1" fillId="0" borderId="11" xfId="0" applyFont="1" applyBorder="1" applyAlignment="1"/>
    <xf numFmtId="0" fontId="0" fillId="0" borderId="4" xfId="0" applyBorder="1" applyAlignment="1"/>
    <xf numFmtId="0" fontId="0" fillId="0" borderId="12" xfId="0" applyBorder="1" applyAlignment="1"/>
    <xf numFmtId="0" fontId="1" fillId="0" borderId="3" xfId="0" applyFont="1" applyBorder="1" applyAlignment="1"/>
    <xf numFmtId="0" fontId="1" fillId="0" borderId="13" xfId="0" applyFont="1" applyBorder="1"/>
    <xf numFmtId="0" fontId="0" fillId="0" borderId="14" xfId="0" applyBorder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/>
    <xf numFmtId="0" fontId="0" fillId="0" borderId="15" xfId="0" applyBorder="1" applyAlignment="1"/>
    <xf numFmtId="0" fontId="1" fillId="0" borderId="16" xfId="0" applyFont="1" applyBorder="1"/>
    <xf numFmtId="0" fontId="1" fillId="0" borderId="0" xfId="0" applyFont="1" applyAlignment="1"/>
    <xf numFmtId="0" fontId="1" fillId="0" borderId="11" xfId="0" applyFont="1" applyBorder="1" applyAlignment="1"/>
    <xf numFmtId="10" fontId="1" fillId="0" borderId="11" xfId="4" applyNumberFormat="1" applyFont="1" applyBorder="1"/>
    <xf numFmtId="0" fontId="5" fillId="13" borderId="0" xfId="0" applyFont="1" applyFill="1" applyAlignment="1"/>
    <xf numFmtId="0" fontId="0" fillId="0" borderId="18" xfId="0" applyBorder="1" applyAlignment="1"/>
    <xf numFmtId="0" fontId="0" fillId="0" borderId="18" xfId="0" applyBorder="1"/>
    <xf numFmtId="0" fontId="0" fillId="0" borderId="19" xfId="0" applyBorder="1" applyAlignment="1"/>
    <xf numFmtId="0" fontId="0" fillId="0" borderId="19" xfId="0" applyBorder="1"/>
    <xf numFmtId="9" fontId="19" fillId="0" borderId="19" xfId="0" applyNumberFormat="1" applyFont="1" applyBorder="1"/>
    <xf numFmtId="0" fontId="0" fillId="0" borderId="20" xfId="0" applyBorder="1" applyAlignment="1"/>
    <xf numFmtId="0" fontId="0" fillId="0" borderId="20" xfId="0" applyBorder="1"/>
    <xf numFmtId="170" fontId="0" fillId="0" borderId="20" xfId="0" applyNumberFormat="1" applyBorder="1"/>
    <xf numFmtId="0" fontId="1" fillId="0" borderId="17" xfId="0" applyFont="1" applyBorder="1" applyAlignment="1"/>
    <xf numFmtId="10" fontId="1" fillId="0" borderId="17" xfId="4" applyNumberFormat="1" applyFont="1" applyBorder="1"/>
    <xf numFmtId="0" fontId="0" fillId="11" borderId="0" xfId="0" applyFill="1"/>
    <xf numFmtId="10" fontId="0" fillId="11" borderId="0" xfId="4" applyNumberFormat="1" applyFont="1" applyFill="1"/>
    <xf numFmtId="10" fontId="0" fillId="0" borderId="7" xfId="0" applyNumberFormat="1" applyBorder="1"/>
    <xf numFmtId="0" fontId="0" fillId="0" borderId="10" xfId="0" applyBorder="1" applyAlignment="1"/>
    <xf numFmtId="10" fontId="0" fillId="0" borderId="10" xfId="0" applyNumberFormat="1" applyBorder="1"/>
    <xf numFmtId="0" fontId="1" fillId="0" borderId="16" xfId="0" applyFont="1" applyBorder="1" applyAlignment="1"/>
    <xf numFmtId="10" fontId="1" fillId="0" borderId="11" xfId="0" applyNumberFormat="1" applyFont="1" applyBorder="1"/>
    <xf numFmtId="10" fontId="0" fillId="11" borderId="0" xfId="0" applyNumberFormat="1" applyFill="1"/>
    <xf numFmtId="0" fontId="10" fillId="6" borderId="0" xfId="0" applyFont="1" applyFill="1" applyAlignment="1">
      <alignment horizontal="left" vertical="center" indent="2"/>
    </xf>
    <xf numFmtId="3" fontId="10" fillId="5" borderId="0" xfId="0" applyNumberFormat="1" applyFont="1" applyFill="1" applyAlignment="1">
      <alignment horizontal="right" vertical="center" wrapText="1"/>
    </xf>
    <xf numFmtId="0" fontId="24" fillId="6" borderId="2" xfId="0" applyFont="1" applyFill="1" applyBorder="1" applyAlignment="1">
      <alignment horizontal="left" vertical="center" indent="2"/>
    </xf>
    <xf numFmtId="3" fontId="24" fillId="6" borderId="2" xfId="0" applyNumberFormat="1" applyFont="1" applyFill="1" applyBorder="1" applyAlignment="1">
      <alignment horizontal="right" vertical="center" wrapText="1"/>
    </xf>
    <xf numFmtId="0" fontId="10" fillId="6" borderId="0" xfId="0" applyFont="1" applyFill="1" applyAlignment="1">
      <alignment horizontal="left" vertical="center"/>
    </xf>
    <xf numFmtId="3" fontId="10" fillId="6" borderId="0" xfId="0" applyNumberFormat="1" applyFont="1" applyFill="1" applyAlignment="1">
      <alignment horizontal="right" vertical="center" wrapText="1"/>
    </xf>
    <xf numFmtId="0" fontId="24" fillId="5" borderId="2" xfId="0" applyFont="1" applyFill="1" applyBorder="1" applyAlignment="1">
      <alignment horizontal="left" vertical="center" indent="2"/>
    </xf>
    <xf numFmtId="3" fontId="24" fillId="5" borderId="2" xfId="0" applyNumberFormat="1" applyFont="1" applyFill="1" applyBorder="1" applyAlignment="1">
      <alignment horizontal="right" vertical="center" wrapText="1"/>
    </xf>
    <xf numFmtId="0" fontId="10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right" vertical="center" wrapText="1"/>
    </xf>
    <xf numFmtId="0" fontId="24" fillId="5" borderId="2" xfId="0" applyFont="1" applyFill="1" applyBorder="1" applyAlignment="1">
      <alignment horizontal="left" vertical="center"/>
    </xf>
    <xf numFmtId="0" fontId="5" fillId="14" borderId="0" xfId="0" applyFont="1" applyFill="1"/>
    <xf numFmtId="17" fontId="26" fillId="14" borderId="1" xfId="0" applyNumberFormat="1" applyFont="1" applyFill="1" applyBorder="1" applyAlignment="1">
      <alignment horizontal="right" vertical="center" wrapText="1"/>
    </xf>
    <xf numFmtId="0" fontId="13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 vertical="center" wrapText="1"/>
    </xf>
    <xf numFmtId="3" fontId="0" fillId="0" borderId="7" xfId="0" applyNumberFormat="1" applyBorder="1"/>
    <xf numFmtId="3" fontId="0" fillId="0" borderId="8" xfId="0" applyNumberFormat="1" applyBorder="1"/>
    <xf numFmtId="3" fontId="0" fillId="0" borderId="10" xfId="0" applyNumberFormat="1" applyBorder="1"/>
    <xf numFmtId="3" fontId="1" fillId="0" borderId="11" xfId="0" applyNumberFormat="1" applyFont="1" applyBorder="1"/>
    <xf numFmtId="3" fontId="0" fillId="0" borderId="4" xfId="0" applyNumberFormat="1" applyBorder="1"/>
    <xf numFmtId="3" fontId="0" fillId="0" borderId="12" xfId="0" applyNumberFormat="1" applyBorder="1"/>
    <xf numFmtId="3" fontId="0" fillId="0" borderId="3" xfId="0" applyNumberFormat="1" applyBorder="1"/>
    <xf numFmtId="3" fontId="1" fillId="0" borderId="3" xfId="0" applyNumberFormat="1" applyFont="1" applyBorder="1"/>
    <xf numFmtId="0" fontId="0" fillId="0" borderId="8" xfId="0" applyFont="1" applyBorder="1" applyAlignment="1"/>
    <xf numFmtId="3" fontId="0" fillId="0" borderId="15" xfId="0" applyNumberFormat="1" applyBorder="1"/>
    <xf numFmtId="3" fontId="1" fillId="0" borderId="17" xfId="0" applyNumberFormat="1" applyFont="1" applyBorder="1"/>
    <xf numFmtId="3" fontId="1" fillId="0" borderId="0" xfId="0" applyNumberFormat="1" applyFont="1"/>
    <xf numFmtId="3" fontId="0" fillId="0" borderId="19" xfId="0" applyNumberFormat="1" applyBorder="1"/>
    <xf numFmtId="17" fontId="5" fillId="14" borderId="0" xfId="0" applyNumberFormat="1" applyFont="1" applyFill="1"/>
    <xf numFmtId="0" fontId="0" fillId="0" borderId="6" xfId="0" applyBorder="1"/>
    <xf numFmtId="0" fontId="0" fillId="0" borderId="21" xfId="0" applyBorder="1"/>
    <xf numFmtId="9" fontId="0" fillId="0" borderId="21" xfId="0" applyNumberFormat="1" applyBorder="1"/>
    <xf numFmtId="0" fontId="0" fillId="0" borderId="5" xfId="0" applyBorder="1"/>
    <xf numFmtId="10" fontId="0" fillId="0" borderId="5" xfId="0" applyNumberFormat="1" applyBorder="1"/>
    <xf numFmtId="0" fontId="1" fillId="0" borderId="16" xfId="0" applyFont="1" applyBorder="1"/>
    <xf numFmtId="0" fontId="1" fillId="0" borderId="22" xfId="0" applyFont="1" applyBorder="1"/>
    <xf numFmtId="0" fontId="1" fillId="11" borderId="0" xfId="0" applyFont="1" applyFill="1"/>
    <xf numFmtId="0" fontId="0" fillId="11" borderId="0" xfId="0" applyFill="1"/>
    <xf numFmtId="10" fontId="1" fillId="11" borderId="0" xfId="0" applyNumberFormat="1" applyFont="1" applyFill="1"/>
    <xf numFmtId="0" fontId="2" fillId="14" borderId="0" xfId="0" applyFont="1" applyFill="1"/>
    <xf numFmtId="0" fontId="5" fillId="15" borderId="0" xfId="0" applyFont="1" applyFill="1" applyAlignment="1"/>
    <xf numFmtId="0" fontId="5" fillId="8" borderId="23" xfId="0" applyFont="1" applyFill="1" applyBorder="1"/>
    <xf numFmtId="9" fontId="0" fillId="0" borderId="4" xfId="0" applyNumberFormat="1" applyBorder="1"/>
    <xf numFmtId="10" fontId="0" fillId="0" borderId="0" xfId="0" applyNumberFormat="1"/>
    <xf numFmtId="9" fontId="0" fillId="0" borderId="24" xfId="0" applyNumberFormat="1" applyBorder="1"/>
    <xf numFmtId="0" fontId="0" fillId="0" borderId="25" xfId="0" applyBorder="1"/>
    <xf numFmtId="0" fontId="1" fillId="0" borderId="25" xfId="0" applyFont="1" applyBorder="1"/>
    <xf numFmtId="43" fontId="0" fillId="0" borderId="0" xfId="0" applyNumberFormat="1"/>
    <xf numFmtId="10" fontId="27" fillId="11" borderId="0" xfId="0" applyNumberFormat="1" applyFont="1" applyFill="1"/>
    <xf numFmtId="3" fontId="0" fillId="0" borderId="0" xfId="0" applyNumberFormat="1"/>
    <xf numFmtId="10" fontId="5" fillId="8" borderId="0" xfId="0" applyNumberFormat="1" applyFont="1" applyFill="1"/>
    <xf numFmtId="0" fontId="0" fillId="0" borderId="26" xfId="0" applyBorder="1"/>
    <xf numFmtId="0" fontId="0" fillId="0" borderId="24" xfId="0" applyBorder="1"/>
    <xf numFmtId="10" fontId="1" fillId="0" borderId="0" xfId="0" applyNumberFormat="1" applyFont="1"/>
    <xf numFmtId="0" fontId="0" fillId="0" borderId="27" xfId="0" applyBorder="1"/>
    <xf numFmtId="0" fontId="0" fillId="0" borderId="28" xfId="0" applyBorder="1"/>
    <xf numFmtId="0" fontId="1" fillId="0" borderId="4" xfId="0" applyFont="1" applyBorder="1"/>
    <xf numFmtId="0" fontId="5" fillId="13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487E"/>
      <color rgb="FF0E1AB2"/>
      <color rgb="FF3333FF"/>
      <color rgb="FF33CCFF"/>
      <color rgb="FF00CCFF"/>
      <color rgb="FF3366FF"/>
      <color rgb="FF0000FF"/>
      <color rgb="FF66FF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15240</xdr:rowOff>
    </xdr:from>
    <xdr:to>
      <xdr:col>13</xdr:col>
      <xdr:colOff>0</xdr:colOff>
      <xdr:row>4</xdr:row>
      <xdr:rowOff>175260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15240"/>
          <a:ext cx="6507480" cy="89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9</xdr:col>
      <xdr:colOff>518160</xdr:colOff>
      <xdr:row>3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0"/>
          <a:ext cx="5875020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22860</xdr:colOff>
      <xdr:row>3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0"/>
          <a:ext cx="5875020" cy="723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%20E%20C%20Intl%20Automated%20FCFF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 &gt;"/>
      <sheetName val="WACC"/>
      <sheetName val="Intrensic Growth"/>
      <sheetName val="FCFF"/>
      <sheetName val="Financials &gt;"/>
      <sheetName val="Historical FS"/>
      <sheetName val="Ratio Analysis"/>
      <sheetName val="Forecasting"/>
      <sheetName val="Data &gt;"/>
      <sheetName val="Raw Balance Sheet"/>
      <sheetName val="Data Sheet"/>
      <sheetName val="Raw Cash Flow"/>
      <sheetName val="Sheet1"/>
      <sheetName val="Rm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7">
          <cell r="H7">
            <v>44286</v>
          </cell>
          <cell r="I7">
            <v>44651</v>
          </cell>
          <cell r="J7">
            <v>45016</v>
          </cell>
          <cell r="K7">
            <v>45382</v>
          </cell>
          <cell r="L7">
            <v>45747</v>
          </cell>
        </row>
      </sheetData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05"/>
  <sheetViews>
    <sheetView showGridLines="0" workbookViewId="0">
      <pane ySplit="7" topLeftCell="A16" activePane="bottomLeft" state="frozen"/>
      <selection pane="bottomLeft" activeCell="T123" sqref="T123"/>
    </sheetView>
  </sheetViews>
  <sheetFormatPr defaultRowHeight="14.4" x14ac:dyDescent="0.3"/>
  <cols>
    <col min="1" max="1" width="1.88671875" style="22" customWidth="1"/>
    <col min="2" max="2" width="22.5546875" style="22" customWidth="1"/>
    <col min="3" max="6" width="12.77734375" style="22" hidden="1" customWidth="1"/>
    <col min="7" max="7" width="12.109375" style="22" hidden="1" customWidth="1"/>
    <col min="8" max="12" width="12.109375" style="22" bestFit="1" customWidth="1"/>
    <col min="13" max="13" width="11.88671875" style="22" bestFit="1" customWidth="1"/>
    <col min="14" max="16384" width="8.88671875" style="22"/>
  </cols>
  <sheetData>
    <row r="6" spans="1:14" x14ac:dyDescent="0.3">
      <c r="B6" s="48" t="str">
        <f xml:space="preserve"> "Historical Financial Statement - "&amp;'Data Sheet'!B1</f>
        <v>Historical Financial Statement - LARSEN &amp; TOUBRO LTD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4" x14ac:dyDescent="0.3">
      <c r="B7" s="12" t="s">
        <v>56</v>
      </c>
      <c r="C7" s="13">
        <f>'Data Sheet'!B16</f>
        <v>42460</v>
      </c>
      <c r="D7" s="13">
        <f>'Data Sheet'!C16</f>
        <v>42825</v>
      </c>
      <c r="E7" s="13">
        <f>'Data Sheet'!D16</f>
        <v>43190</v>
      </c>
      <c r="F7" s="13">
        <f>'Data Sheet'!E16</f>
        <v>43555</v>
      </c>
      <c r="G7" s="13">
        <f>'Data Sheet'!F16</f>
        <v>43921</v>
      </c>
      <c r="H7" s="13">
        <f>'Data Sheet'!G16</f>
        <v>44286</v>
      </c>
      <c r="I7" s="13">
        <f>'Data Sheet'!H16</f>
        <v>44651</v>
      </c>
      <c r="J7" s="13">
        <f>'Data Sheet'!I16</f>
        <v>45016</v>
      </c>
      <c r="K7" s="13">
        <f>'Data Sheet'!J16</f>
        <v>45382</v>
      </c>
      <c r="L7" s="13">
        <f>'Data Sheet'!K16</f>
        <v>45747</v>
      </c>
      <c r="M7" s="14" t="s">
        <v>57</v>
      </c>
      <c r="N7" s="39"/>
    </row>
    <row r="8" spans="1:14" x14ac:dyDescent="0.3">
      <c r="A8" s="40" t="s">
        <v>59</v>
      </c>
      <c r="B8" s="38" t="s">
        <v>58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4" x14ac:dyDescent="0.3">
      <c r="B9" s="22" t="s">
        <v>2</v>
      </c>
      <c r="C9" s="41">
        <f>IFERROR('Data Sheet'!B17,0)</f>
        <v>101122.48</v>
      </c>
      <c r="D9" s="41">
        <f>IFERROR('Data Sheet'!C17,0)</f>
        <v>109311.81</v>
      </c>
      <c r="E9" s="41">
        <f>IFERROR('Data Sheet'!D17,0)</f>
        <v>119683.16</v>
      </c>
      <c r="F9" s="41">
        <f>IFERROR('Data Sheet'!E17,0)</f>
        <v>135220.29</v>
      </c>
      <c r="G9" s="41">
        <f>IFERROR('Data Sheet'!F17,0)</f>
        <v>145452.35999999999</v>
      </c>
      <c r="H9" s="41">
        <f>IFERROR('Data Sheet'!G17,0)</f>
        <v>135979.03</v>
      </c>
      <c r="I9" s="41">
        <f>IFERROR('Data Sheet'!H17,0)</f>
        <v>156521.23000000001</v>
      </c>
      <c r="J9" s="41">
        <f>IFERROR('Data Sheet'!I17,0)</f>
        <v>183340.7</v>
      </c>
      <c r="K9" s="41">
        <f>IFERROR('Data Sheet'!J17,0)</f>
        <v>221112.91</v>
      </c>
      <c r="L9" s="41">
        <f>IFERROR('Data Sheet'!K17,0)</f>
        <v>255734.45</v>
      </c>
      <c r="M9" s="41">
        <f>IFERROR(SUM('Data Sheet'!H42:K42),0)</f>
        <v>255734.46</v>
      </c>
    </row>
    <row r="10" spans="1:14" x14ac:dyDescent="0.3">
      <c r="B10" s="18" t="s">
        <v>11</v>
      </c>
      <c r="C10" s="18" t="s">
        <v>60</v>
      </c>
      <c r="D10" s="17">
        <f>D9/C9-1</f>
        <v>8.0984267790900732E-2</v>
      </c>
      <c r="E10" s="17">
        <f t="shared" ref="E10:L10" si="0">E9/D9-1</f>
        <v>9.4878586311945678E-2</v>
      </c>
      <c r="F10" s="17">
        <f t="shared" si="0"/>
        <v>0.12981884836596902</v>
      </c>
      <c r="G10" s="17">
        <f t="shared" si="0"/>
        <v>7.5669635082131315E-2</v>
      </c>
      <c r="H10" s="17">
        <f t="shared" si="0"/>
        <v>-6.5130122330087969E-2</v>
      </c>
      <c r="I10" s="17">
        <f t="shared" si="0"/>
        <v>0.15106888172389521</v>
      </c>
      <c r="J10" s="17">
        <f t="shared" si="0"/>
        <v>0.17134717124315979</v>
      </c>
      <c r="K10" s="17">
        <f t="shared" si="0"/>
        <v>0.20602195802677747</v>
      </c>
      <c r="L10" s="17">
        <f t="shared" si="0"/>
        <v>0.15657855527295994</v>
      </c>
      <c r="M10" s="18"/>
    </row>
    <row r="12" spans="1:14" x14ac:dyDescent="0.3">
      <c r="B12" s="22" t="s">
        <v>61</v>
      </c>
      <c r="C12" s="41">
        <f>IFERROR(SUM('Data Sheet'!B18,'Data Sheet'!B20:B22)-1*'Data Sheet'!B19,0)</f>
        <v>77986.94</v>
      </c>
      <c r="D12" s="41">
        <f>IFERROR(SUM('Data Sheet'!C18,'Data Sheet'!C20:C22)-1*'Data Sheet'!C19,0)</f>
        <v>84990.290000000008</v>
      </c>
      <c r="E12" s="41">
        <f>IFERROR(SUM('Data Sheet'!D18,'Data Sheet'!D20:D22)-1*'Data Sheet'!D19,0)</f>
        <v>91701.74</v>
      </c>
      <c r="F12" s="41">
        <f>IFERROR(SUM('Data Sheet'!E18,'Data Sheet'!E20:E22)-1*'Data Sheet'!E19,0)</f>
        <v>104612.44000000002</v>
      </c>
      <c r="G12" s="41">
        <f>IFERROR(SUM('Data Sheet'!F18,'Data Sheet'!F20:F22)-1*'Data Sheet'!F19,0)</f>
        <v>111501.59</v>
      </c>
      <c r="H12" s="41">
        <f>IFERROR(SUM('Data Sheet'!G18,'Data Sheet'!G20:G22)-1*'Data Sheet'!G19,0)</f>
        <v>103742.90999999999</v>
      </c>
      <c r="I12" s="41">
        <f>IFERROR(SUM('Data Sheet'!H18,'Data Sheet'!H20:H22)-1*'Data Sheet'!H19,0)</f>
        <v>123562.16999999998</v>
      </c>
      <c r="J12" s="41">
        <f>IFERROR(SUM('Data Sheet'!I18,'Data Sheet'!I20:I22)-1*'Data Sheet'!I19,0)</f>
        <v>147655.93999999997</v>
      </c>
      <c r="K12" s="41">
        <f>IFERROR(SUM('Data Sheet'!J18,'Data Sheet'!J20:J22)-1*'Data Sheet'!J19,0)</f>
        <v>181664.96000000002</v>
      </c>
      <c r="L12" s="41">
        <f>IFERROR(SUM('Data Sheet'!K18,'Data Sheet'!K20:K22)-1*'Data Sheet'!K19,0)</f>
        <v>211579.11</v>
      </c>
      <c r="M12" s="41">
        <f>IFERROR(SUM('Data Sheet'!H43:K43),0)</f>
        <v>222997.49</v>
      </c>
    </row>
    <row r="13" spans="1:14" x14ac:dyDescent="0.3">
      <c r="B13" s="18" t="s">
        <v>62</v>
      </c>
      <c r="C13" s="17">
        <f>C12/C9</f>
        <v>0.77121269177733776</v>
      </c>
      <c r="D13" s="17">
        <f t="shared" ref="D13:M13" si="1">D12/D9</f>
        <v>0.77750327251922746</v>
      </c>
      <c r="E13" s="17">
        <f t="shared" si="1"/>
        <v>0.76620420115912713</v>
      </c>
      <c r="F13" s="17">
        <f t="shared" si="1"/>
        <v>0.77364454698329677</v>
      </c>
      <c r="G13" s="17">
        <f t="shared" si="1"/>
        <v>0.76658494918886166</v>
      </c>
      <c r="H13" s="17">
        <f t="shared" si="1"/>
        <v>0.76293315226619862</v>
      </c>
      <c r="I13" s="17">
        <f t="shared" si="1"/>
        <v>0.78942754283236838</v>
      </c>
      <c r="J13" s="17">
        <f t="shared" si="1"/>
        <v>0.80536367538686149</v>
      </c>
      <c r="K13" s="17">
        <f t="shared" si="1"/>
        <v>0.82159363738643765</v>
      </c>
      <c r="L13" s="17">
        <f t="shared" si="1"/>
        <v>0.82733910116529075</v>
      </c>
      <c r="M13" s="17">
        <f t="shared" si="1"/>
        <v>0.87198842893523232</v>
      </c>
    </row>
    <row r="15" spans="1:14" x14ac:dyDescent="0.3">
      <c r="B15" s="22" t="s">
        <v>63</v>
      </c>
      <c r="C15" s="42">
        <f>C9-C12</f>
        <v>23135.539999999994</v>
      </c>
      <c r="D15" s="42">
        <f t="shared" ref="D15:M15" si="2">D9-D12</f>
        <v>24321.51999999999</v>
      </c>
      <c r="E15" s="42">
        <f t="shared" si="2"/>
        <v>27981.42</v>
      </c>
      <c r="F15" s="42">
        <f t="shared" si="2"/>
        <v>30607.849999999991</v>
      </c>
      <c r="G15" s="42">
        <f t="shared" si="2"/>
        <v>33950.76999999999</v>
      </c>
      <c r="H15" s="42">
        <f t="shared" si="2"/>
        <v>32236.12000000001</v>
      </c>
      <c r="I15" s="42">
        <f t="shared" si="2"/>
        <v>32959.060000000027</v>
      </c>
      <c r="J15" s="42">
        <f t="shared" si="2"/>
        <v>35684.760000000038</v>
      </c>
      <c r="K15" s="42">
        <f t="shared" si="2"/>
        <v>39447.949999999983</v>
      </c>
      <c r="L15" s="42">
        <f t="shared" si="2"/>
        <v>44155.340000000026</v>
      </c>
      <c r="M15" s="42">
        <f t="shared" si="2"/>
        <v>32736.97</v>
      </c>
    </row>
    <row r="16" spans="1:14" x14ac:dyDescent="0.3">
      <c r="B16" s="18" t="s">
        <v>69</v>
      </c>
      <c r="C16" s="17">
        <f>C15/C9</f>
        <v>0.22878730822266222</v>
      </c>
      <c r="D16" s="17">
        <f t="shared" ref="D16:M16" si="3">D15/D9</f>
        <v>0.22249672748077257</v>
      </c>
      <c r="E16" s="17">
        <f t="shared" si="3"/>
        <v>0.23379579884087284</v>
      </c>
      <c r="F16" s="17">
        <f t="shared" si="3"/>
        <v>0.22635545301670326</v>
      </c>
      <c r="G16" s="17">
        <f t="shared" si="3"/>
        <v>0.23341505081113839</v>
      </c>
      <c r="H16" s="17">
        <f t="shared" si="3"/>
        <v>0.23706684773380138</v>
      </c>
      <c r="I16" s="17">
        <f t="shared" si="3"/>
        <v>0.21057245716763168</v>
      </c>
      <c r="J16" s="17">
        <f t="shared" si="3"/>
        <v>0.19463632461313846</v>
      </c>
      <c r="K16" s="17">
        <f t="shared" si="3"/>
        <v>0.17840636261356238</v>
      </c>
      <c r="L16" s="17">
        <f t="shared" si="3"/>
        <v>0.17266089883470931</v>
      </c>
      <c r="M16" s="17">
        <f t="shared" si="3"/>
        <v>0.12801157106476774</v>
      </c>
    </row>
    <row r="18" spans="2:13" x14ac:dyDescent="0.3">
      <c r="B18" s="22" t="s">
        <v>122</v>
      </c>
      <c r="C18" s="41">
        <f>IFERROR(SUM('Data Sheet'!B23:B24),0)</f>
        <v>7649.58</v>
      </c>
      <c r="D18" s="41">
        <f>IFERROR(SUM('Data Sheet'!C23:C24),0)</f>
        <v>7701.11</v>
      </c>
      <c r="E18" s="41">
        <f>IFERROR(SUM('Data Sheet'!D23:D24),0)</f>
        <v>7870.08</v>
      </c>
      <c r="F18" s="41">
        <f>IFERROR(SUM('Data Sheet'!E23:E24),0)</f>
        <v>7742.0300000000007</v>
      </c>
      <c r="G18" s="41">
        <f>IFERROR(SUM('Data Sheet'!F23:F24),0)</f>
        <v>9397.67</v>
      </c>
      <c r="H18" s="41">
        <f>IFERROR(SUM('Data Sheet'!G23:G24),0)</f>
        <v>8775.8799999999992</v>
      </c>
      <c r="I18" s="41">
        <f>IFERROR(SUM('Data Sheet'!H23:H24),0)</f>
        <v>8645.17</v>
      </c>
      <c r="J18" s="41">
        <f>IFERROR(SUM('Data Sheet'!I23:I24),0)</f>
        <v>8518.74</v>
      </c>
      <c r="K18" s="41">
        <f>IFERROR(SUM('Data Sheet'!J23:J24),0)</f>
        <v>10689.83</v>
      </c>
      <c r="L18" s="41">
        <f>IFERROR(SUM('Data Sheet'!K23:K24),0)</f>
        <v>9820.01</v>
      </c>
    </row>
    <row r="19" spans="2:13" x14ac:dyDescent="0.3">
      <c r="B19" s="18" t="s">
        <v>64</v>
      </c>
      <c r="C19" s="17">
        <f>C18/C9</f>
        <v>7.5646681133611435E-2</v>
      </c>
      <c r="D19" s="17">
        <f t="shared" ref="D19:L19" si="4">D18/D9</f>
        <v>7.0450850644591834E-2</v>
      </c>
      <c r="E19" s="17">
        <f t="shared" si="4"/>
        <v>6.5757622041396638E-2</v>
      </c>
      <c r="F19" s="17">
        <f t="shared" si="4"/>
        <v>5.7254943026671515E-2</v>
      </c>
      <c r="G19" s="17">
        <f t="shared" si="4"/>
        <v>6.4609952014529029E-2</v>
      </c>
      <c r="H19" s="17">
        <f t="shared" si="4"/>
        <v>6.4538480676027757E-2</v>
      </c>
      <c r="I19" s="17">
        <f t="shared" si="4"/>
        <v>5.5233210216914339E-2</v>
      </c>
      <c r="J19" s="17">
        <f t="shared" si="4"/>
        <v>4.646398753795529E-2</v>
      </c>
      <c r="K19" s="17">
        <f t="shared" si="4"/>
        <v>4.8345571500099202E-2</v>
      </c>
      <c r="L19" s="17">
        <f t="shared" si="4"/>
        <v>3.8399245780144205E-2</v>
      </c>
      <c r="M19" s="17">
        <f>M18/M9</f>
        <v>0</v>
      </c>
    </row>
    <row r="21" spans="2:13" x14ac:dyDescent="0.3">
      <c r="B21" s="22" t="s">
        <v>65</v>
      </c>
      <c r="C21" s="42">
        <f>C15-C18</f>
        <v>15485.959999999994</v>
      </c>
      <c r="D21" s="42">
        <f t="shared" ref="D21:M21" si="5">D15-D18</f>
        <v>16620.409999999989</v>
      </c>
      <c r="E21" s="42">
        <f t="shared" si="5"/>
        <v>20111.339999999997</v>
      </c>
      <c r="F21" s="42">
        <f t="shared" si="5"/>
        <v>22865.819999999992</v>
      </c>
      <c r="G21" s="42">
        <f t="shared" si="5"/>
        <v>24553.099999999991</v>
      </c>
      <c r="H21" s="42">
        <f t="shared" si="5"/>
        <v>23460.240000000013</v>
      </c>
      <c r="I21" s="42">
        <f t="shared" si="5"/>
        <v>24313.890000000029</v>
      </c>
      <c r="J21" s="42">
        <f t="shared" si="5"/>
        <v>27166.02000000004</v>
      </c>
      <c r="K21" s="42">
        <f t="shared" si="5"/>
        <v>28758.119999999981</v>
      </c>
      <c r="L21" s="42">
        <f t="shared" si="5"/>
        <v>34335.330000000024</v>
      </c>
      <c r="M21" s="42">
        <f t="shared" si="5"/>
        <v>32736.97</v>
      </c>
    </row>
    <row r="22" spans="2:13" x14ac:dyDescent="0.3">
      <c r="B22" s="18" t="s">
        <v>66</v>
      </c>
      <c r="C22" s="17">
        <f>C21/C9</f>
        <v>0.15314062708905077</v>
      </c>
      <c r="D22" s="17">
        <f t="shared" ref="D22:L22" si="6">D21/D9</f>
        <v>0.15204587683618073</v>
      </c>
      <c r="E22" s="17">
        <f t="shared" si="6"/>
        <v>0.16803817679947619</v>
      </c>
      <c r="F22" s="17">
        <f t="shared" si="6"/>
        <v>0.16910050999003176</v>
      </c>
      <c r="G22" s="17">
        <f t="shared" si="6"/>
        <v>0.16880509879660938</v>
      </c>
      <c r="H22" s="17">
        <f t="shared" si="6"/>
        <v>0.17252836705777364</v>
      </c>
      <c r="I22" s="17">
        <f t="shared" si="6"/>
        <v>0.15533924695071732</v>
      </c>
      <c r="J22" s="17">
        <f t="shared" si="6"/>
        <v>0.14817233707518318</v>
      </c>
      <c r="K22" s="17">
        <f t="shared" si="6"/>
        <v>0.13006079111346316</v>
      </c>
      <c r="L22" s="17">
        <f t="shared" si="6"/>
        <v>0.13426165305456508</v>
      </c>
      <c r="M22" s="18"/>
    </row>
    <row r="24" spans="2:13" x14ac:dyDescent="0.3">
      <c r="B24" s="22" t="s">
        <v>7</v>
      </c>
      <c r="C24" s="41">
        <f>IFERROR('Data Sheet'!B27,0)</f>
        <v>6898.68</v>
      </c>
      <c r="D24" s="41">
        <f>IFERROR('Data Sheet'!C27,0)</f>
        <v>6828.66</v>
      </c>
      <c r="E24" s="41">
        <f>IFERROR('Data Sheet'!D27,0)</f>
        <v>7713.63</v>
      </c>
      <c r="F24" s="41">
        <f>IFERROR('Data Sheet'!E27,0)</f>
        <v>9338.73</v>
      </c>
      <c r="G24" s="41">
        <f>IFERROR('Data Sheet'!F27,0)</f>
        <v>11020.78</v>
      </c>
      <c r="H24" s="41">
        <f>IFERROR('Data Sheet'!G27,0)</f>
        <v>11749.58</v>
      </c>
      <c r="I24" s="41">
        <f>IFERROR('Data Sheet'!H27,0)</f>
        <v>9234.98</v>
      </c>
      <c r="J24" s="41">
        <f>IFERROR('Data Sheet'!I27,0)</f>
        <v>9445.44</v>
      </c>
      <c r="K24" s="41">
        <f>IFERROR('Data Sheet'!J27,0)</f>
        <v>9512.17</v>
      </c>
      <c r="L24" s="41">
        <f>IFERROR('Data Sheet'!K27,0)</f>
        <v>9924.7800000000007</v>
      </c>
      <c r="M24" s="41">
        <f>IFERROR(SUM('Data Sheet'!H46:K46),0)</f>
        <v>9636.61</v>
      </c>
    </row>
    <row r="25" spans="2:13" x14ac:dyDescent="0.3">
      <c r="B25" s="18" t="s">
        <v>67</v>
      </c>
      <c r="C25" s="17">
        <f>C24/C9</f>
        <v>6.8221032553790223E-2</v>
      </c>
      <c r="D25" s="17">
        <f t="shared" ref="D25:M25" si="7">D24/D9</f>
        <v>6.2469553838693181E-2</v>
      </c>
      <c r="E25" s="17">
        <f t="shared" si="7"/>
        <v>6.4450420593841276E-2</v>
      </c>
      <c r="F25" s="17">
        <f t="shared" si="7"/>
        <v>6.9063082175019733E-2</v>
      </c>
      <c r="G25" s="17">
        <f t="shared" si="7"/>
        <v>7.576900092923898E-2</v>
      </c>
      <c r="H25" s="17">
        <f t="shared" si="7"/>
        <v>8.6407293830526657E-2</v>
      </c>
      <c r="I25" s="17">
        <f t="shared" si="7"/>
        <v>5.9001453029726376E-2</v>
      </c>
      <c r="J25" s="17">
        <f t="shared" si="7"/>
        <v>5.1518511710711257E-2</v>
      </c>
      <c r="K25" s="17">
        <f t="shared" si="7"/>
        <v>4.3019514328674881E-2</v>
      </c>
      <c r="L25" s="17">
        <f t="shared" si="7"/>
        <v>3.8808928558510598E-2</v>
      </c>
      <c r="M25" s="17">
        <f t="shared" si="7"/>
        <v>3.7682094153443382E-2</v>
      </c>
    </row>
    <row r="27" spans="2:13" x14ac:dyDescent="0.3">
      <c r="B27" s="22" t="s">
        <v>6</v>
      </c>
      <c r="C27" s="41">
        <f>IFERROR('Data Sheet'!B26,0)</f>
        <v>1786.73</v>
      </c>
      <c r="D27" s="41">
        <f>IFERROR('Data Sheet'!C26,0)</f>
        <v>2369.9299999999998</v>
      </c>
      <c r="E27" s="41">
        <f>IFERROR('Data Sheet'!D26,0)</f>
        <v>2223.48</v>
      </c>
      <c r="F27" s="41">
        <f>IFERROR('Data Sheet'!E26,0)</f>
        <v>1923.03</v>
      </c>
      <c r="G27" s="41">
        <f>IFERROR('Data Sheet'!F26,0)</f>
        <v>2462.27</v>
      </c>
      <c r="H27" s="41">
        <f>IFERROR('Data Sheet'!G26,0)</f>
        <v>2904.21</v>
      </c>
      <c r="I27" s="41">
        <f>IFERROR('Data Sheet'!H26,0)</f>
        <v>2947.95</v>
      </c>
      <c r="J27" s="41">
        <f>IFERROR('Data Sheet'!I26,0)</f>
        <v>3502.25</v>
      </c>
      <c r="K27" s="41">
        <f>IFERROR('Data Sheet'!J26,0)</f>
        <v>3682.33</v>
      </c>
      <c r="L27" s="41">
        <f>IFERROR('Data Sheet'!K26,0)</f>
        <v>4121.18</v>
      </c>
      <c r="M27" s="41">
        <f>IFERROR(SUM('Data Sheet'!H45:K45),0)</f>
        <v>4121.18</v>
      </c>
    </row>
    <row r="28" spans="2:13" x14ac:dyDescent="0.3">
      <c r="B28" s="18" t="s">
        <v>68</v>
      </c>
      <c r="C28" s="17">
        <f>C27/C9</f>
        <v>1.7668969352808594E-2</v>
      </c>
      <c r="D28" s="17">
        <f t="shared" ref="D28:M28" si="8">D27/D9</f>
        <v>2.1680457033874015E-2</v>
      </c>
      <c r="E28" s="17">
        <f t="shared" si="8"/>
        <v>1.8578052250625737E-2</v>
      </c>
      <c r="F28" s="17">
        <f t="shared" si="8"/>
        <v>1.4221460403612505E-2</v>
      </c>
      <c r="G28" s="17">
        <f t="shared" si="8"/>
        <v>1.6928360598617995E-2</v>
      </c>
      <c r="H28" s="17">
        <f t="shared" si="8"/>
        <v>2.1357778475107524E-2</v>
      </c>
      <c r="I28" s="17">
        <f t="shared" si="8"/>
        <v>1.8834186263422537E-2</v>
      </c>
      <c r="J28" s="17">
        <f t="shared" si="8"/>
        <v>1.9102414248445651E-2</v>
      </c>
      <c r="K28" s="17">
        <f t="shared" si="8"/>
        <v>1.6653618280361829E-2</v>
      </c>
      <c r="L28" s="17">
        <f t="shared" si="8"/>
        <v>1.6115075618478466E-2</v>
      </c>
      <c r="M28" s="17">
        <f t="shared" si="8"/>
        <v>1.6115074988329692E-2</v>
      </c>
    </row>
    <row r="30" spans="2:13" x14ac:dyDescent="0.3">
      <c r="B30" s="22" t="s">
        <v>70</v>
      </c>
      <c r="C30" s="41">
        <f>IFERROR(C21-SUM(C24,C27),0)</f>
        <v>6800.5499999999938</v>
      </c>
      <c r="D30" s="41">
        <f t="shared" ref="D30:L30" si="9">IFERROR(D21-SUM(D24,D27),0)</f>
        <v>7421.8199999999888</v>
      </c>
      <c r="E30" s="41">
        <f t="shared" si="9"/>
        <v>10174.229999999996</v>
      </c>
      <c r="F30" s="41">
        <f t="shared" si="9"/>
        <v>11604.059999999992</v>
      </c>
      <c r="G30" s="41">
        <f t="shared" si="9"/>
        <v>11070.04999999999</v>
      </c>
      <c r="H30" s="41">
        <f t="shared" si="9"/>
        <v>8806.4500000000116</v>
      </c>
      <c r="I30" s="41">
        <f t="shared" si="9"/>
        <v>12130.960000000028</v>
      </c>
      <c r="J30" s="41">
        <f t="shared" si="9"/>
        <v>14218.33000000004</v>
      </c>
      <c r="K30" s="41">
        <f t="shared" si="9"/>
        <v>15563.619999999981</v>
      </c>
      <c r="L30" s="41">
        <f t="shared" si="9"/>
        <v>20289.370000000024</v>
      </c>
      <c r="M30" s="41">
        <f>IFERROR(SUM('Data Sheet'!H47:K47),0)</f>
        <v>23578.79</v>
      </c>
    </row>
    <row r="31" spans="2:13" x14ac:dyDescent="0.3">
      <c r="B31" s="18" t="s">
        <v>71</v>
      </c>
      <c r="C31" s="17">
        <f>C30/C9</f>
        <v>6.7250625182451951E-2</v>
      </c>
      <c r="D31" s="17">
        <f t="shared" ref="D31:M31" si="10">D30/D9</f>
        <v>6.7895865963613522E-2</v>
      </c>
      <c r="E31" s="17">
        <f t="shared" si="10"/>
        <v>8.5009703955009175E-2</v>
      </c>
      <c r="F31" s="17">
        <f t="shared" si="10"/>
        <v>8.5815967411399519E-2</v>
      </c>
      <c r="G31" s="17">
        <f t="shared" si="10"/>
        <v>7.6107737268752404E-2</v>
      </c>
      <c r="H31" s="17">
        <f t="shared" si="10"/>
        <v>6.4763294752139447E-2</v>
      </c>
      <c r="I31" s="17">
        <f t="shared" si="10"/>
        <v>7.7503607657568419E-2</v>
      </c>
      <c r="J31" s="17">
        <f t="shared" si="10"/>
        <v>7.7551411116026273E-2</v>
      </c>
      <c r="K31" s="17">
        <f t="shared" si="10"/>
        <v>7.0387658504426451E-2</v>
      </c>
      <c r="L31" s="17">
        <f t="shared" si="10"/>
        <v>7.9337648877576036E-2</v>
      </c>
      <c r="M31" s="17">
        <f t="shared" si="10"/>
        <v>9.2200284623355028E-2</v>
      </c>
    </row>
    <row r="33" spans="2:13" x14ac:dyDescent="0.3">
      <c r="B33" s="22" t="s">
        <v>9</v>
      </c>
      <c r="C33" s="41">
        <f>IFERROR('Data Sheet'!B29,0)</f>
        <v>2436.96</v>
      </c>
      <c r="D33" s="41">
        <f>IFERROR('Data Sheet'!C29,0)</f>
        <v>2006.59</v>
      </c>
      <c r="E33" s="41">
        <f>IFERROR('Data Sheet'!D29,0)</f>
        <v>3198.87</v>
      </c>
      <c r="F33" s="41">
        <f>IFERROR('Data Sheet'!E29,0)</f>
        <v>4067.09</v>
      </c>
      <c r="G33" s="41">
        <f>IFERROR('Data Sheet'!F29,0)</f>
        <v>3263.2</v>
      </c>
      <c r="H33" s="41">
        <f>IFERROR('Data Sheet'!G29,0)</f>
        <v>4010.82</v>
      </c>
      <c r="I33" s="41">
        <f>IFERROR('Data Sheet'!H29,0)</f>
        <v>4203.92</v>
      </c>
      <c r="J33" s="41">
        <f>IFERROR('Data Sheet'!I29,0)</f>
        <v>4484.16</v>
      </c>
      <c r="K33" s="41">
        <f>IFERROR('Data Sheet'!J29,0)</f>
        <v>4947.3900000000003</v>
      </c>
      <c r="L33" s="41">
        <f>IFERROR('Data Sheet'!K29,0)</f>
        <v>5891.4</v>
      </c>
      <c r="M33" s="41">
        <f>IFERROR(SUM('Data Sheet'!H48:K48),0)</f>
        <v>5891.4</v>
      </c>
    </row>
    <row r="34" spans="2:13" x14ac:dyDescent="0.3">
      <c r="B34" s="18" t="s">
        <v>72</v>
      </c>
      <c r="C34" s="17">
        <f>C33/C30</f>
        <v>0.35834748660034882</v>
      </c>
      <c r="D34" s="17">
        <f t="shared" ref="D34:M34" si="11">D33/D30</f>
        <v>0.27036360353659922</v>
      </c>
      <c r="E34" s="17">
        <f t="shared" si="11"/>
        <v>0.31440905110263884</v>
      </c>
      <c r="F34" s="17">
        <f t="shared" si="11"/>
        <v>0.35048853590898382</v>
      </c>
      <c r="G34" s="17">
        <f t="shared" si="11"/>
        <v>0.29477734969580105</v>
      </c>
      <c r="H34" s="17">
        <f t="shared" si="11"/>
        <v>0.45544118231523428</v>
      </c>
      <c r="I34" s="17">
        <f t="shared" si="11"/>
        <v>0.3465447087452263</v>
      </c>
      <c r="J34" s="17">
        <f t="shared" si="11"/>
        <v>0.31537881031035203</v>
      </c>
      <c r="K34" s="17">
        <f t="shared" si="11"/>
        <v>0.31788170104384494</v>
      </c>
      <c r="L34" s="17">
        <f t="shared" si="11"/>
        <v>0.29036879903121648</v>
      </c>
      <c r="M34" s="17">
        <f t="shared" si="11"/>
        <v>0.24986014973626719</v>
      </c>
    </row>
    <row r="36" spans="2:13" x14ac:dyDescent="0.3">
      <c r="B36" s="22" t="s">
        <v>73</v>
      </c>
      <c r="C36" s="41">
        <f>IFERROR('Data Sheet'!B30,0)</f>
        <v>4280.68</v>
      </c>
      <c r="D36" s="41">
        <f>IFERROR('Data Sheet'!C30,0)</f>
        <v>6041.23</v>
      </c>
      <c r="E36" s="41">
        <f>IFERROR('Data Sheet'!D30,0)</f>
        <v>7369.86</v>
      </c>
      <c r="F36" s="41">
        <f>IFERROR('Data Sheet'!E30,0)</f>
        <v>8905.1299999999992</v>
      </c>
      <c r="G36" s="41">
        <f>IFERROR('Data Sheet'!F30,0)</f>
        <v>9549.0300000000007</v>
      </c>
      <c r="H36" s="41">
        <f>IFERROR('Data Sheet'!G30,0)</f>
        <v>11582.93</v>
      </c>
      <c r="I36" s="41">
        <f>IFERROR('Data Sheet'!H30,0)</f>
        <v>8669.33</v>
      </c>
      <c r="J36" s="41">
        <f>IFERROR('Data Sheet'!I30,0)</f>
        <v>10470.719999999999</v>
      </c>
      <c r="K36" s="41">
        <f>IFERROR('Data Sheet'!J30,0)</f>
        <v>13059.11</v>
      </c>
      <c r="L36" s="41">
        <f>IFERROR('Data Sheet'!K30,0)</f>
        <v>15037.11</v>
      </c>
      <c r="M36" s="41">
        <f>IFERROR(SUM('Data Sheet'!H49:K49),0)</f>
        <v>15037.11</v>
      </c>
    </row>
    <row r="37" spans="2:13" x14ac:dyDescent="0.3">
      <c r="B37" s="18" t="s">
        <v>74</v>
      </c>
      <c r="C37" s="17">
        <f>C36/C9</f>
        <v>4.2331635853867511E-2</v>
      </c>
      <c r="D37" s="17">
        <f t="shared" ref="D37:M37" si="12">D36/D9</f>
        <v>5.526603209662341E-2</v>
      </c>
      <c r="E37" s="17">
        <f t="shared" si="12"/>
        <v>6.1578086674850492E-2</v>
      </c>
      <c r="F37" s="17">
        <f t="shared" si="12"/>
        <v>6.585646281338399E-2</v>
      </c>
      <c r="G37" s="17">
        <f t="shared" si="12"/>
        <v>6.5650567649778946E-2</v>
      </c>
      <c r="H37" s="17">
        <f t="shared" si="12"/>
        <v>8.5181737213451222E-2</v>
      </c>
      <c r="I37" s="17">
        <f t="shared" si="12"/>
        <v>5.5387566274555849E-2</v>
      </c>
      <c r="J37" s="17">
        <f t="shared" si="12"/>
        <v>5.7110723369115525E-2</v>
      </c>
      <c r="K37" s="17">
        <f t="shared" si="12"/>
        <v>5.9060821007692409E-2</v>
      </c>
      <c r="L37" s="17">
        <f t="shared" si="12"/>
        <v>5.8799704146234505E-2</v>
      </c>
      <c r="M37" s="17">
        <f t="shared" si="12"/>
        <v>5.879970184698613E-2</v>
      </c>
    </row>
    <row r="39" spans="2:13" x14ac:dyDescent="0.3">
      <c r="B39" s="22" t="s">
        <v>75</v>
      </c>
      <c r="C39" s="45">
        <f>IFERROR('Data Sheet'!B93,0)</f>
        <v>139.72</v>
      </c>
      <c r="D39" s="45">
        <f>IFERROR('Data Sheet'!C93,0)</f>
        <v>139.94</v>
      </c>
      <c r="E39" s="45">
        <f>IFERROR('Data Sheet'!D93,0)</f>
        <v>140.13999999999999</v>
      </c>
      <c r="F39" s="45">
        <f>IFERROR('Data Sheet'!E93,0)</f>
        <v>140.27000000000001</v>
      </c>
      <c r="G39" s="45">
        <f>IFERROR('Data Sheet'!F93,0)</f>
        <v>140.38999999999999</v>
      </c>
      <c r="H39" s="45">
        <f>IFERROR('Data Sheet'!G93,0)</f>
        <v>140.46</v>
      </c>
      <c r="I39" s="45">
        <f>IFERROR('Data Sheet'!H93,0)</f>
        <v>140.5</v>
      </c>
      <c r="J39" s="45">
        <f>IFERROR('Data Sheet'!I93,0)</f>
        <v>140.55000000000001</v>
      </c>
      <c r="K39" s="45">
        <f>IFERROR('Data Sheet'!J93,0)</f>
        <v>137.47</v>
      </c>
      <c r="L39" s="45">
        <f>IFERROR('Data Sheet'!K93,0)</f>
        <v>137.52000000000001</v>
      </c>
      <c r="M39" s="45">
        <f>IFERROR('Data Sheet'!L93,0)</f>
        <v>0</v>
      </c>
    </row>
    <row r="40" spans="2:13" x14ac:dyDescent="0.3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</row>
    <row r="41" spans="2:13" x14ac:dyDescent="0.3">
      <c r="B41" s="22" t="s">
        <v>76</v>
      </c>
      <c r="C41" s="41">
        <f>IFERROR(C36/C39,0)</f>
        <v>30.637560835957633</v>
      </c>
      <c r="D41" s="41">
        <f t="shared" ref="D41:M41" si="13">IFERROR(D36/D39,0)</f>
        <v>43.170144347577533</v>
      </c>
      <c r="E41" s="41">
        <f t="shared" si="13"/>
        <v>52.589267874982163</v>
      </c>
      <c r="F41" s="41">
        <f t="shared" si="13"/>
        <v>63.485634847080618</v>
      </c>
      <c r="G41" s="41">
        <f t="shared" si="13"/>
        <v>68.017878766293904</v>
      </c>
      <c r="H41" s="41">
        <f t="shared" si="13"/>
        <v>82.464260287626374</v>
      </c>
      <c r="I41" s="41">
        <f t="shared" si="13"/>
        <v>61.703416370106758</v>
      </c>
      <c r="J41" s="41">
        <f t="shared" si="13"/>
        <v>74.498185699039482</v>
      </c>
      <c r="K41" s="41">
        <f t="shared" si="13"/>
        <v>94.996071870226231</v>
      </c>
      <c r="L41" s="41">
        <f t="shared" si="13"/>
        <v>109.34489528795811</v>
      </c>
      <c r="M41" s="41">
        <f t="shared" si="13"/>
        <v>0</v>
      </c>
    </row>
    <row r="42" spans="2:13" x14ac:dyDescent="0.3">
      <c r="B42" s="18" t="s">
        <v>78</v>
      </c>
      <c r="C42" s="19" t="s">
        <v>60</v>
      </c>
      <c r="D42" s="17">
        <f t="shared" ref="D42:L42" si="14">IFERROR(D41/C41-1,0)</f>
        <v>0.40905944108027992</v>
      </c>
      <c r="E42" s="17">
        <f t="shared" si="14"/>
        <v>0.2181860558901092</v>
      </c>
      <c r="F42" s="17">
        <f t="shared" si="14"/>
        <v>0.20719754072260232</v>
      </c>
      <c r="G42" s="17">
        <f t="shared" si="14"/>
        <v>7.1390070054906385E-2</v>
      </c>
      <c r="H42" s="17">
        <f t="shared" si="14"/>
        <v>0.21239094460692498</v>
      </c>
      <c r="I42" s="17">
        <f t="shared" si="14"/>
        <v>-0.25175565566353286</v>
      </c>
      <c r="J42" s="17">
        <f t="shared" si="14"/>
        <v>0.20735917201387499</v>
      </c>
      <c r="K42" s="17">
        <f t="shared" si="14"/>
        <v>0.27514611233614295</v>
      </c>
      <c r="L42" s="17">
        <f t="shared" si="14"/>
        <v>0.15104649208373333</v>
      </c>
      <c r="M42" s="19" t="s">
        <v>79</v>
      </c>
    </row>
    <row r="44" spans="2:13" x14ac:dyDescent="0.3">
      <c r="B44" s="22" t="s">
        <v>77</v>
      </c>
      <c r="C44" s="41">
        <f>IFERROR('Data Sheet'!C31/'Historical FS'!C39,0)</f>
        <v>9.3481963927855727</v>
      </c>
      <c r="D44" s="41">
        <f>IFERROR('Data Sheet'!D31/'Historical FS'!D39,0)</f>
        <v>16.02229526940117</v>
      </c>
      <c r="E44" s="41">
        <f>IFERROR('Data Sheet'!E31/'Historical FS'!E39,0)</f>
        <v>18.017339803054089</v>
      </c>
      <c r="F44" s="41">
        <f>IFERROR('Data Sheet'!F31/'Historical FS'!F39,0)</f>
        <v>18.015398873600912</v>
      </c>
      <c r="G44" s="41">
        <f>IFERROR('Data Sheet'!G31/'Historical FS'!G39,0)</f>
        <v>36.016667853835749</v>
      </c>
      <c r="H44" s="41">
        <f>IFERROR('Data Sheet'!H31/'Historical FS'!H39,0)</f>
        <v>22.007048269970099</v>
      </c>
      <c r="I44" s="41">
        <f>IFERROR('Data Sheet'!I31/'Historical FS'!I39,0)</f>
        <v>24.008540925266903</v>
      </c>
      <c r="J44" s="41">
        <f>IFERROR('Data Sheet'!J31/'Historical FS'!J39,0)</f>
        <v>33.253717538242618</v>
      </c>
      <c r="K44" s="41">
        <f>IFERROR('Data Sheet'!K31/'Historical FS'!K39,0)</f>
        <v>34.012366334472979</v>
      </c>
      <c r="L44" s="41">
        <f>IFERROR('Data Sheet'!L31/'Historical FS'!L39,0)</f>
        <v>0</v>
      </c>
      <c r="M44" s="41">
        <f>IFERROR('Data Sheet'!M31/'Historical FS'!M39,0)</f>
        <v>0</v>
      </c>
    </row>
    <row r="45" spans="2:13" x14ac:dyDescent="0.3">
      <c r="B45" s="16" t="s">
        <v>80</v>
      </c>
      <c r="C45" s="17">
        <f>IFERROR(C44/C39,0)</f>
        <v>6.6906644666372556E-2</v>
      </c>
      <c r="D45" s="17">
        <f t="shared" ref="D45:L45" si="15">IFERROR(D44/D39,0)</f>
        <v>0.11449403508218643</v>
      </c>
      <c r="E45" s="17">
        <f t="shared" si="15"/>
        <v>0.12856671758993929</v>
      </c>
      <c r="F45" s="17">
        <f t="shared" si="15"/>
        <v>0.12843372690953811</v>
      </c>
      <c r="G45" s="17">
        <f t="shared" si="15"/>
        <v>0.25654724591378125</v>
      </c>
      <c r="H45" s="17">
        <f t="shared" si="15"/>
        <v>0.15667840146639683</v>
      </c>
      <c r="I45" s="17">
        <f t="shared" si="15"/>
        <v>0.17087929484175732</v>
      </c>
      <c r="J45" s="17">
        <f t="shared" si="15"/>
        <v>0.23659706537348002</v>
      </c>
      <c r="K45" s="17">
        <f t="shared" si="15"/>
        <v>0.24741664606439936</v>
      </c>
      <c r="L45" s="17">
        <f t="shared" si="15"/>
        <v>0</v>
      </c>
      <c r="M45" s="17"/>
    </row>
    <row r="47" spans="2:13" x14ac:dyDescent="0.3">
      <c r="B47" s="22" t="s">
        <v>81</v>
      </c>
      <c r="C47" s="15">
        <f>IFERROR(1-C45,0)</f>
        <v>0.93309335533362747</v>
      </c>
      <c r="D47" s="15">
        <f t="shared" ref="D47:L47" si="16">IFERROR(1-D45,0)</f>
        <v>0.88550596491781353</v>
      </c>
      <c r="E47" s="15">
        <f t="shared" si="16"/>
        <v>0.87143328241006068</v>
      </c>
      <c r="F47" s="15">
        <f t="shared" si="16"/>
        <v>0.87156627309046186</v>
      </c>
      <c r="G47" s="15">
        <f t="shared" si="16"/>
        <v>0.7434527540862188</v>
      </c>
      <c r="H47" s="15">
        <f t="shared" si="16"/>
        <v>0.84332159853360311</v>
      </c>
      <c r="I47" s="15">
        <f t="shared" si="16"/>
        <v>0.82912070515824265</v>
      </c>
      <c r="J47" s="15">
        <f t="shared" si="16"/>
        <v>0.76340293462651998</v>
      </c>
      <c r="K47" s="15">
        <f t="shared" si="16"/>
        <v>0.75258335393560061</v>
      </c>
      <c r="L47" s="15">
        <f t="shared" si="16"/>
        <v>1</v>
      </c>
      <c r="M47" s="15"/>
    </row>
    <row r="49" spans="1:13" x14ac:dyDescent="0.3">
      <c r="A49" s="40" t="s">
        <v>59</v>
      </c>
      <c r="B49" s="38" t="s">
        <v>82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1:13" x14ac:dyDescent="0.3">
      <c r="B50" s="3" t="s">
        <v>12</v>
      </c>
      <c r="C50" s="41">
        <f>IFERROR('Data Sheet'!B57,0)</f>
        <v>186.3</v>
      </c>
      <c r="D50" s="41">
        <f>IFERROR('Data Sheet'!C57,0)</f>
        <v>186.59</v>
      </c>
      <c r="E50" s="41">
        <f>IFERROR('Data Sheet'!D57,0)</f>
        <v>280.27</v>
      </c>
      <c r="F50" s="41">
        <f>IFERROR('Data Sheet'!E57,0)</f>
        <v>280.55</v>
      </c>
      <c r="G50" s="41">
        <f>IFERROR('Data Sheet'!F57,0)</f>
        <v>280.77999999999997</v>
      </c>
      <c r="H50" s="41">
        <f>IFERROR('Data Sheet'!G57,0)</f>
        <v>280.91000000000003</v>
      </c>
      <c r="I50" s="41">
        <f>IFERROR('Data Sheet'!H57,0)</f>
        <v>281.01</v>
      </c>
      <c r="J50" s="41">
        <f>IFERROR('Data Sheet'!I57,0)</f>
        <v>281.10000000000002</v>
      </c>
      <c r="K50" s="41">
        <f>IFERROR('Data Sheet'!J57,0)</f>
        <v>274.93</v>
      </c>
      <c r="L50" s="41">
        <f>IFERROR('Data Sheet'!K57,0)</f>
        <v>275.04000000000002</v>
      </c>
    </row>
    <row r="51" spans="1:13" x14ac:dyDescent="0.3">
      <c r="B51" s="3" t="s">
        <v>13</v>
      </c>
      <c r="C51" s="41">
        <f>IFERROR('Data Sheet'!B58,0)</f>
        <v>43994.06</v>
      </c>
      <c r="D51" s="41">
        <f>IFERROR('Data Sheet'!C58,0)</f>
        <v>50029.93</v>
      </c>
      <c r="E51" s="41">
        <f>IFERROR('Data Sheet'!D58,0)</f>
        <v>54623.23</v>
      </c>
      <c r="F51" s="41">
        <f>IFERROR('Data Sheet'!E58,0)</f>
        <v>62094.25</v>
      </c>
      <c r="G51" s="41">
        <f>IFERROR('Data Sheet'!F58,0)</f>
        <v>66442.44</v>
      </c>
      <c r="H51" s="41">
        <f>IFERROR('Data Sheet'!G58,0)</f>
        <v>75587.62</v>
      </c>
      <c r="I51" s="41">
        <f>IFERROR('Data Sheet'!H58,0)</f>
        <v>82126.649999999994</v>
      </c>
      <c r="J51" s="41">
        <f>IFERROR('Data Sheet'!I58,0)</f>
        <v>89044.85</v>
      </c>
      <c r="K51" s="41">
        <f>IFERROR('Data Sheet'!J58,0)</f>
        <v>86084.31</v>
      </c>
      <c r="L51" s="41">
        <f>IFERROR('Data Sheet'!K58,0)</f>
        <v>97380.56</v>
      </c>
    </row>
    <row r="52" spans="1:13" x14ac:dyDescent="0.3">
      <c r="B52" s="3" t="s">
        <v>37</v>
      </c>
      <c r="C52" s="41">
        <f>IFERROR('Data Sheet'!B59,0)</f>
        <v>88135.49</v>
      </c>
      <c r="D52" s="41">
        <f>IFERROR('Data Sheet'!C59,0)</f>
        <v>93953.95</v>
      </c>
      <c r="E52" s="41">
        <f>IFERROR('Data Sheet'!D59,0)</f>
        <v>107524.08</v>
      </c>
      <c r="F52" s="41">
        <f>IFERROR('Data Sheet'!E59,0)</f>
        <v>125555.17</v>
      </c>
      <c r="G52" s="41">
        <f>IFERROR('Data Sheet'!F59,0)</f>
        <v>143173.67000000001</v>
      </c>
      <c r="H52" s="41">
        <f>IFERROR('Data Sheet'!G59,0)</f>
        <v>134629.07999999999</v>
      </c>
      <c r="I52" s="41">
        <f>IFERROR('Data Sheet'!H59,0)</f>
        <v>125508.08</v>
      </c>
      <c r="J52" s="41">
        <f>IFERROR('Data Sheet'!I59,0)</f>
        <v>120650.44</v>
      </c>
      <c r="K52" s="41">
        <f>IFERROR('Data Sheet'!J59,0)</f>
        <v>116322.22</v>
      </c>
      <c r="L52" s="41">
        <f>IFERROR('Data Sheet'!K59,0)</f>
        <v>132408.92000000001</v>
      </c>
    </row>
    <row r="53" spans="1:13" x14ac:dyDescent="0.3">
      <c r="B53" s="3" t="s">
        <v>38</v>
      </c>
      <c r="C53" s="41">
        <f>IFERROR('Data Sheet'!B60,0)</f>
        <v>61774.82</v>
      </c>
      <c r="D53" s="41">
        <f>IFERROR('Data Sheet'!C60,0)</f>
        <v>67400.179999999993</v>
      </c>
      <c r="E53" s="41">
        <f>IFERROR('Data Sheet'!D60,0)</f>
        <v>80811.95</v>
      </c>
      <c r="F53" s="41">
        <f>IFERROR('Data Sheet'!E60,0)</f>
        <v>90106.26</v>
      </c>
      <c r="G53" s="41">
        <f>IFERROR('Data Sheet'!F60,0)</f>
        <v>96790.2</v>
      </c>
      <c r="H53" s="41">
        <f>IFERROR('Data Sheet'!G60,0)</f>
        <v>99597.440000000002</v>
      </c>
      <c r="I53" s="41">
        <f>IFERROR('Data Sheet'!H60,0)</f>
        <v>111112.17</v>
      </c>
      <c r="J53" s="41">
        <f>IFERROR('Data Sheet'!I60,0)</f>
        <v>119745.49</v>
      </c>
      <c r="K53" s="41">
        <f>IFERROR('Data Sheet'!J60,0)</f>
        <v>136920.88</v>
      </c>
      <c r="L53" s="41">
        <f>IFERROR('Data Sheet'!K60,0)</f>
        <v>149049.57</v>
      </c>
    </row>
    <row r="54" spans="1:13" x14ac:dyDescent="0.3">
      <c r="B54" s="1" t="s">
        <v>83</v>
      </c>
      <c r="C54" s="24">
        <f>IFERROR('Data Sheet'!B61,0)</f>
        <v>194090.67</v>
      </c>
      <c r="D54" s="24">
        <f>IFERROR('Data Sheet'!C61,0)</f>
        <v>211570.65</v>
      </c>
      <c r="E54" s="24">
        <f>IFERROR('Data Sheet'!D61,0)</f>
        <v>243239.53</v>
      </c>
      <c r="F54" s="24">
        <f>IFERROR('Data Sheet'!E61,0)</f>
        <v>278036.23</v>
      </c>
      <c r="G54" s="24">
        <f>IFERROR('Data Sheet'!F61,0)</f>
        <v>306687.09000000003</v>
      </c>
      <c r="H54" s="24">
        <f>IFERROR('Data Sheet'!G61,0)</f>
        <v>310095.05</v>
      </c>
      <c r="I54" s="24">
        <f>IFERROR('Data Sheet'!H61,0)</f>
        <v>319027.90999999997</v>
      </c>
      <c r="J54" s="24">
        <f>IFERROR('Data Sheet'!I61,0)</f>
        <v>329721.88</v>
      </c>
      <c r="K54" s="24">
        <f>IFERROR('Data Sheet'!J61,0)</f>
        <v>339602.34</v>
      </c>
      <c r="L54" s="24">
        <f>IFERROR('Data Sheet'!K61,0)</f>
        <v>379114.09</v>
      </c>
      <c r="M54" s="20"/>
    </row>
    <row r="55" spans="1:13" x14ac:dyDescent="0.3">
      <c r="B55" s="1"/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 spans="1:13" x14ac:dyDescent="0.3">
      <c r="B56" s="3" t="s">
        <v>84</v>
      </c>
      <c r="C56" s="41">
        <f>IFERROR('Data Sheet'!B62,0)</f>
        <v>14175.7</v>
      </c>
      <c r="D56" s="41">
        <f>IFERROR('Data Sheet'!C62,0)</f>
        <v>16677.11</v>
      </c>
      <c r="E56" s="41">
        <f>IFERROR('Data Sheet'!D62,0)</f>
        <v>18580.189999999999</v>
      </c>
      <c r="F56" s="41">
        <f>IFERROR('Data Sheet'!E62,0)</f>
        <v>21193.94</v>
      </c>
      <c r="G56" s="41">
        <f>IFERROR('Data Sheet'!F62,0)</f>
        <v>43653.38</v>
      </c>
      <c r="H56" s="41">
        <f>IFERROR('Data Sheet'!G62,0)</f>
        <v>44319.32</v>
      </c>
      <c r="I56" s="41">
        <f>IFERROR('Data Sheet'!H62,0)</f>
        <v>42945.01</v>
      </c>
      <c r="J56" s="41">
        <f>IFERROR('Data Sheet'!I62,0)</f>
        <v>42641</v>
      </c>
      <c r="K56" s="41">
        <f>IFERROR('Data Sheet'!J62,0)</f>
        <v>42963.82</v>
      </c>
      <c r="L56" s="41">
        <f>IFERROR('Data Sheet'!K62,0)</f>
        <v>44055.45</v>
      </c>
    </row>
    <row r="57" spans="1:13" x14ac:dyDescent="0.3">
      <c r="B57" s="3" t="s">
        <v>16</v>
      </c>
      <c r="C57" s="41">
        <f>IFERROR('Data Sheet'!B63,0)</f>
        <v>10974.45</v>
      </c>
      <c r="D57" s="41">
        <f>IFERROR('Data Sheet'!C63,0)</f>
        <v>13297.94</v>
      </c>
      <c r="E57" s="41">
        <f>IFERROR('Data Sheet'!D63,0)</f>
        <v>13443.43</v>
      </c>
      <c r="F57" s="41">
        <f>IFERROR('Data Sheet'!E63,0)</f>
        <v>13919.49</v>
      </c>
      <c r="G57" s="41">
        <f>IFERROR('Data Sheet'!F63,0)</f>
        <v>3311.09</v>
      </c>
      <c r="H57" s="41">
        <f>IFERROR('Data Sheet'!G63,0)</f>
        <v>500.39</v>
      </c>
      <c r="I57" s="41">
        <f>IFERROR('Data Sheet'!H63,0)</f>
        <v>1249.55</v>
      </c>
      <c r="J57" s="41">
        <f>IFERROR('Data Sheet'!I63,0)</f>
        <v>3065.57</v>
      </c>
      <c r="K57" s="41">
        <f>IFERROR('Data Sheet'!J63,0)</f>
        <v>3045.01</v>
      </c>
      <c r="L57" s="41">
        <f>IFERROR('Data Sheet'!K63,0)</f>
        <v>2588.6799999999998</v>
      </c>
    </row>
    <row r="58" spans="1:13" x14ac:dyDescent="0.3">
      <c r="B58" s="3" t="s">
        <v>17</v>
      </c>
      <c r="C58" s="41">
        <f>IFERROR('Data Sheet'!B64,0)</f>
        <v>15465.08</v>
      </c>
      <c r="D58" s="41">
        <f>IFERROR('Data Sheet'!C64,0)</f>
        <v>19753.02</v>
      </c>
      <c r="E58" s="41">
        <f>IFERROR('Data Sheet'!D64,0)</f>
        <v>15311.31</v>
      </c>
      <c r="F58" s="41">
        <f>IFERROR('Data Sheet'!E64,0)</f>
        <v>20907.099999999999</v>
      </c>
      <c r="G58" s="41">
        <f>IFERROR('Data Sheet'!F64,0)</f>
        <v>20047.48</v>
      </c>
      <c r="H58" s="41">
        <f>IFERROR('Data Sheet'!G64,0)</f>
        <v>39626.629999999997</v>
      </c>
      <c r="I58" s="41">
        <f>IFERROR('Data Sheet'!H64,0)</f>
        <v>39395.18</v>
      </c>
      <c r="J58" s="41">
        <f>IFERROR('Data Sheet'!I64,0)</f>
        <v>44798.31</v>
      </c>
      <c r="K58" s="41">
        <f>IFERROR('Data Sheet'!J64,0)</f>
        <v>45647.82</v>
      </c>
      <c r="L58" s="41">
        <f>IFERROR('Data Sheet'!K64,0)</f>
        <v>54805.27</v>
      </c>
    </row>
    <row r="59" spans="1:13" x14ac:dyDescent="0.3">
      <c r="B59" s="3" t="s">
        <v>39</v>
      </c>
      <c r="C59" s="41">
        <f>IFERROR('Data Sheet'!B65-SUM('Data Sheet'!B67:B69),0)</f>
        <v>117206.34</v>
      </c>
      <c r="D59" s="41">
        <f>IFERROR('Data Sheet'!C65-SUM('Data Sheet'!C67:C69),0)</f>
        <v>123707.90999999999</v>
      </c>
      <c r="E59" s="41">
        <f>IFERROR('Data Sheet'!D65-SUM('Data Sheet'!D67:D69),0)</f>
        <v>149907.09</v>
      </c>
      <c r="F59" s="41">
        <f>IFERROR('Data Sheet'!E65-SUM('Data Sheet'!E67:E69),0)</f>
        <v>167029.66</v>
      </c>
      <c r="G59" s="41">
        <f>IFERROR('Data Sheet'!F65-SUM('Data Sheet'!F67:F69),0)</f>
        <v>178079.19</v>
      </c>
      <c r="H59" s="41">
        <f>IFERROR('Data Sheet'!G65-SUM('Data Sheet'!G67:G69),0)</f>
        <v>161356.88999999998</v>
      </c>
      <c r="I59" s="41">
        <f>IFERROR('Data Sheet'!H65-SUM('Data Sheet'!H67:H69),0)</f>
        <v>164402.36000000002</v>
      </c>
      <c r="J59" s="41">
        <f>IFERROR('Data Sheet'!I65-SUM('Data Sheet'!I67:I69),0)</f>
        <v>165137.09</v>
      </c>
      <c r="K59" s="41">
        <f>IFERROR('Data Sheet'!J65-SUM('Data Sheet'!J67:J69),0)</f>
        <v>177196.16</v>
      </c>
      <c r="L59" s="41">
        <f>IFERROR('Data Sheet'!K65-SUM('Data Sheet'!K67:K69),0)</f>
        <v>193315.12</v>
      </c>
    </row>
    <row r="60" spans="1:13" x14ac:dyDescent="0.3">
      <c r="B60" s="1" t="s">
        <v>85</v>
      </c>
      <c r="C60" s="24">
        <f>IFERROR(SUM(C56:C59),0)</f>
        <v>157821.57</v>
      </c>
      <c r="D60" s="24">
        <f t="shared" ref="D60:L60" si="17">IFERROR(SUM(D56:D59),0)</f>
        <v>173435.97999999998</v>
      </c>
      <c r="E60" s="24">
        <f t="shared" si="17"/>
        <v>197242.02</v>
      </c>
      <c r="F60" s="24">
        <f t="shared" si="17"/>
        <v>223050.19</v>
      </c>
      <c r="G60" s="24">
        <f t="shared" si="17"/>
        <v>245091.14</v>
      </c>
      <c r="H60" s="24">
        <f t="shared" si="17"/>
        <v>245803.22999999998</v>
      </c>
      <c r="I60" s="24">
        <f t="shared" si="17"/>
        <v>247992.10000000003</v>
      </c>
      <c r="J60" s="24">
        <f t="shared" si="17"/>
        <v>255641.97</v>
      </c>
      <c r="K60" s="24">
        <f t="shared" si="17"/>
        <v>268852.81</v>
      </c>
      <c r="L60" s="24">
        <f t="shared" si="17"/>
        <v>294764.52</v>
      </c>
      <c r="M60" s="20"/>
    </row>
    <row r="61" spans="1:13" x14ac:dyDescent="0.3">
      <c r="B61" s="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spans="1:13" x14ac:dyDescent="0.3">
      <c r="B62" s="3" t="s">
        <v>44</v>
      </c>
      <c r="C62" s="41">
        <f>IFERROR('Data Sheet'!B67,0)</f>
        <v>26024.98</v>
      </c>
      <c r="D62" s="41">
        <f>IFERROR('Data Sheet'!C67,0)</f>
        <v>28688.97</v>
      </c>
      <c r="E62" s="41">
        <f>IFERROR('Data Sheet'!D67,0)</f>
        <v>33116.980000000003</v>
      </c>
      <c r="F62" s="41">
        <f>IFERROR('Data Sheet'!E67,0)</f>
        <v>36845.870000000003</v>
      </c>
      <c r="G62" s="41">
        <f>IFERROR('Data Sheet'!F67,0)</f>
        <v>40731.519999999997</v>
      </c>
      <c r="H62" s="41">
        <f>IFERROR('Data Sheet'!G67,0)</f>
        <v>42229.78</v>
      </c>
      <c r="I62" s="41">
        <f>IFERROR('Data Sheet'!H67,0)</f>
        <v>46139.32</v>
      </c>
      <c r="J62" s="41">
        <f>IFERROR('Data Sheet'!I67,0)</f>
        <v>44731.53</v>
      </c>
      <c r="K62" s="41">
        <f>IFERROR('Data Sheet'!J67,0)</f>
        <v>48770.95</v>
      </c>
      <c r="L62" s="41">
        <f>IFERROR('Data Sheet'!K67,0)</f>
        <v>53713.68</v>
      </c>
    </row>
    <row r="63" spans="1:13" x14ac:dyDescent="0.3">
      <c r="B63" s="3" t="s">
        <v>31</v>
      </c>
      <c r="C63" s="41">
        <f>IFERROR('Data Sheet'!B68,0)</f>
        <v>4854.21</v>
      </c>
      <c r="D63" s="41">
        <f>IFERROR('Data Sheet'!C68,0)</f>
        <v>4139.74</v>
      </c>
      <c r="E63" s="41">
        <f>IFERROR('Data Sheet'!D68,0)</f>
        <v>4847.8</v>
      </c>
      <c r="F63" s="41">
        <f>IFERROR('Data Sheet'!E68,0)</f>
        <v>6413.93</v>
      </c>
      <c r="G63" s="41">
        <f>IFERROR('Data Sheet'!F68,0)</f>
        <v>5746.65</v>
      </c>
      <c r="H63" s="41">
        <f>IFERROR('Data Sheet'!G68,0)</f>
        <v>5820.54</v>
      </c>
      <c r="I63" s="41">
        <f>IFERROR('Data Sheet'!H68,0)</f>
        <v>5943.32</v>
      </c>
      <c r="J63" s="41">
        <f>IFERROR('Data Sheet'!I68,0)</f>
        <v>6828.78</v>
      </c>
      <c r="K63" s="41">
        <f>IFERROR('Data Sheet'!J68,0)</f>
        <v>6620.19</v>
      </c>
      <c r="L63" s="41">
        <f>IFERROR('Data Sheet'!K68,0)</f>
        <v>7670.55</v>
      </c>
    </row>
    <row r="64" spans="1:13" x14ac:dyDescent="0.3">
      <c r="B64" s="3" t="s">
        <v>53</v>
      </c>
      <c r="C64" s="41">
        <f>IFERROR('Data Sheet'!B69,0)</f>
        <v>5389.91</v>
      </c>
      <c r="D64" s="41">
        <f>IFERROR('Data Sheet'!C69,0)</f>
        <v>5305.96</v>
      </c>
      <c r="E64" s="41">
        <f>IFERROR('Data Sheet'!D69,0)</f>
        <v>8032.73</v>
      </c>
      <c r="F64" s="41">
        <f>IFERROR('Data Sheet'!E69,0)</f>
        <v>11726.24</v>
      </c>
      <c r="G64" s="41">
        <f>IFERROR('Data Sheet'!F69,0)</f>
        <v>15117.78</v>
      </c>
      <c r="H64" s="41">
        <f>IFERROR('Data Sheet'!G69,0)</f>
        <v>16241.5</v>
      </c>
      <c r="I64" s="41">
        <f>IFERROR('Data Sheet'!H69,0)</f>
        <v>18953.169999999998</v>
      </c>
      <c r="J64" s="41">
        <f>IFERROR('Data Sheet'!I69,0)</f>
        <v>22519.599999999999</v>
      </c>
      <c r="K64" s="41">
        <f>IFERROR('Data Sheet'!J69,0)</f>
        <v>15358.39</v>
      </c>
      <c r="L64" s="41">
        <f>IFERROR('Data Sheet'!K69,0)</f>
        <v>22965.34</v>
      </c>
    </row>
    <row r="65" spans="1:13" x14ac:dyDescent="0.3">
      <c r="B65" s="20" t="s">
        <v>86</v>
      </c>
      <c r="C65" s="24">
        <f>IFERROR(SUM(C62:C64),0)</f>
        <v>36269.1</v>
      </c>
      <c r="D65" s="24">
        <f t="shared" ref="D65:L65" si="18">IFERROR(SUM(D62:D64),0)</f>
        <v>38134.67</v>
      </c>
      <c r="E65" s="24">
        <f t="shared" si="18"/>
        <v>45997.510000000009</v>
      </c>
      <c r="F65" s="24">
        <f t="shared" si="18"/>
        <v>54986.04</v>
      </c>
      <c r="G65" s="24">
        <f t="shared" si="18"/>
        <v>61595.95</v>
      </c>
      <c r="H65" s="24">
        <f t="shared" si="18"/>
        <v>64291.82</v>
      </c>
      <c r="I65" s="24">
        <f t="shared" si="18"/>
        <v>71035.81</v>
      </c>
      <c r="J65" s="24">
        <f t="shared" si="18"/>
        <v>74079.91</v>
      </c>
      <c r="K65" s="24">
        <f t="shared" si="18"/>
        <v>70749.53</v>
      </c>
      <c r="L65" s="24">
        <f t="shared" si="18"/>
        <v>84349.57</v>
      </c>
      <c r="M65" s="20"/>
    </row>
    <row r="66" spans="1:13" x14ac:dyDescent="0.3">
      <c r="B66" s="20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spans="1:13" x14ac:dyDescent="0.3">
      <c r="B67" s="21" t="s">
        <v>87</v>
      </c>
      <c r="C67" s="24">
        <f>IFERROR(SUM(C60,C65),0)</f>
        <v>194090.67</v>
      </c>
      <c r="D67" s="24">
        <f t="shared" ref="D67:L67" si="19">IFERROR(SUM(D60,D65),0)</f>
        <v>211570.64999999997</v>
      </c>
      <c r="E67" s="24">
        <f t="shared" si="19"/>
        <v>243239.53</v>
      </c>
      <c r="F67" s="24">
        <f t="shared" si="19"/>
        <v>278036.23</v>
      </c>
      <c r="G67" s="24">
        <f t="shared" si="19"/>
        <v>306687.09000000003</v>
      </c>
      <c r="H67" s="24">
        <f t="shared" si="19"/>
        <v>310095.05</v>
      </c>
      <c r="I67" s="24">
        <f t="shared" si="19"/>
        <v>319027.91000000003</v>
      </c>
      <c r="J67" s="24">
        <f t="shared" si="19"/>
        <v>329721.88</v>
      </c>
      <c r="K67" s="24">
        <f t="shared" si="19"/>
        <v>339602.33999999997</v>
      </c>
      <c r="L67" s="24">
        <f t="shared" si="19"/>
        <v>379114.09</v>
      </c>
      <c r="M67" s="20"/>
    </row>
    <row r="69" spans="1:13" x14ac:dyDescent="0.3">
      <c r="B69" s="23" t="s">
        <v>88</v>
      </c>
      <c r="C69" s="23" t="b">
        <f>C67=C54</f>
        <v>1</v>
      </c>
      <c r="D69" s="23" t="b">
        <f t="shared" ref="D69:L69" si="20">D67=D54</f>
        <v>1</v>
      </c>
      <c r="E69" s="23" t="b">
        <f t="shared" si="20"/>
        <v>1</v>
      </c>
      <c r="F69" s="23" t="b">
        <f t="shared" si="20"/>
        <v>1</v>
      </c>
      <c r="G69" s="23" t="b">
        <f t="shared" si="20"/>
        <v>1</v>
      </c>
      <c r="H69" s="23" t="b">
        <f t="shared" si="20"/>
        <v>1</v>
      </c>
      <c r="I69" s="23" t="b">
        <f t="shared" si="20"/>
        <v>1</v>
      </c>
      <c r="J69" s="23" t="b">
        <f t="shared" si="20"/>
        <v>1</v>
      </c>
      <c r="K69" s="23" t="b">
        <f t="shared" si="20"/>
        <v>1</v>
      </c>
      <c r="L69" s="23" t="b">
        <f t="shared" si="20"/>
        <v>1</v>
      </c>
      <c r="M69" s="23"/>
    </row>
    <row r="71" spans="1:13" x14ac:dyDescent="0.3">
      <c r="A71" s="40" t="s">
        <v>59</v>
      </c>
      <c r="B71" s="38" t="s">
        <v>114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</row>
    <row r="72" spans="1:13" ht="15" thickBot="1" x14ac:dyDescent="0.35">
      <c r="B72" s="20" t="s">
        <v>115</v>
      </c>
    </row>
    <row r="73" spans="1:13" x14ac:dyDescent="0.3">
      <c r="B73" s="43" t="s">
        <v>90</v>
      </c>
      <c r="C73" s="41">
        <f>IFERROR('Cash Flow'!B5,0)</f>
        <v>893</v>
      </c>
      <c r="D73" s="41">
        <f>IFERROR('Cash Flow'!C5,0)</f>
        <v>1063</v>
      </c>
      <c r="E73" s="41">
        <f>IFERROR('Cash Flow'!D5,0)</f>
        <v>1123</v>
      </c>
      <c r="F73" s="41">
        <f>IFERROR('Cash Flow'!E5,0)</f>
        <v>1075</v>
      </c>
      <c r="G73" s="41">
        <f>IFERROR('Cash Flow'!F5,0)</f>
        <v>1304</v>
      </c>
      <c r="H73" s="41">
        <f>IFERROR('Cash Flow'!G5,0)</f>
        <v>1278</v>
      </c>
      <c r="I73" s="41">
        <f>IFERROR('Cash Flow'!H5,0)</f>
        <v>928</v>
      </c>
      <c r="J73" s="41">
        <f>IFERROR('Cash Flow'!I5,0)</f>
        <v>854</v>
      </c>
      <c r="K73" s="41">
        <f>IFERROR('Cash Flow'!J5,0)</f>
        <v>1353</v>
      </c>
      <c r="L73" s="41">
        <f>IFERROR('Cash Flow'!K5,0)</f>
        <v>1786</v>
      </c>
    </row>
    <row r="74" spans="1:13" x14ac:dyDescent="0.3">
      <c r="B74" s="44" t="s">
        <v>44</v>
      </c>
      <c r="C74" s="41">
        <f>IFERROR('Cash Flow'!B6,0)</f>
        <v>-967</v>
      </c>
      <c r="D74" s="41">
        <f>IFERROR('Cash Flow'!C6,0)</f>
        <v>254</v>
      </c>
      <c r="E74" s="41">
        <f>IFERROR('Cash Flow'!D6,0)</f>
        <v>-895</v>
      </c>
      <c r="F74" s="41">
        <f>IFERROR('Cash Flow'!E6,0)</f>
        <v>-80</v>
      </c>
      <c r="G74" s="41">
        <f>IFERROR('Cash Flow'!F6,0)</f>
        <v>-476</v>
      </c>
      <c r="H74" s="41">
        <f>IFERROR('Cash Flow'!G6,0)</f>
        <v>-324</v>
      </c>
      <c r="I74" s="41">
        <f>IFERROR('Cash Flow'!H6,0)</f>
        <v>8</v>
      </c>
      <c r="J74" s="41">
        <f>IFERROR('Cash Flow'!I6,0)</f>
        <v>-1195</v>
      </c>
      <c r="K74" s="41">
        <f>IFERROR('Cash Flow'!J6,0)</f>
        <v>145</v>
      </c>
      <c r="L74" s="41">
        <f>IFERROR('Cash Flow'!K6,0)</f>
        <v>-993</v>
      </c>
    </row>
    <row r="75" spans="1:13" x14ac:dyDescent="0.3">
      <c r="B75" s="44" t="s">
        <v>31</v>
      </c>
      <c r="C75" s="41">
        <f>IFERROR('Cash Flow'!B7,0)</f>
        <v>30</v>
      </c>
      <c r="D75" s="41">
        <f>IFERROR('Cash Flow'!C7,0)</f>
        <v>-35</v>
      </c>
      <c r="E75" s="41">
        <f>IFERROR('Cash Flow'!D7,0)</f>
        <v>-233</v>
      </c>
      <c r="F75" s="41">
        <f>IFERROR('Cash Flow'!E7,0)</f>
        <v>-14</v>
      </c>
      <c r="G75" s="41">
        <f>IFERROR('Cash Flow'!F7,0)</f>
        <v>-135</v>
      </c>
      <c r="H75" s="41">
        <f>IFERROR('Cash Flow'!G7,0)</f>
        <v>-66</v>
      </c>
      <c r="I75" s="41">
        <f>IFERROR('Cash Flow'!H7,0)</f>
        <v>-213</v>
      </c>
      <c r="J75" s="41">
        <f>IFERROR('Cash Flow'!I7,0)</f>
        <v>-47</v>
      </c>
      <c r="K75" s="41">
        <f>IFERROR('Cash Flow'!J7,0)</f>
        <v>-72</v>
      </c>
      <c r="L75" s="41">
        <f>IFERROR('Cash Flow'!K7,0)</f>
        <v>73</v>
      </c>
    </row>
    <row r="76" spans="1:13" x14ac:dyDescent="0.3">
      <c r="B76" s="44" t="s">
        <v>91</v>
      </c>
      <c r="C76" s="41">
        <f>IFERROR('Cash Flow'!B8,0)</f>
        <v>-134</v>
      </c>
      <c r="D76" s="41">
        <f>IFERROR('Cash Flow'!C8,0)</f>
        <v>351</v>
      </c>
      <c r="E76" s="41">
        <f>IFERROR('Cash Flow'!D8,0)</f>
        <v>1481</v>
      </c>
      <c r="F76" s="41">
        <f>IFERROR('Cash Flow'!E8,0)</f>
        <v>165</v>
      </c>
      <c r="G76" s="41">
        <f>IFERROR('Cash Flow'!F8,0)</f>
        <v>157</v>
      </c>
      <c r="H76" s="41">
        <f>IFERROR('Cash Flow'!G8,0)</f>
        <v>1171</v>
      </c>
      <c r="I76" s="41">
        <f>IFERROR('Cash Flow'!H8,0)</f>
        <v>692</v>
      </c>
      <c r="J76" s="41">
        <f>IFERROR('Cash Flow'!I8,0)</f>
        <v>1515</v>
      </c>
      <c r="K76" s="41">
        <f>IFERROR('Cash Flow'!J8,0)</f>
        <v>808</v>
      </c>
      <c r="L76" s="41">
        <f>IFERROR('Cash Flow'!K8,0)</f>
        <v>1191</v>
      </c>
    </row>
    <row r="77" spans="1:13" x14ac:dyDescent="0.3">
      <c r="B77" s="44" t="s">
        <v>92</v>
      </c>
      <c r="C77" s="41">
        <f>IFERROR('Cash Flow'!B9,0)</f>
        <v>-30</v>
      </c>
      <c r="D77" s="41">
        <f>IFERROR('Cash Flow'!C9,0)</f>
        <v>73</v>
      </c>
      <c r="E77" s="41">
        <f>IFERROR('Cash Flow'!D9,0)</f>
        <v>3</v>
      </c>
      <c r="F77" s="41">
        <f>IFERROR('Cash Flow'!E9,0)</f>
        <v>27</v>
      </c>
      <c r="G77" s="41">
        <f>IFERROR('Cash Flow'!F9,0)</f>
        <v>-71</v>
      </c>
      <c r="H77" s="41">
        <f>IFERROR('Cash Flow'!G9,0)</f>
        <v>0</v>
      </c>
      <c r="I77" s="41">
        <f>IFERROR('Cash Flow'!H9,0)</f>
        <v>0</v>
      </c>
      <c r="J77" s="41">
        <f>IFERROR('Cash Flow'!I9,0)</f>
        <v>0</v>
      </c>
      <c r="K77" s="41">
        <f>IFERROR('Cash Flow'!J9,0)</f>
        <v>0</v>
      </c>
      <c r="L77" s="41">
        <f>IFERROR('Cash Flow'!K9,0)</f>
        <v>0</v>
      </c>
    </row>
    <row r="78" spans="1:13" x14ac:dyDescent="0.3">
      <c r="B78" s="44" t="s">
        <v>93</v>
      </c>
      <c r="C78" s="41">
        <f>IFERROR('Cash Flow'!B10,0)</f>
        <v>265</v>
      </c>
      <c r="D78" s="41">
        <f>IFERROR('Cash Flow'!C10,0)</f>
        <v>60</v>
      </c>
      <c r="E78" s="41">
        <f>IFERROR('Cash Flow'!D10,0)</f>
        <v>-590</v>
      </c>
      <c r="F78" s="41">
        <f>IFERROR('Cash Flow'!E10,0)</f>
        <v>-677</v>
      </c>
      <c r="G78" s="41">
        <f>IFERROR('Cash Flow'!F10,0)</f>
        <v>-342</v>
      </c>
      <c r="H78" s="41">
        <f>IFERROR('Cash Flow'!G10,0)</f>
        <v>-1011</v>
      </c>
      <c r="I78" s="41">
        <f>IFERROR('Cash Flow'!H10,0)</f>
        <v>-1413</v>
      </c>
      <c r="J78" s="41">
        <f>IFERROR('Cash Flow'!I10,0)</f>
        <v>-299</v>
      </c>
      <c r="K78" s="41">
        <f>IFERROR('Cash Flow'!J10,0)</f>
        <v>-1671</v>
      </c>
      <c r="L78" s="41">
        <f>IFERROR('Cash Flow'!K10,0)</f>
        <v>-1794</v>
      </c>
    </row>
    <row r="79" spans="1:13" x14ac:dyDescent="0.3">
      <c r="A79" s="22" t="str">
        <f>'Cash Flow'!A11</f>
        <v>Working capital changes</v>
      </c>
      <c r="B79" s="44"/>
      <c r="C79" s="41"/>
      <c r="D79" s="41"/>
      <c r="E79" s="41"/>
      <c r="F79" s="41"/>
      <c r="G79" s="41"/>
      <c r="H79" s="41">
        <f>'Cash Flow'!G11</f>
        <v>-230</v>
      </c>
      <c r="I79" s="41">
        <f>'Cash Flow'!H11</f>
        <v>-925</v>
      </c>
      <c r="J79" s="41">
        <f>'Cash Flow'!I11</f>
        <v>-25</v>
      </c>
      <c r="K79" s="41">
        <f>'Cash Flow'!J11</f>
        <v>-790</v>
      </c>
      <c r="L79" s="41">
        <f>'Cash Flow'!K11</f>
        <v>-1524</v>
      </c>
    </row>
    <row r="80" spans="1:13" x14ac:dyDescent="0.3">
      <c r="B80" s="44" t="s">
        <v>95</v>
      </c>
      <c r="C80" s="41">
        <f>IFERROR('Cash Flow'!B12,0)</f>
        <v>-133</v>
      </c>
      <c r="D80" s="41">
        <f>IFERROR('Cash Flow'!C12,0)</f>
        <v>-104</v>
      </c>
      <c r="E80" s="41">
        <f>IFERROR('Cash Flow'!D12,0)</f>
        <v>-230</v>
      </c>
      <c r="F80" s="41">
        <f>IFERROR('Cash Flow'!E12,0)</f>
        <v>-298</v>
      </c>
      <c r="G80" s="41">
        <f>IFERROR('Cash Flow'!F12,0)</f>
        <v>-349</v>
      </c>
      <c r="H80" s="41">
        <f>IFERROR('Cash Flow'!G12,0)</f>
        <v>-209</v>
      </c>
      <c r="I80" s="41">
        <f>IFERROR('Cash Flow'!H12,0)</f>
        <v>-286</v>
      </c>
      <c r="J80" s="41">
        <f>IFERROR('Cash Flow'!I12,0)</f>
        <v>-215</v>
      </c>
      <c r="K80" s="41">
        <f>IFERROR('Cash Flow'!J12,0)</f>
        <v>-252</v>
      </c>
      <c r="L80" s="41">
        <f>IFERROR('Cash Flow'!K12,0)</f>
        <v>0</v>
      </c>
    </row>
    <row r="81" spans="2:12" x14ac:dyDescent="0.3">
      <c r="B81" s="44" t="s">
        <v>96</v>
      </c>
      <c r="C81" s="41">
        <f>IFERROR('Cash Flow'!B13,0)</f>
        <v>0</v>
      </c>
      <c r="D81" s="41">
        <f>IFERROR('Cash Flow'!C13,0)</f>
        <v>0</v>
      </c>
      <c r="E81" s="41">
        <f>IFERROR('Cash Flow'!D13,0)</f>
        <v>0</v>
      </c>
      <c r="F81" s="41">
        <f>IFERROR('Cash Flow'!E13,0)</f>
        <v>0</v>
      </c>
      <c r="G81" s="41">
        <f>IFERROR('Cash Flow'!F13,0)</f>
        <v>0</v>
      </c>
      <c r="H81" s="41">
        <f>IFERROR('Cash Flow'!G13,0)</f>
        <v>0</v>
      </c>
      <c r="I81" s="41">
        <f>IFERROR('Cash Flow'!H13,0)</f>
        <v>0</v>
      </c>
      <c r="J81" s="41">
        <f>IFERROR('Cash Flow'!I13,0)</f>
        <v>0</v>
      </c>
      <c r="K81" s="41">
        <f>IFERROR('Cash Flow'!J13,0)</f>
        <v>0</v>
      </c>
      <c r="L81" s="41">
        <f>IFERROR('Cash Flow'!K13,0)</f>
        <v>157</v>
      </c>
    </row>
    <row r="82" spans="2:12" x14ac:dyDescent="0.3">
      <c r="B82" s="20" t="s">
        <v>116</v>
      </c>
      <c r="C82" s="24">
        <f>IFERROR(SUM(C73:C81),0)</f>
        <v>-76</v>
      </c>
      <c r="D82" s="24">
        <f t="shared" ref="D82:L82" si="21">IFERROR(SUM(D73:D81),0)</f>
        <v>1662</v>
      </c>
      <c r="E82" s="24">
        <f t="shared" si="21"/>
        <v>659</v>
      </c>
      <c r="F82" s="24">
        <f t="shared" si="21"/>
        <v>198</v>
      </c>
      <c r="G82" s="24">
        <f t="shared" si="21"/>
        <v>88</v>
      </c>
      <c r="H82" s="24">
        <f t="shared" si="21"/>
        <v>609</v>
      </c>
      <c r="I82" s="24">
        <f t="shared" si="21"/>
        <v>-1209</v>
      </c>
      <c r="J82" s="24">
        <f t="shared" si="21"/>
        <v>588</v>
      </c>
      <c r="K82" s="24">
        <f t="shared" si="21"/>
        <v>-479</v>
      </c>
      <c r="L82" s="24">
        <f t="shared" si="21"/>
        <v>-1104</v>
      </c>
    </row>
    <row r="84" spans="2:12" x14ac:dyDescent="0.3">
      <c r="B84" s="46" t="s">
        <v>117</v>
      </c>
    </row>
    <row r="85" spans="2:12" x14ac:dyDescent="0.3">
      <c r="B85" s="36" t="s">
        <v>98</v>
      </c>
      <c r="C85" s="41">
        <f>IFERROR('Cash Flow'!B15,0)</f>
        <v>-116</v>
      </c>
      <c r="D85" s="41">
        <f>IFERROR('Cash Flow'!C15,0)</f>
        <v>-69</v>
      </c>
      <c r="E85" s="41">
        <f>IFERROR('Cash Flow'!D15,0)</f>
        <v>-137</v>
      </c>
      <c r="F85" s="41">
        <f>IFERROR('Cash Flow'!E15,0)</f>
        <v>-113</v>
      </c>
      <c r="G85" s="41">
        <f>IFERROR('Cash Flow'!F15,0)</f>
        <v>-206</v>
      </c>
      <c r="H85" s="41">
        <f>IFERROR('Cash Flow'!G15,0)</f>
        <v>-180</v>
      </c>
      <c r="I85" s="41">
        <f>IFERROR('Cash Flow'!H15,0)</f>
        <v>-143</v>
      </c>
      <c r="J85" s="41">
        <f>IFERROR('Cash Flow'!I15,0)</f>
        <v>-178</v>
      </c>
      <c r="K85" s="41">
        <f>IFERROR('Cash Flow'!J15,0)</f>
        <v>-237</v>
      </c>
      <c r="L85" s="41">
        <f>IFERROR('Cash Flow'!K15,0)</f>
        <v>-183</v>
      </c>
    </row>
    <row r="86" spans="2:12" x14ac:dyDescent="0.3">
      <c r="B86" s="36" t="s">
        <v>99</v>
      </c>
      <c r="C86" s="41">
        <f>IFERROR('Cash Flow'!B16,0)</f>
        <v>93</v>
      </c>
      <c r="D86" s="41">
        <f>IFERROR('Cash Flow'!C16,0)</f>
        <v>2</v>
      </c>
      <c r="E86" s="41">
        <f>IFERROR('Cash Flow'!D16,0)</f>
        <v>2</v>
      </c>
      <c r="F86" s="41">
        <f>IFERROR('Cash Flow'!E16,0)</f>
        <v>5</v>
      </c>
      <c r="G86" s="41">
        <f>IFERROR('Cash Flow'!F16,0)</f>
        <v>4</v>
      </c>
      <c r="H86" s="41">
        <f>IFERROR('Cash Flow'!G16,0)</f>
        <v>66</v>
      </c>
      <c r="I86" s="41">
        <f>IFERROR('Cash Flow'!H16,0)</f>
        <v>1</v>
      </c>
      <c r="J86" s="41">
        <f>IFERROR('Cash Flow'!I16,0)</f>
        <v>16</v>
      </c>
      <c r="K86" s="41">
        <f>IFERROR('Cash Flow'!J16,0)</f>
        <v>4</v>
      </c>
      <c r="L86" s="41">
        <f>IFERROR('Cash Flow'!K16,0)</f>
        <v>33</v>
      </c>
    </row>
    <row r="87" spans="2:12" x14ac:dyDescent="0.3">
      <c r="B87" s="36" t="s">
        <v>100</v>
      </c>
      <c r="C87" s="41">
        <f>IFERROR('Cash Flow'!B17,0)</f>
        <v>-1</v>
      </c>
      <c r="D87" s="41">
        <f>IFERROR('Cash Flow'!C17,0)</f>
        <v>-105</v>
      </c>
      <c r="E87" s="41">
        <f>IFERROR('Cash Flow'!D17,0)</f>
        <v>-520</v>
      </c>
      <c r="F87" s="41">
        <f>IFERROR('Cash Flow'!E17,0)</f>
        <v>-595</v>
      </c>
      <c r="G87" s="41">
        <f>IFERROR('Cash Flow'!F17,0)</f>
        <v>-546</v>
      </c>
      <c r="H87" s="41">
        <f>IFERROR('Cash Flow'!G17,0)</f>
        <v>0</v>
      </c>
      <c r="I87" s="41">
        <f>IFERROR('Cash Flow'!H17,0)</f>
        <v>-12</v>
      </c>
      <c r="J87" s="41">
        <f>IFERROR('Cash Flow'!I17,0)</f>
        <v>0</v>
      </c>
      <c r="K87" s="41">
        <f>IFERROR('Cash Flow'!J17,0)</f>
        <v>0</v>
      </c>
      <c r="L87" s="41">
        <f>IFERROR('Cash Flow'!K17,0)</f>
        <v>0</v>
      </c>
    </row>
    <row r="88" spans="2:12" x14ac:dyDescent="0.3">
      <c r="B88" s="36" t="s">
        <v>101</v>
      </c>
      <c r="C88" s="41">
        <f>IFERROR('Cash Flow'!B18,0)</f>
        <v>0</v>
      </c>
      <c r="D88" s="41">
        <f>IFERROR('Cash Flow'!C18,0)</f>
        <v>0</v>
      </c>
      <c r="E88" s="41">
        <f>IFERROR('Cash Flow'!D18,0)</f>
        <v>612</v>
      </c>
      <c r="F88" s="41">
        <f>IFERROR('Cash Flow'!E18,0)</f>
        <v>622</v>
      </c>
      <c r="G88" s="41">
        <f>IFERROR('Cash Flow'!F18,0)</f>
        <v>536</v>
      </c>
      <c r="H88" s="41">
        <f>IFERROR('Cash Flow'!G18,0)</f>
        <v>21</v>
      </c>
      <c r="I88" s="41">
        <f>IFERROR('Cash Flow'!H18,0)</f>
        <v>0</v>
      </c>
      <c r="J88" s="41">
        <f>IFERROR('Cash Flow'!I18,0)</f>
        <v>13</v>
      </c>
      <c r="K88" s="41">
        <f>IFERROR('Cash Flow'!J18,0)</f>
        <v>0</v>
      </c>
      <c r="L88" s="41">
        <f>IFERROR('Cash Flow'!K18,0)</f>
        <v>0</v>
      </c>
    </row>
    <row r="89" spans="2:12" x14ac:dyDescent="0.3">
      <c r="B89" s="36" t="s">
        <v>102</v>
      </c>
      <c r="C89" s="41">
        <f>IFERROR('Cash Flow'!B19,0)</f>
        <v>5</v>
      </c>
      <c r="D89" s="41">
        <f>IFERROR('Cash Flow'!C19,0)</f>
        <v>13</v>
      </c>
      <c r="E89" s="41">
        <f>IFERROR('Cash Flow'!D19,0)</f>
        <v>36</v>
      </c>
      <c r="F89" s="41">
        <f>IFERROR('Cash Flow'!E19,0)</f>
        <v>15</v>
      </c>
      <c r="G89" s="41">
        <f>IFERROR('Cash Flow'!F19,0)</f>
        <v>3</v>
      </c>
      <c r="H89" s="41">
        <f>IFERROR('Cash Flow'!G19,0)</f>
        <v>3</v>
      </c>
      <c r="I89" s="41">
        <f>IFERROR('Cash Flow'!H19,0)</f>
        <v>11</v>
      </c>
      <c r="J89" s="41">
        <f>IFERROR('Cash Flow'!I19,0)</f>
        <v>16</v>
      </c>
      <c r="K89" s="41">
        <f>IFERROR('Cash Flow'!J19,0)</f>
        <v>16</v>
      </c>
      <c r="L89" s="41">
        <f>IFERROR('Cash Flow'!K19,0)</f>
        <v>53</v>
      </c>
    </row>
    <row r="90" spans="2:12" x14ac:dyDescent="0.3">
      <c r="B90" s="36" t="s">
        <v>103</v>
      </c>
      <c r="C90" s="41">
        <f>IFERROR('Cash Flow'!B20,0)</f>
        <v>0</v>
      </c>
      <c r="D90" s="41">
        <f>IFERROR('Cash Flow'!C20,0)</f>
        <v>0</v>
      </c>
      <c r="E90" s="41">
        <f>IFERROR('Cash Flow'!D20,0)</f>
        <v>0</v>
      </c>
      <c r="F90" s="41">
        <f>IFERROR('Cash Flow'!E20,0)</f>
        <v>57</v>
      </c>
      <c r="G90" s="41">
        <f>IFERROR('Cash Flow'!F20,0)</f>
        <v>0</v>
      </c>
      <c r="H90" s="41">
        <f>IFERROR('Cash Flow'!G20,0)</f>
        <v>0</v>
      </c>
      <c r="I90" s="41">
        <f>IFERROR('Cash Flow'!H20,0)</f>
        <v>0</v>
      </c>
      <c r="J90" s="41">
        <f>IFERROR('Cash Flow'!I20,0)</f>
        <v>0</v>
      </c>
      <c r="K90" s="41">
        <f>IFERROR('Cash Flow'!J20,0)</f>
        <v>0</v>
      </c>
      <c r="L90" s="41">
        <f>IFERROR('Cash Flow'!K20,0)</f>
        <v>0</v>
      </c>
    </row>
    <row r="91" spans="2:12" x14ac:dyDescent="0.3">
      <c r="B91" s="36" t="s">
        <v>104</v>
      </c>
      <c r="C91" s="41">
        <f>IFERROR('Cash Flow'!B21,0)</f>
        <v>0</v>
      </c>
      <c r="D91" s="41">
        <f>IFERROR('Cash Flow'!C21,0)</f>
        <v>0</v>
      </c>
      <c r="E91" s="41">
        <f>IFERROR('Cash Flow'!D21,0)</f>
        <v>0</v>
      </c>
      <c r="F91" s="41">
        <f>IFERROR('Cash Flow'!E21,0)</f>
        <v>0</v>
      </c>
      <c r="G91" s="41">
        <f>IFERROR('Cash Flow'!F21,0)</f>
        <v>0</v>
      </c>
      <c r="H91" s="41">
        <f>IFERROR('Cash Flow'!G21,0)</f>
        <v>0</v>
      </c>
      <c r="I91" s="41">
        <f>IFERROR('Cash Flow'!H21,0)</f>
        <v>-57</v>
      </c>
      <c r="J91" s="41">
        <f>IFERROR('Cash Flow'!I21,0)</f>
        <v>0</v>
      </c>
      <c r="K91" s="41">
        <f>IFERROR('Cash Flow'!J21,0)</f>
        <v>0</v>
      </c>
      <c r="L91" s="41">
        <f>IFERROR('Cash Flow'!K21,0)</f>
        <v>0</v>
      </c>
    </row>
    <row r="92" spans="2:12" x14ac:dyDescent="0.3">
      <c r="B92" s="36" t="s">
        <v>105</v>
      </c>
      <c r="C92" s="41">
        <f>IFERROR('Cash Flow'!B22,0)</f>
        <v>13</v>
      </c>
      <c r="D92" s="41">
        <f>IFERROR('Cash Flow'!C22,0)</f>
        <v>-23</v>
      </c>
      <c r="E92" s="41">
        <f>IFERROR('Cash Flow'!D22,0)</f>
        <v>5</v>
      </c>
      <c r="F92" s="41">
        <f>IFERROR('Cash Flow'!E22,0)</f>
        <v>-57</v>
      </c>
      <c r="G92" s="41">
        <f>IFERROR('Cash Flow'!F22,0)</f>
        <v>95</v>
      </c>
      <c r="H92" s="41">
        <f>IFERROR('Cash Flow'!G22,0)</f>
        <v>-45</v>
      </c>
      <c r="I92" s="41">
        <f>IFERROR('Cash Flow'!H22,0)</f>
        <v>-5</v>
      </c>
      <c r="J92" s="41">
        <f>IFERROR('Cash Flow'!I22,0)</f>
        <v>-6</v>
      </c>
      <c r="K92" s="41">
        <f>IFERROR('Cash Flow'!J22,0)</f>
        <v>-25</v>
      </c>
      <c r="L92" s="41">
        <f>IFERROR('Cash Flow'!K22,0)</f>
        <v>28</v>
      </c>
    </row>
    <row r="93" spans="2:12" x14ac:dyDescent="0.3">
      <c r="B93" s="20" t="s">
        <v>118</v>
      </c>
      <c r="C93" s="24">
        <f>IFERROR(SUM(C85:C92),0)</f>
        <v>-6</v>
      </c>
      <c r="D93" s="24">
        <f t="shared" ref="D93:L93" si="22">IFERROR(SUM(D85:D92),0)</f>
        <v>-182</v>
      </c>
      <c r="E93" s="24">
        <f t="shared" si="22"/>
        <v>-2</v>
      </c>
      <c r="F93" s="24">
        <f t="shared" si="22"/>
        <v>-66</v>
      </c>
      <c r="G93" s="24">
        <f t="shared" si="22"/>
        <v>-114</v>
      </c>
      <c r="H93" s="24">
        <f t="shared" si="22"/>
        <v>-135</v>
      </c>
      <c r="I93" s="24">
        <f t="shared" si="22"/>
        <v>-205</v>
      </c>
      <c r="J93" s="24">
        <f t="shared" si="22"/>
        <v>-139</v>
      </c>
      <c r="K93" s="24">
        <f t="shared" si="22"/>
        <v>-242</v>
      </c>
      <c r="L93" s="24">
        <f t="shared" si="22"/>
        <v>-69</v>
      </c>
    </row>
    <row r="94" spans="2:12" x14ac:dyDescent="0.3"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spans="2:12" x14ac:dyDescent="0.3">
      <c r="B95" s="20" t="s">
        <v>119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2:12" x14ac:dyDescent="0.3">
      <c r="B96" s="31" t="s">
        <v>107</v>
      </c>
      <c r="C96" s="41">
        <f>IFERROR('Cash Flow'!B24,0)</f>
        <v>0</v>
      </c>
      <c r="D96" s="41">
        <f>IFERROR('Cash Flow'!C24,0)</f>
        <v>0</v>
      </c>
      <c r="E96" s="41">
        <f>IFERROR('Cash Flow'!D24,0)</f>
        <v>0</v>
      </c>
      <c r="F96" s="41">
        <f>IFERROR('Cash Flow'!E24,0)</f>
        <v>0</v>
      </c>
      <c r="G96" s="41">
        <f>IFERROR('Cash Flow'!F24,0)</f>
        <v>0</v>
      </c>
      <c r="H96" s="41">
        <f>IFERROR('Cash Flow'!G24,0)</f>
        <v>0</v>
      </c>
      <c r="I96" s="41">
        <f>IFERROR('Cash Flow'!H24,0)</f>
        <v>0</v>
      </c>
      <c r="J96" s="41">
        <f>IFERROR('Cash Flow'!I24,0)</f>
        <v>0</v>
      </c>
      <c r="K96" s="41">
        <f>IFERROR('Cash Flow'!J24,0)</f>
        <v>0</v>
      </c>
      <c r="L96" s="41">
        <f>IFERROR('Cash Flow'!K24,0)</f>
        <v>870</v>
      </c>
    </row>
    <row r="97" spans="2:12" x14ac:dyDescent="0.3">
      <c r="B97" s="31" t="s">
        <v>108</v>
      </c>
      <c r="C97" s="41">
        <f>IFERROR('Cash Flow'!B25,0)</f>
        <v>571</v>
      </c>
      <c r="D97" s="41">
        <f>IFERROR('Cash Flow'!C25,0)</f>
        <v>476</v>
      </c>
      <c r="E97" s="41">
        <f>IFERROR('Cash Flow'!D25,0)</f>
        <v>195</v>
      </c>
      <c r="F97" s="41">
        <f>IFERROR('Cash Flow'!E25,0)</f>
        <v>337</v>
      </c>
      <c r="G97" s="41">
        <f>IFERROR('Cash Flow'!F25,0)</f>
        <v>785</v>
      </c>
      <c r="H97" s="41">
        <f>IFERROR('Cash Flow'!G25,0)</f>
        <v>470</v>
      </c>
      <c r="I97" s="41">
        <f>IFERROR('Cash Flow'!H25,0)</f>
        <v>914</v>
      </c>
      <c r="J97" s="41">
        <f>IFERROR('Cash Flow'!I25,0)</f>
        <v>382</v>
      </c>
      <c r="K97" s="41">
        <f>IFERROR('Cash Flow'!J25,0)</f>
        <v>1022</v>
      </c>
      <c r="L97" s="41">
        <f>IFERROR('Cash Flow'!K25,0)</f>
        <v>266</v>
      </c>
    </row>
    <row r="98" spans="2:12" x14ac:dyDescent="0.3">
      <c r="B98" s="31" t="s">
        <v>109</v>
      </c>
      <c r="C98" s="41">
        <f>IFERROR('Cash Flow'!B26,0)</f>
        <v>-265</v>
      </c>
      <c r="D98" s="41">
        <f>IFERROR('Cash Flow'!C26,0)</f>
        <v>-1588</v>
      </c>
      <c r="E98" s="41">
        <f>IFERROR('Cash Flow'!D26,0)</f>
        <v>-561</v>
      </c>
      <c r="F98" s="41">
        <f>IFERROR('Cash Flow'!E26,0)</f>
        <v>-104</v>
      </c>
      <c r="G98" s="41">
        <f>IFERROR('Cash Flow'!F26,0)</f>
        <v>-326</v>
      </c>
      <c r="H98" s="41">
        <f>IFERROR('Cash Flow'!G26,0)</f>
        <v>-753</v>
      </c>
      <c r="I98" s="41">
        <f>IFERROR('Cash Flow'!H26,0)</f>
        <v>-16</v>
      </c>
      <c r="J98" s="41">
        <f>IFERROR('Cash Flow'!I26,0)</f>
        <v>-115</v>
      </c>
      <c r="K98" s="41">
        <f>IFERROR('Cash Flow'!J26,0)</f>
        <v>-414</v>
      </c>
      <c r="L98" s="41">
        <f>IFERROR('Cash Flow'!K26,0)</f>
        <v>-353</v>
      </c>
    </row>
    <row r="99" spans="2:12" x14ac:dyDescent="0.3">
      <c r="B99" s="31" t="s">
        <v>110</v>
      </c>
      <c r="C99" s="41">
        <f>IFERROR('Cash Flow'!B27,0)</f>
        <v>-276</v>
      </c>
      <c r="D99" s="41">
        <f>IFERROR('Cash Flow'!C27,0)</f>
        <v>-256</v>
      </c>
      <c r="E99" s="41">
        <f>IFERROR('Cash Flow'!D27,0)</f>
        <v>-221</v>
      </c>
      <c r="F99" s="41">
        <f>IFERROR('Cash Flow'!E27,0)</f>
        <v>-317</v>
      </c>
      <c r="G99" s="41">
        <f>IFERROR('Cash Flow'!F27,0)</f>
        <v>-269</v>
      </c>
      <c r="H99" s="41">
        <f>IFERROR('Cash Flow'!G27,0)</f>
        <v>-350</v>
      </c>
      <c r="I99" s="41">
        <f>IFERROR('Cash Flow'!H27,0)</f>
        <v>-272</v>
      </c>
      <c r="J99" s="41">
        <f>IFERROR('Cash Flow'!I27,0)</f>
        <v>-534</v>
      </c>
      <c r="K99" s="41">
        <f>IFERROR('Cash Flow'!J27,0)</f>
        <v>-649</v>
      </c>
      <c r="L99" s="41">
        <f>IFERROR('Cash Flow'!K27,0)</f>
        <v>-633</v>
      </c>
    </row>
    <row r="100" spans="2:12" x14ac:dyDescent="0.3">
      <c r="B100" s="31" t="s">
        <v>111</v>
      </c>
      <c r="C100" s="41">
        <f>IFERROR('Cash Flow'!B28,0)</f>
        <v>-58</v>
      </c>
      <c r="D100" s="41">
        <f>IFERROR('Cash Flow'!C28,0)</f>
        <v>-1</v>
      </c>
      <c r="E100" s="41">
        <f>IFERROR('Cash Flow'!D28,0)</f>
        <v>-41</v>
      </c>
      <c r="F100" s="41">
        <f>IFERROR('Cash Flow'!E28,0)</f>
        <v>-61</v>
      </c>
      <c r="G100" s="41">
        <f>IFERROR('Cash Flow'!F28,0)</f>
        <v>-156</v>
      </c>
      <c r="H100" s="41">
        <f>IFERROR('Cash Flow'!G28,0)</f>
        <v>0</v>
      </c>
      <c r="I100" s="41">
        <f>IFERROR('Cash Flow'!H28,0)</f>
        <v>-103</v>
      </c>
      <c r="J100" s="41">
        <f>IFERROR('Cash Flow'!I28,0)</f>
        <v>-103</v>
      </c>
      <c r="K100" s="41">
        <f>IFERROR('Cash Flow'!J28,0)</f>
        <v>-77</v>
      </c>
      <c r="L100" s="41">
        <f>IFERROR('Cash Flow'!K28,0)</f>
        <v>-103</v>
      </c>
    </row>
    <row r="101" spans="2:12" x14ac:dyDescent="0.3">
      <c r="B101" s="31" t="s">
        <v>112</v>
      </c>
      <c r="C101" s="41">
        <f>IFERROR('Cash Flow'!B29,0)</f>
        <v>0</v>
      </c>
      <c r="D101" s="41">
        <f>IFERROR('Cash Flow'!C29,0)</f>
        <v>-10</v>
      </c>
      <c r="E101" s="41">
        <f>IFERROR('Cash Flow'!D29,0)</f>
        <v>-11</v>
      </c>
      <c r="F101" s="41">
        <f>IFERROR('Cash Flow'!E29,0)</f>
        <v>-6</v>
      </c>
      <c r="G101" s="41">
        <f>IFERROR('Cash Flow'!F29,0)</f>
        <v>-32</v>
      </c>
      <c r="H101" s="41">
        <f>IFERROR('Cash Flow'!G29,0)</f>
        <v>-26</v>
      </c>
      <c r="I101" s="41">
        <f>IFERROR('Cash Flow'!H29,0)</f>
        <v>-27</v>
      </c>
      <c r="J101" s="41">
        <f>IFERROR('Cash Flow'!I29,0)</f>
        <v>-30</v>
      </c>
      <c r="K101" s="41">
        <f>IFERROR('Cash Flow'!J29,0)</f>
        <v>-27</v>
      </c>
      <c r="L101" s="41">
        <f>IFERROR('Cash Flow'!K29,0)</f>
        <v>-121</v>
      </c>
    </row>
    <row r="102" spans="2:12" x14ac:dyDescent="0.3">
      <c r="B102" s="31" t="s">
        <v>113</v>
      </c>
      <c r="C102" s="41">
        <f>IFERROR('Cash Flow'!B30,0)</f>
        <v>0</v>
      </c>
      <c r="D102" s="41">
        <f>IFERROR('Cash Flow'!C30,0)</f>
        <v>0</v>
      </c>
      <c r="E102" s="41">
        <f>IFERROR('Cash Flow'!D30,0)</f>
        <v>0</v>
      </c>
      <c r="F102" s="41">
        <f>IFERROR('Cash Flow'!E30,0)</f>
        <v>0</v>
      </c>
      <c r="G102" s="41">
        <f>IFERROR('Cash Flow'!F30,0)</f>
        <v>0</v>
      </c>
      <c r="H102" s="41">
        <f>IFERROR('Cash Flow'!G30,0)</f>
        <v>0</v>
      </c>
      <c r="I102" s="41">
        <f>IFERROR('Cash Flow'!H30,0)</f>
        <v>0</v>
      </c>
      <c r="J102" s="41">
        <f>IFERROR('Cash Flow'!I30,0)</f>
        <v>0</v>
      </c>
      <c r="K102" s="41">
        <f>IFERROR('Cash Flow'!J30,0)</f>
        <v>0</v>
      </c>
      <c r="L102" s="41">
        <f>IFERROR('Cash Flow'!K30,0)</f>
        <v>41</v>
      </c>
    </row>
    <row r="103" spans="2:12" x14ac:dyDescent="0.3">
      <c r="B103" s="20" t="s">
        <v>120</v>
      </c>
      <c r="C103" s="24">
        <f>IFERROR(SUM(C96:C102),0)</f>
        <v>-28</v>
      </c>
      <c r="D103" s="24">
        <f t="shared" ref="D103:L103" si="23">IFERROR(SUM(D96:D102),0)</f>
        <v>-1379</v>
      </c>
      <c r="E103" s="24">
        <f t="shared" si="23"/>
        <v>-639</v>
      </c>
      <c r="F103" s="24">
        <f t="shared" si="23"/>
        <v>-151</v>
      </c>
      <c r="G103" s="24">
        <f t="shared" si="23"/>
        <v>2</v>
      </c>
      <c r="H103" s="24">
        <f t="shared" si="23"/>
        <v>-659</v>
      </c>
      <c r="I103" s="24">
        <f t="shared" si="23"/>
        <v>496</v>
      </c>
      <c r="J103" s="24">
        <f t="shared" si="23"/>
        <v>-400</v>
      </c>
      <c r="K103" s="24">
        <f t="shared" si="23"/>
        <v>-145</v>
      </c>
      <c r="L103" s="24">
        <f t="shared" si="23"/>
        <v>-33</v>
      </c>
    </row>
    <row r="104" spans="2:12" x14ac:dyDescent="0.3"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2:12" x14ac:dyDescent="0.3">
      <c r="B105" s="47" t="s">
        <v>121</v>
      </c>
      <c r="C105" s="24">
        <f>IFERROR(C82+C93+C103,0)</f>
        <v>-110</v>
      </c>
      <c r="D105" s="24">
        <f t="shared" ref="D105:L105" si="24">IFERROR(D82+D93+D103,0)</f>
        <v>101</v>
      </c>
      <c r="E105" s="24">
        <f t="shared" si="24"/>
        <v>18</v>
      </c>
      <c r="F105" s="24">
        <f t="shared" si="24"/>
        <v>-19</v>
      </c>
      <c r="G105" s="24">
        <f t="shared" si="24"/>
        <v>-24</v>
      </c>
      <c r="H105" s="24">
        <f t="shared" si="24"/>
        <v>-185</v>
      </c>
      <c r="I105" s="24">
        <f t="shared" si="24"/>
        <v>-918</v>
      </c>
      <c r="J105" s="24">
        <f t="shared" si="24"/>
        <v>49</v>
      </c>
      <c r="K105" s="24">
        <f t="shared" si="24"/>
        <v>-866</v>
      </c>
      <c r="L105" s="24">
        <f t="shared" si="24"/>
        <v>-1206</v>
      </c>
    </row>
  </sheetData>
  <mergeCells count="1">
    <mergeCell ref="B6:M6"/>
  </mergeCells>
  <pageMargins left="0.25" right="0.25" top="0.75" bottom="0.75" header="0.3" footer="0.3"/>
  <pageSetup orientation="portrait" r:id="rId1"/>
  <ignoredErrors>
    <ignoredError sqref="M12 M9 C18:L18 M24 M27 M30 M33 M36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47"/>
  <sheetViews>
    <sheetView showGridLines="0" tabSelected="1" workbookViewId="0">
      <selection activeCell="J27" sqref="J27"/>
    </sheetView>
  </sheetViews>
  <sheetFormatPr defaultRowHeight="14.4" x14ac:dyDescent="0.3"/>
  <cols>
    <col min="1" max="1" width="1.88671875" customWidth="1"/>
    <col min="2" max="2" width="15.44140625" customWidth="1"/>
    <col min="3" max="4" width="8.77734375" customWidth="1"/>
    <col min="5" max="5" width="10" customWidth="1"/>
    <col min="6" max="10" width="8.77734375" customWidth="1"/>
  </cols>
  <sheetData>
    <row r="6" spans="2:12" x14ac:dyDescent="0.3">
      <c r="B6" s="51" t="s">
        <v>123</v>
      </c>
      <c r="C6" s="52"/>
      <c r="D6" s="52"/>
      <c r="E6" s="52"/>
      <c r="F6" s="52"/>
      <c r="G6" s="52"/>
      <c r="H6" s="52"/>
      <c r="I6" s="52"/>
      <c r="J6" s="52"/>
      <c r="K6" s="52"/>
      <c r="L6" s="52"/>
    </row>
    <row r="8" spans="2:12" x14ac:dyDescent="0.3">
      <c r="B8" s="53" t="s">
        <v>124</v>
      </c>
      <c r="J8" s="196">
        <v>0.16619999999999999</v>
      </c>
    </row>
    <row r="10" spans="2:12" x14ac:dyDescent="0.3">
      <c r="B10" s="54" t="s">
        <v>125</v>
      </c>
      <c r="C10" s="55"/>
      <c r="D10" s="55"/>
      <c r="E10" s="55"/>
      <c r="F10" s="55"/>
      <c r="G10" s="55"/>
      <c r="H10" s="55"/>
      <c r="I10" s="55"/>
      <c r="J10" s="55"/>
    </row>
    <row r="11" spans="2:12" x14ac:dyDescent="0.3">
      <c r="B11" s="56" t="s">
        <v>126</v>
      </c>
      <c r="C11" s="57" t="s">
        <v>127</v>
      </c>
      <c r="D11" s="57" t="s">
        <v>128</v>
      </c>
      <c r="E11" s="57" t="s">
        <v>129</v>
      </c>
      <c r="F11" s="57" t="s">
        <v>130</v>
      </c>
      <c r="G11" s="58" t="s">
        <v>131</v>
      </c>
      <c r="H11" s="58" t="s">
        <v>131</v>
      </c>
      <c r="I11" s="58" t="s">
        <v>132</v>
      </c>
      <c r="J11" s="58" t="s">
        <v>133</v>
      </c>
    </row>
    <row r="12" spans="2:12" x14ac:dyDescent="0.3">
      <c r="B12" s="59"/>
      <c r="C12" s="60"/>
      <c r="D12" s="60"/>
      <c r="E12" s="60"/>
      <c r="F12" s="60"/>
      <c r="G12" s="61" t="s">
        <v>134</v>
      </c>
      <c r="H12" s="61" t="s">
        <v>135</v>
      </c>
      <c r="I12" s="61" t="s">
        <v>136</v>
      </c>
      <c r="J12" s="61" t="s">
        <v>137</v>
      </c>
    </row>
    <row r="13" spans="2:12" x14ac:dyDescent="0.3">
      <c r="B13" s="64"/>
      <c r="C13" s="64"/>
      <c r="D13" s="64"/>
      <c r="E13" s="64"/>
      <c r="F13" s="64"/>
      <c r="G13" s="64"/>
      <c r="H13" s="64"/>
      <c r="I13" s="64"/>
      <c r="J13" s="64"/>
    </row>
    <row r="14" spans="2:12" x14ac:dyDescent="0.3">
      <c r="B14" s="66" t="s">
        <v>139</v>
      </c>
      <c r="C14" s="66" t="s">
        <v>138</v>
      </c>
      <c r="D14" s="67">
        <v>132408.92000000001</v>
      </c>
      <c r="E14" s="68">
        <v>504461.18</v>
      </c>
      <c r="F14" s="69">
        <v>0.3</v>
      </c>
      <c r="G14" s="105">
        <v>1.36</v>
      </c>
      <c r="H14" s="104">
        <f>D14/(SUM(D14:E14))</f>
        <v>0.20790569379846852</v>
      </c>
      <c r="I14" s="66">
        <v>0.99299999999999999</v>
      </c>
      <c r="J14" s="65">
        <f>IFERROR(LeveredBeta2/1+(1-TaxRate)*DebtToEquity,0)</f>
        <v>1.9449999999999998</v>
      </c>
    </row>
    <row r="15" spans="2:12" x14ac:dyDescent="0.3">
      <c r="B15" s="66" t="s">
        <v>140</v>
      </c>
      <c r="C15" s="66" t="s">
        <v>138</v>
      </c>
      <c r="D15" s="66">
        <v>5419.35</v>
      </c>
      <c r="E15" s="66">
        <v>82441.69</v>
      </c>
      <c r="F15" s="69">
        <v>0.3</v>
      </c>
      <c r="G15" s="106">
        <v>0.56999999999999995</v>
      </c>
      <c r="H15" s="104">
        <f t="shared" ref="H15:H18" si="0">D15/(SUM(D15:E15))</f>
        <v>6.1680922511274619E-2</v>
      </c>
      <c r="I15" s="66">
        <v>1.78</v>
      </c>
      <c r="J15" s="65">
        <f>IFERROR(LeveredBeta2/1+(1-TaxRate)*DebtToEquity,0)</f>
        <v>2.1789999999999998</v>
      </c>
    </row>
    <row r="16" spans="2:12" x14ac:dyDescent="0.3">
      <c r="B16" s="66" t="s">
        <v>141</v>
      </c>
      <c r="C16" s="66" t="s">
        <v>138</v>
      </c>
      <c r="D16" s="66">
        <v>0.4</v>
      </c>
      <c r="E16" s="66">
        <v>33318</v>
      </c>
      <c r="F16" s="69">
        <v>0.3</v>
      </c>
      <c r="G16" s="106">
        <v>0</v>
      </c>
      <c r="H16" s="104">
        <f t="shared" si="0"/>
        <v>1.2005378409527469E-5</v>
      </c>
      <c r="I16" s="66">
        <v>1.67</v>
      </c>
      <c r="J16" s="65">
        <f>IFERROR(LeveredBeta2/1+(1-TaxRate)*DebtToEquity,0)</f>
        <v>1.67</v>
      </c>
    </row>
    <row r="17" spans="2:10" x14ac:dyDescent="0.3">
      <c r="B17" s="66" t="s">
        <v>142</v>
      </c>
      <c r="C17" s="66" t="s">
        <v>138</v>
      </c>
      <c r="D17" s="66">
        <v>20599.330000000002</v>
      </c>
      <c r="E17" s="66">
        <v>30056.12</v>
      </c>
      <c r="F17" s="69">
        <v>0.3</v>
      </c>
      <c r="G17" s="106">
        <v>1.04</v>
      </c>
      <c r="H17" s="104">
        <f t="shared" si="0"/>
        <v>0.40665574977618407</v>
      </c>
      <c r="I17" s="66">
        <v>1.18</v>
      </c>
      <c r="J17" s="65">
        <f>IFERROR(LeveredBeta2/1+(1-TaxRate)*DebtToEquity,0)</f>
        <v>1.9079999999999999</v>
      </c>
    </row>
    <row r="18" spans="2:10" x14ac:dyDescent="0.3">
      <c r="B18" s="66" t="s">
        <v>143</v>
      </c>
      <c r="C18" s="66" t="s">
        <v>138</v>
      </c>
      <c r="D18" s="66">
        <v>3957.48</v>
      </c>
      <c r="E18" s="70">
        <v>24196.23</v>
      </c>
      <c r="F18" s="69">
        <v>0.3</v>
      </c>
      <c r="G18" s="106">
        <v>0.74</v>
      </c>
      <c r="H18" s="104">
        <f t="shared" si="0"/>
        <v>0.1405669092989876</v>
      </c>
      <c r="I18" s="66">
        <v>0.69899999999999995</v>
      </c>
      <c r="J18" s="65">
        <f>IFERROR(LeveredBeta2/1+(1-TaxRate)*DebtToEquity,0)</f>
        <v>1.2170000000000001</v>
      </c>
    </row>
    <row r="20" spans="2:10" x14ac:dyDescent="0.3">
      <c r="E20" s="71" t="s">
        <v>144</v>
      </c>
      <c r="F20" s="72">
        <f>IFERROR(AVERAGE(F14:F18),0)</f>
        <v>0.3</v>
      </c>
      <c r="G20" s="72">
        <f t="shared" ref="G20:J20" si="1">IFERROR(AVERAGE(G14:G18),0)</f>
        <v>0.74199999999999999</v>
      </c>
      <c r="H20" s="72">
        <f t="shared" si="1"/>
        <v>0.16336425615266487</v>
      </c>
      <c r="I20" s="73">
        <f t="shared" si="1"/>
        <v>1.2643999999999997</v>
      </c>
      <c r="J20" s="73">
        <f t="shared" si="1"/>
        <v>1.7838000000000001</v>
      </c>
    </row>
    <row r="21" spans="2:10" x14ac:dyDescent="0.3">
      <c r="E21" s="74" t="s">
        <v>145</v>
      </c>
      <c r="F21" s="75">
        <f>IFERROR(MEDIAN(F14:F18),0)</f>
        <v>0.3</v>
      </c>
      <c r="G21" s="75">
        <f t="shared" ref="G21:J21" si="2">IFERROR(MEDIAN(G14:G18),0)</f>
        <v>0.74</v>
      </c>
      <c r="H21" s="75">
        <f t="shared" si="2"/>
        <v>0.1405669092989876</v>
      </c>
      <c r="I21" s="76">
        <f t="shared" si="2"/>
        <v>1.18</v>
      </c>
      <c r="J21" s="76">
        <f t="shared" si="2"/>
        <v>1.9079999999999999</v>
      </c>
    </row>
    <row r="24" spans="2:10" x14ac:dyDescent="0.3">
      <c r="B24" s="77" t="s">
        <v>146</v>
      </c>
      <c r="C24" s="78"/>
      <c r="D24" s="79"/>
      <c r="E24" s="79"/>
      <c r="F24" s="80"/>
      <c r="G24" s="74" t="s">
        <v>147</v>
      </c>
      <c r="H24" s="79"/>
      <c r="I24" s="79"/>
      <c r="J24" s="79"/>
    </row>
    <row r="25" spans="2:10" x14ac:dyDescent="0.3">
      <c r="B25" s="55"/>
      <c r="C25" s="55"/>
      <c r="D25" s="80"/>
      <c r="E25" s="80"/>
      <c r="F25" s="80"/>
      <c r="G25" s="80"/>
      <c r="H25" s="80"/>
      <c r="I25" s="80"/>
      <c r="J25" s="80"/>
    </row>
    <row r="26" spans="2:10" x14ac:dyDescent="0.3">
      <c r="B26" s="81" t="s">
        <v>148</v>
      </c>
      <c r="C26" s="81"/>
      <c r="D26" s="81"/>
      <c r="E26" s="82">
        <f>IFERROR('Historical FS'!$L$24/'Historical FS'!$L$52,0)</f>
        <v>7.4955524144445854E-2</v>
      </c>
      <c r="F26" s="80"/>
      <c r="G26" s="83" t="s">
        <v>149</v>
      </c>
      <c r="H26" s="83"/>
      <c r="I26" s="83"/>
      <c r="J26" s="84">
        <v>6.3100000000000003E-2</v>
      </c>
    </row>
    <row r="27" spans="2:10" x14ac:dyDescent="0.3">
      <c r="B27" s="55" t="s">
        <v>150</v>
      </c>
      <c r="C27" s="55"/>
      <c r="D27" s="80"/>
      <c r="E27" s="85">
        <f>F21</f>
        <v>0.3</v>
      </c>
      <c r="F27" s="80"/>
      <c r="G27" s="83" t="s">
        <v>151</v>
      </c>
      <c r="H27" s="83"/>
      <c r="I27" s="83"/>
      <c r="J27" s="86">
        <f>Rm!H8-RiskFreeRate</f>
        <v>0.10314799999999995</v>
      </c>
    </row>
    <row r="28" spans="2:10" x14ac:dyDescent="0.3">
      <c r="B28" s="87" t="s">
        <v>152</v>
      </c>
      <c r="C28" s="87"/>
      <c r="D28" s="87"/>
      <c r="E28" s="88">
        <f>IFERROR(E26*(1-E27),0)</f>
        <v>5.2468866901112098E-2</v>
      </c>
      <c r="F28" s="80"/>
      <c r="G28" s="89" t="s">
        <v>153</v>
      </c>
      <c r="H28" s="89"/>
      <c r="I28" s="89"/>
      <c r="J28" s="90">
        <f>J37</f>
        <v>1.569713362412932</v>
      </c>
    </row>
    <row r="29" spans="2:10" x14ac:dyDescent="0.3">
      <c r="B29" s="55"/>
      <c r="C29" s="55"/>
      <c r="D29" s="80"/>
      <c r="E29" s="80"/>
      <c r="F29" s="80"/>
      <c r="G29" s="91" t="s">
        <v>147</v>
      </c>
      <c r="H29" s="91"/>
      <c r="I29" s="91"/>
      <c r="J29" s="88">
        <f>IFERROR(RiskFreeRate+(EquityRiskPremium*LeveredBeta4),0)</f>
        <v>0.22501279390616902</v>
      </c>
    </row>
    <row r="30" spans="2:10" x14ac:dyDescent="0.3">
      <c r="B30" s="55"/>
      <c r="C30" s="55"/>
      <c r="D30" s="80"/>
      <c r="E30" s="80"/>
      <c r="F30" s="80"/>
      <c r="G30" s="92"/>
      <c r="H30" s="92"/>
      <c r="I30" s="92"/>
      <c r="J30" s="80"/>
    </row>
    <row r="31" spans="2:10" x14ac:dyDescent="0.3">
      <c r="B31" s="55"/>
      <c r="C31" s="55"/>
      <c r="D31" s="80"/>
      <c r="E31" s="80"/>
      <c r="F31" s="80"/>
      <c r="G31" s="92"/>
      <c r="H31" s="92"/>
      <c r="I31" s="92"/>
      <c r="J31" s="80"/>
    </row>
    <row r="32" spans="2:10" x14ac:dyDescent="0.3">
      <c r="B32" s="77" t="s">
        <v>154</v>
      </c>
      <c r="C32" s="78"/>
      <c r="D32" s="79"/>
      <c r="E32" s="79"/>
      <c r="F32" s="80"/>
      <c r="G32" s="74" t="s">
        <v>155</v>
      </c>
      <c r="H32" s="61"/>
      <c r="I32" s="61"/>
      <c r="J32" s="79"/>
    </row>
    <row r="33" spans="2:10" x14ac:dyDescent="0.3">
      <c r="B33" s="55"/>
      <c r="C33" s="55"/>
      <c r="D33" s="80"/>
      <c r="E33" s="80"/>
      <c r="F33" s="80"/>
      <c r="G33" s="92"/>
      <c r="H33" s="92"/>
      <c r="I33" s="92"/>
      <c r="J33" s="80"/>
    </row>
    <row r="34" spans="2:10" x14ac:dyDescent="0.3">
      <c r="B34" s="55"/>
      <c r="C34" s="55"/>
      <c r="D34" s="93" t="s">
        <v>156</v>
      </c>
      <c r="E34" s="93" t="s">
        <v>157</v>
      </c>
      <c r="F34" s="80"/>
      <c r="G34" s="83" t="s">
        <v>158</v>
      </c>
      <c r="H34" s="83"/>
      <c r="I34" s="83"/>
      <c r="J34" s="94">
        <f>J21</f>
        <v>1.9079999999999999</v>
      </c>
    </row>
    <row r="35" spans="2:10" x14ac:dyDescent="0.3">
      <c r="B35" s="55" t="s">
        <v>128</v>
      </c>
      <c r="C35" s="95">
        <f>D14</f>
        <v>132408.92000000001</v>
      </c>
      <c r="D35" s="82">
        <f>IFERROR(C35/$C$36,0)</f>
        <v>0.26247593521467799</v>
      </c>
      <c r="E35" s="96">
        <f>H20</f>
        <v>0.16336425615266487</v>
      </c>
      <c r="F35" s="80"/>
      <c r="G35" s="83" t="s">
        <v>159</v>
      </c>
      <c r="H35" s="83"/>
      <c r="I35" s="83"/>
      <c r="J35" s="86">
        <f>E39</f>
        <v>0.19526329989371663</v>
      </c>
    </row>
    <row r="36" spans="2:10" x14ac:dyDescent="0.3">
      <c r="B36" s="55" t="s">
        <v>160</v>
      </c>
      <c r="C36" s="95">
        <f>E14</f>
        <v>504461.18</v>
      </c>
      <c r="D36" s="82">
        <f>IFERROR(C36/$C$36,0)</f>
        <v>1</v>
      </c>
      <c r="E36" s="85">
        <f>IFERROR(E37-E35,0)</f>
        <v>0.83663574384733508</v>
      </c>
      <c r="F36" s="80"/>
      <c r="G36" s="83" t="s">
        <v>150</v>
      </c>
      <c r="H36" s="83"/>
      <c r="I36" s="83"/>
      <c r="J36" s="85">
        <f>F21</f>
        <v>0.3</v>
      </c>
    </row>
    <row r="37" spans="2:10" x14ac:dyDescent="0.3">
      <c r="B37" s="97" t="s">
        <v>161</v>
      </c>
      <c r="C37" s="97">
        <f>IFERROR(SUM(C35:C36),0)</f>
        <v>636870.1</v>
      </c>
      <c r="D37" s="98">
        <f>C37/$C$37</f>
        <v>1</v>
      </c>
      <c r="E37" s="98">
        <f>D37</f>
        <v>1</v>
      </c>
      <c r="F37" s="80"/>
      <c r="G37" s="83" t="s">
        <v>155</v>
      </c>
      <c r="H37" s="83"/>
      <c r="I37" s="83"/>
      <c r="J37" s="99">
        <f>IFERROR(CompsUnleveredBeta*(1+(1-CompsUnleveredBeta)*TargetDebtToEquity),0)</f>
        <v>1.569713362412932</v>
      </c>
    </row>
    <row r="38" spans="2:10" x14ac:dyDescent="0.3">
      <c r="B38" s="55"/>
      <c r="C38" s="55"/>
      <c r="D38" s="80"/>
      <c r="E38" s="80"/>
      <c r="F38" s="80"/>
      <c r="G38" s="92"/>
      <c r="H38" s="92"/>
      <c r="I38" s="92"/>
      <c r="J38" s="80"/>
    </row>
    <row r="39" spans="2:10" x14ac:dyDescent="0.3">
      <c r="B39" s="55" t="s">
        <v>162</v>
      </c>
      <c r="C39" s="55"/>
      <c r="D39" s="100">
        <f>IFERROR(D35/D36,0)</f>
        <v>0.26247593521467799</v>
      </c>
      <c r="E39" s="100">
        <f>IFERROR(E35/E36,0)</f>
        <v>0.19526329989371663</v>
      </c>
      <c r="F39" s="80"/>
      <c r="G39" s="74" t="s">
        <v>163</v>
      </c>
      <c r="H39" s="74"/>
      <c r="I39" s="74"/>
      <c r="J39" s="101"/>
    </row>
    <row r="40" spans="2:10" x14ac:dyDescent="0.3">
      <c r="B40" s="55"/>
      <c r="C40" s="55"/>
      <c r="D40" s="80"/>
      <c r="E40" s="80"/>
      <c r="F40" s="80"/>
      <c r="G40" s="92"/>
      <c r="H40" s="92"/>
      <c r="I40" s="92"/>
      <c r="J40" s="80"/>
    </row>
    <row r="41" spans="2:10" x14ac:dyDescent="0.3">
      <c r="B41" s="55"/>
      <c r="C41" s="55"/>
      <c r="D41" s="80"/>
      <c r="E41" s="80"/>
      <c r="F41" s="80"/>
      <c r="G41" s="83" t="s">
        <v>147</v>
      </c>
      <c r="H41" s="83"/>
      <c r="I41" s="83"/>
      <c r="J41" s="82">
        <f>J29</f>
        <v>0.22501279390616902</v>
      </c>
    </row>
    <row r="42" spans="2:10" x14ac:dyDescent="0.3">
      <c r="B42" s="55"/>
      <c r="C42" s="55"/>
      <c r="D42" s="80"/>
      <c r="E42" s="80"/>
      <c r="F42" s="80"/>
      <c r="G42" s="83" t="s">
        <v>164</v>
      </c>
      <c r="H42" s="83"/>
      <c r="I42" s="83"/>
      <c r="J42" s="85">
        <f>E36</f>
        <v>0.83663574384733508</v>
      </c>
    </row>
    <row r="43" spans="2:10" x14ac:dyDescent="0.3">
      <c r="B43" s="55"/>
      <c r="C43" s="55"/>
      <c r="D43" s="80"/>
      <c r="E43" s="80"/>
      <c r="F43" s="80"/>
      <c r="G43" s="92"/>
      <c r="H43" s="92"/>
      <c r="I43" s="92"/>
      <c r="J43" s="80"/>
    </row>
    <row r="44" spans="2:10" x14ac:dyDescent="0.3">
      <c r="B44" s="55"/>
      <c r="C44" s="55"/>
      <c r="D44" s="80"/>
      <c r="E44" s="80"/>
      <c r="F44" s="80"/>
      <c r="G44" s="83" t="s">
        <v>165</v>
      </c>
      <c r="H44" s="83"/>
      <c r="I44" s="83"/>
      <c r="J44" s="86">
        <f>E28</f>
        <v>5.2468866901112098E-2</v>
      </c>
    </row>
    <row r="45" spans="2:10" x14ac:dyDescent="0.3">
      <c r="B45" s="55"/>
      <c r="C45" s="55"/>
      <c r="D45" s="80"/>
      <c r="E45" s="80"/>
      <c r="F45" s="80"/>
      <c r="G45" s="83" t="s">
        <v>166</v>
      </c>
      <c r="H45" s="83"/>
      <c r="I45" s="83"/>
      <c r="J45" s="85">
        <f>E35</f>
        <v>0.16336425615266487</v>
      </c>
    </row>
    <row r="46" spans="2:10" x14ac:dyDescent="0.3">
      <c r="B46" s="55"/>
      <c r="C46" s="55"/>
      <c r="D46" s="80"/>
      <c r="E46" s="80"/>
      <c r="F46" s="80"/>
      <c r="G46" s="92"/>
      <c r="H46" s="92"/>
      <c r="I46" s="92"/>
      <c r="J46" s="80"/>
    </row>
    <row r="47" spans="2:10" x14ac:dyDescent="0.3">
      <c r="B47" s="55"/>
      <c r="C47" s="55"/>
      <c r="D47" s="80"/>
      <c r="E47" s="80"/>
      <c r="F47" s="80"/>
      <c r="G47" s="102" t="s">
        <v>167</v>
      </c>
      <c r="H47" s="102"/>
      <c r="I47" s="102"/>
      <c r="J47" s="103">
        <f>IFERROR((CostOfEquity*EquityWeight)+(CostOfDebt*DebtWeight),0)</f>
        <v>0.19682528361732818</v>
      </c>
    </row>
  </sheetData>
  <mergeCells count="19">
    <mergeCell ref="G45:I45"/>
    <mergeCell ref="G35:I35"/>
    <mergeCell ref="G36:I36"/>
    <mergeCell ref="G37:I37"/>
    <mergeCell ref="G41:I41"/>
    <mergeCell ref="G42:I42"/>
    <mergeCell ref="G44:I44"/>
    <mergeCell ref="G26:I26"/>
    <mergeCell ref="G27:I27"/>
    <mergeCell ref="B28:D28"/>
    <mergeCell ref="G28:I28"/>
    <mergeCell ref="G29:I29"/>
    <mergeCell ref="G34:I34"/>
    <mergeCell ref="B11:B12"/>
    <mergeCell ref="C11:C12"/>
    <mergeCell ref="D11:D12"/>
    <mergeCell ref="E11:E12"/>
    <mergeCell ref="F11:F12"/>
    <mergeCell ref="B26:D2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68"/>
  <sheetViews>
    <sheetView showGridLines="0" topLeftCell="A40" workbookViewId="0">
      <selection activeCell="N53" sqref="N53"/>
    </sheetView>
  </sheetViews>
  <sheetFormatPr defaultRowHeight="14.4" x14ac:dyDescent="0.3"/>
  <cols>
    <col min="1" max="1" width="1.88671875" customWidth="1"/>
    <col min="7" max="7" width="21" bestFit="1" customWidth="1"/>
    <col min="8" max="8" width="19.88671875" bestFit="1" customWidth="1"/>
    <col min="9" max="10" width="19.21875" bestFit="1" customWidth="1"/>
  </cols>
  <sheetData>
    <row r="6" spans="2:10" x14ac:dyDescent="0.3">
      <c r="B6" s="107" t="s">
        <v>168</v>
      </c>
      <c r="C6" s="107"/>
      <c r="D6" s="107"/>
      <c r="E6" s="107"/>
      <c r="F6" s="108">
        <f>'[1]Historical FS'!H7</f>
        <v>44286</v>
      </c>
      <c r="G6" s="108">
        <f>'[1]Historical FS'!I7</f>
        <v>44651</v>
      </c>
      <c r="H6" s="108">
        <f>'[1]Historical FS'!J7</f>
        <v>45016</v>
      </c>
      <c r="I6" s="108">
        <f>'[1]Historical FS'!K7</f>
        <v>45382</v>
      </c>
      <c r="J6" s="108">
        <f>'[1]Historical FS'!L7</f>
        <v>45747</v>
      </c>
    </row>
    <row r="8" spans="2:10" x14ac:dyDescent="0.3">
      <c r="B8" s="20" t="s">
        <v>169</v>
      </c>
    </row>
    <row r="9" spans="2:10" x14ac:dyDescent="0.3">
      <c r="B9" s="109" t="s">
        <v>170</v>
      </c>
      <c r="C9" s="109"/>
      <c r="D9" s="109"/>
      <c r="E9" s="109"/>
      <c r="F9" s="161">
        <f>'Raw Balance Sheet'!J43</f>
        <v>5821</v>
      </c>
      <c r="G9" s="161">
        <f>'Raw Balance Sheet'!K43</f>
        <v>5943</v>
      </c>
      <c r="H9" s="161">
        <f>'Raw Balance Sheet'!L43</f>
        <v>6829</v>
      </c>
      <c r="I9" s="161">
        <f>'Raw Balance Sheet'!M43</f>
        <v>6620</v>
      </c>
      <c r="J9" s="161">
        <f>'Raw Balance Sheet'!N43</f>
        <v>7671</v>
      </c>
    </row>
    <row r="10" spans="2:10" x14ac:dyDescent="0.3">
      <c r="B10" s="110" t="s">
        <v>171</v>
      </c>
      <c r="C10" s="110"/>
      <c r="D10" s="110"/>
      <c r="E10" s="110"/>
      <c r="F10" s="162">
        <f>'Raw Balance Sheet'!J44</f>
        <v>42230</v>
      </c>
      <c r="G10" s="162">
        <f>'Raw Balance Sheet'!K44</f>
        <v>46139</v>
      </c>
      <c r="H10" s="162">
        <f>'Raw Balance Sheet'!L44</f>
        <v>44732</v>
      </c>
      <c r="I10" s="162">
        <f>'Raw Balance Sheet'!M44</f>
        <v>48771</v>
      </c>
      <c r="J10" s="162">
        <f>'Raw Balance Sheet'!N44</f>
        <v>53714</v>
      </c>
    </row>
    <row r="11" spans="2:10" x14ac:dyDescent="0.3">
      <c r="B11" s="110" t="s">
        <v>172</v>
      </c>
      <c r="C11" s="110"/>
      <c r="D11" s="110"/>
      <c r="E11" s="110"/>
      <c r="F11" s="162">
        <f>'Raw Balance Sheet'!J46</f>
        <v>40786</v>
      </c>
      <c r="G11" s="162">
        <f>'Raw Balance Sheet'!K46</f>
        <v>41799</v>
      </c>
      <c r="H11" s="162">
        <f>'Raw Balance Sheet'!L46</f>
        <v>40356</v>
      </c>
      <c r="I11" s="162">
        <f>'Raw Balance Sheet'!M46</f>
        <v>34700</v>
      </c>
      <c r="J11" s="162">
        <f>'Raw Balance Sheet'!N46</f>
        <v>36278</v>
      </c>
    </row>
    <row r="12" spans="2:10" x14ac:dyDescent="0.3">
      <c r="B12" s="112" t="s">
        <v>173</v>
      </c>
      <c r="C12" s="112"/>
      <c r="D12" s="112"/>
      <c r="E12" s="112"/>
      <c r="F12" s="163">
        <f>'Raw Balance Sheet'!J47</f>
        <v>120571</v>
      </c>
      <c r="G12" s="163">
        <f>'Raw Balance Sheet'!K47</f>
        <v>122604</v>
      </c>
      <c r="H12" s="163">
        <f>'Raw Balance Sheet'!L47</f>
        <v>124781</v>
      </c>
      <c r="I12" s="163">
        <f>'Raw Balance Sheet'!M47</f>
        <v>142496</v>
      </c>
      <c r="J12" s="163">
        <f>'Raw Balance Sheet'!N47</f>
        <v>157037</v>
      </c>
    </row>
    <row r="13" spans="2:10" x14ac:dyDescent="0.3">
      <c r="B13" s="113" t="s">
        <v>86</v>
      </c>
      <c r="C13" s="113"/>
      <c r="D13" s="113"/>
      <c r="E13" s="113"/>
      <c r="F13" s="164">
        <f>SUM(F9:F12)</f>
        <v>209408</v>
      </c>
      <c r="G13" s="164">
        <f t="shared" ref="G13:J13" si="0">SUM(G9:G12)</f>
        <v>216485</v>
      </c>
      <c r="H13" s="164">
        <f t="shared" si="0"/>
        <v>216698</v>
      </c>
      <c r="I13" s="164">
        <f t="shared" si="0"/>
        <v>232587</v>
      </c>
      <c r="J13" s="164">
        <f t="shared" si="0"/>
        <v>254700</v>
      </c>
    </row>
    <row r="15" spans="2:10" x14ac:dyDescent="0.3">
      <c r="B15" s="20" t="s">
        <v>174</v>
      </c>
    </row>
    <row r="16" spans="2:10" x14ac:dyDescent="0.3">
      <c r="B16" s="114" t="s">
        <v>175</v>
      </c>
      <c r="C16" s="114"/>
      <c r="D16" s="114"/>
      <c r="E16" s="114"/>
      <c r="F16" s="165">
        <f>'Raw Balance Sheet'!J18</f>
        <v>45745</v>
      </c>
      <c r="G16" s="165">
        <f>'Raw Balance Sheet'!K18</f>
        <v>51366</v>
      </c>
      <c r="H16" s="165">
        <f>'Raw Balance Sheet'!L18</f>
        <v>49784</v>
      </c>
      <c r="I16" s="165">
        <f>'Raw Balance Sheet'!M18</f>
        <v>53293</v>
      </c>
      <c r="J16" s="165">
        <f>'Raw Balance Sheet'!N18</f>
        <v>52459</v>
      </c>
    </row>
    <row r="17" spans="2:10" x14ac:dyDescent="0.3">
      <c r="B17" s="115" t="s">
        <v>176</v>
      </c>
      <c r="C17" s="115"/>
      <c r="D17" s="115"/>
      <c r="E17" s="115"/>
      <c r="F17" s="166">
        <f>'Raw Balance Sheet'!J19</f>
        <v>15876</v>
      </c>
      <c r="G17" s="166">
        <f>'Raw Balance Sheet'!K19</f>
        <v>17963</v>
      </c>
      <c r="H17" s="166">
        <f>'Raw Balance Sheet'!L19</f>
        <v>20425</v>
      </c>
      <c r="I17" s="166">
        <f>'Raw Balance Sheet'!M19</f>
        <v>26875</v>
      </c>
      <c r="J17" s="166">
        <f>'Raw Balance Sheet'!N19</f>
        <v>29087</v>
      </c>
    </row>
    <row r="18" spans="2:10" x14ac:dyDescent="0.3">
      <c r="B18" s="115" t="s">
        <v>177</v>
      </c>
      <c r="C18" s="115"/>
      <c r="D18" s="115"/>
      <c r="E18" s="115"/>
      <c r="F18" s="167">
        <f>'Raw Balance Sheet'!J20</f>
        <v>25925</v>
      </c>
      <c r="G18" s="167">
        <f>'Raw Balance Sheet'!K20</f>
        <v>28817</v>
      </c>
      <c r="H18" s="167">
        <f>'Raw Balance Sheet'!L20</f>
        <v>35295</v>
      </c>
      <c r="I18" s="167">
        <f>'Raw Balance Sheet'!M20</f>
        <v>40563</v>
      </c>
      <c r="J18" s="167">
        <f>'Raw Balance Sheet'!N20</f>
        <v>49755</v>
      </c>
    </row>
    <row r="19" spans="2:10" x14ac:dyDescent="0.3">
      <c r="B19" s="116" t="s">
        <v>178</v>
      </c>
      <c r="C19" s="116"/>
      <c r="D19" s="116"/>
      <c r="E19" s="116"/>
      <c r="F19" s="168">
        <f>SUM(F16:F18)</f>
        <v>87546</v>
      </c>
      <c r="G19" s="168">
        <f t="shared" ref="G19:J19" si="1">SUM(G16:G18)</f>
        <v>98146</v>
      </c>
      <c r="H19" s="168">
        <f t="shared" si="1"/>
        <v>105504</v>
      </c>
      <c r="I19" s="168">
        <f t="shared" si="1"/>
        <v>120731</v>
      </c>
      <c r="J19" s="168">
        <f t="shared" si="1"/>
        <v>131301</v>
      </c>
    </row>
    <row r="21" spans="2:10" ht="15" thickBot="1" x14ac:dyDescent="0.35">
      <c r="B21" s="117" t="s">
        <v>179</v>
      </c>
      <c r="C21" s="117"/>
      <c r="D21" s="117"/>
      <c r="E21" s="117"/>
      <c r="F21" s="168">
        <f>F13-F19</f>
        <v>121862</v>
      </c>
      <c r="G21" s="168">
        <f t="shared" ref="G21:J21" si="2">G13-G19</f>
        <v>118339</v>
      </c>
      <c r="H21" s="168">
        <f t="shared" si="2"/>
        <v>111194</v>
      </c>
      <c r="I21" s="168">
        <f t="shared" si="2"/>
        <v>111856</v>
      </c>
      <c r="J21" s="168">
        <f t="shared" si="2"/>
        <v>123399</v>
      </c>
    </row>
    <row r="22" spans="2:10" x14ac:dyDescent="0.3">
      <c r="B22" s="118"/>
      <c r="C22" s="118"/>
      <c r="D22" s="118"/>
      <c r="E22" s="118"/>
      <c r="F22" s="118"/>
      <c r="G22" s="118"/>
      <c r="H22" s="118"/>
      <c r="I22" s="118"/>
      <c r="J22" s="118"/>
    </row>
    <row r="23" spans="2:10" x14ac:dyDescent="0.3">
      <c r="B23" s="20" t="s">
        <v>180</v>
      </c>
    </row>
    <row r="24" spans="2:10" x14ac:dyDescent="0.3">
      <c r="B24" s="119" t="s">
        <v>181</v>
      </c>
      <c r="C24" s="119"/>
      <c r="D24" s="119"/>
      <c r="E24" s="119"/>
      <c r="F24" s="161">
        <f>'Raw Balance Sheet'!J24</f>
        <v>1548</v>
      </c>
      <c r="G24" s="161">
        <f>'Raw Balance Sheet'!K24</f>
        <v>1347</v>
      </c>
      <c r="H24" s="161">
        <f>'Raw Balance Sheet'!L24</f>
        <v>1436</v>
      </c>
      <c r="I24" s="161">
        <f>'Raw Balance Sheet'!M24</f>
        <v>1000</v>
      </c>
      <c r="J24" s="161">
        <f>'Raw Balance Sheet'!N24</f>
        <v>1023</v>
      </c>
    </row>
    <row r="25" spans="2:10" x14ac:dyDescent="0.3">
      <c r="B25" s="120" t="s">
        <v>182</v>
      </c>
      <c r="C25" s="120"/>
      <c r="D25" s="120"/>
      <c r="E25" s="120"/>
      <c r="F25" s="162">
        <f>'Raw Balance Sheet'!J25</f>
        <v>6678</v>
      </c>
      <c r="G25" s="162">
        <f>'Raw Balance Sheet'!K25</f>
        <v>6745</v>
      </c>
      <c r="H25" s="162">
        <f>'Raw Balance Sheet'!L25</f>
        <v>6998</v>
      </c>
      <c r="I25" s="162">
        <f>'Raw Balance Sheet'!M25</f>
        <v>6680</v>
      </c>
      <c r="J25" s="162">
        <f>'Raw Balance Sheet'!N25</f>
        <v>7858</v>
      </c>
    </row>
    <row r="26" spans="2:10" x14ac:dyDescent="0.3">
      <c r="B26" s="120" t="s">
        <v>183</v>
      </c>
      <c r="C26" s="120"/>
      <c r="D26" s="120"/>
      <c r="E26" s="120"/>
      <c r="F26" s="162">
        <f>'Raw Balance Sheet'!J26</f>
        <v>10077</v>
      </c>
      <c r="G26" s="162">
        <f>'Raw Balance Sheet'!K26</f>
        <v>9298</v>
      </c>
      <c r="H26" s="162">
        <f>'Raw Balance Sheet'!L26</f>
        <v>10859</v>
      </c>
      <c r="I26" s="162">
        <f>'Raw Balance Sheet'!M26</f>
        <v>12570</v>
      </c>
      <c r="J26" s="162">
        <f>'Raw Balance Sheet'!N26</f>
        <v>14866</v>
      </c>
    </row>
    <row r="27" spans="2:10" x14ac:dyDescent="0.3">
      <c r="B27" s="154" t="s">
        <v>219</v>
      </c>
      <c r="C27" s="169"/>
      <c r="D27" s="169"/>
      <c r="E27" s="169"/>
      <c r="F27" s="162">
        <f>'Raw Balance Sheet'!J27</f>
        <v>947</v>
      </c>
      <c r="G27" s="162">
        <f>'Raw Balance Sheet'!K27</f>
        <v>947</v>
      </c>
      <c r="H27" s="162">
        <f>'Raw Balance Sheet'!L27</f>
        <v>969</v>
      </c>
      <c r="I27" s="162">
        <f>'Raw Balance Sheet'!M27</f>
        <v>1007</v>
      </c>
      <c r="J27" s="162">
        <f>'Raw Balance Sheet'!N27</f>
        <v>1025</v>
      </c>
    </row>
    <row r="28" spans="2:10" x14ac:dyDescent="0.3">
      <c r="B28" s="120" t="s">
        <v>184</v>
      </c>
      <c r="C28" s="120"/>
      <c r="D28" s="120"/>
      <c r="E28" s="120"/>
      <c r="F28" s="111">
        <f>'Raw Balance Sheet'!J28</f>
        <v>590</v>
      </c>
      <c r="G28" s="111">
        <f>'Raw Balance Sheet'!K28</f>
        <v>630</v>
      </c>
      <c r="H28" s="111">
        <f>'Raw Balance Sheet'!L28</f>
        <v>716</v>
      </c>
      <c r="I28" s="111">
        <f>'Raw Balance Sheet'!M28</f>
        <v>762</v>
      </c>
      <c r="J28" s="111">
        <f>'Raw Balance Sheet'!N28</f>
        <v>871</v>
      </c>
    </row>
    <row r="29" spans="2:10" x14ac:dyDescent="0.3">
      <c r="B29" s="120" t="s">
        <v>185</v>
      </c>
      <c r="C29" s="120"/>
      <c r="D29" s="120"/>
      <c r="E29" s="120"/>
      <c r="F29" s="111">
        <f>'Raw Balance Sheet'!J30</f>
        <v>485</v>
      </c>
      <c r="G29" s="111">
        <f>'Raw Balance Sheet'!K30</f>
        <v>499</v>
      </c>
      <c r="H29" s="111">
        <f>'Raw Balance Sheet'!L30</f>
        <v>508</v>
      </c>
      <c r="I29" s="111">
        <f>'Raw Balance Sheet'!M30</f>
        <v>633</v>
      </c>
      <c r="J29" s="111">
        <f>'Raw Balance Sheet'!N30</f>
        <v>672</v>
      </c>
    </row>
    <row r="30" spans="2:10" x14ac:dyDescent="0.3">
      <c r="B30" s="120" t="s">
        <v>186</v>
      </c>
      <c r="C30" s="120"/>
      <c r="D30" s="120"/>
      <c r="E30" s="120"/>
      <c r="F30" s="162">
        <f>'Raw Balance Sheet'!J29</f>
        <v>1615</v>
      </c>
      <c r="G30" s="162">
        <f>'Raw Balance Sheet'!K29</f>
        <v>2067</v>
      </c>
      <c r="H30" s="162">
        <f>'Raw Balance Sheet'!L29</f>
        <v>2448</v>
      </c>
      <c r="I30" s="162">
        <f>'Raw Balance Sheet'!M29</f>
        <v>2572</v>
      </c>
      <c r="J30" s="162">
        <f>'Raw Balance Sheet'!N29</f>
        <v>2803</v>
      </c>
    </row>
    <row r="31" spans="2:10" x14ac:dyDescent="0.3">
      <c r="B31" s="120" t="s">
        <v>187</v>
      </c>
      <c r="C31" s="120"/>
      <c r="D31" s="120"/>
      <c r="E31" s="120"/>
      <c r="F31" s="111">
        <f>'Raw Balance Sheet'!J32</f>
        <v>658</v>
      </c>
      <c r="G31" s="111">
        <f>'Raw Balance Sheet'!K32</f>
        <v>650</v>
      </c>
      <c r="H31" s="111">
        <f>'Raw Balance Sheet'!L32</f>
        <v>652</v>
      </c>
      <c r="I31" s="111">
        <f>'Raw Balance Sheet'!M32</f>
        <v>657</v>
      </c>
      <c r="J31" s="111">
        <f>'Raw Balance Sheet'!N32</f>
        <v>675</v>
      </c>
    </row>
    <row r="32" spans="2:10" x14ac:dyDescent="0.3">
      <c r="B32" s="120" t="s">
        <v>188</v>
      </c>
      <c r="C32" s="120"/>
      <c r="D32" s="120"/>
      <c r="E32" s="120"/>
      <c r="F32" s="162">
        <f>'Raw Balance Sheet'!J33</f>
        <v>25195</v>
      </c>
      <c r="G32" s="162">
        <f>'Raw Balance Sheet'!K33</f>
        <v>24950</v>
      </c>
      <c r="H32" s="162">
        <f>'Raw Balance Sheet'!L33</f>
        <v>25099</v>
      </c>
      <c r="I32" s="162">
        <f>'Raw Balance Sheet'!M33</f>
        <v>24837</v>
      </c>
      <c r="J32" s="162">
        <f>'Raw Balance Sheet'!N33</f>
        <v>25373</v>
      </c>
    </row>
    <row r="33" spans="2:10" x14ac:dyDescent="0.3">
      <c r="B33" s="121" t="s">
        <v>189</v>
      </c>
      <c r="C33" s="121"/>
      <c r="D33" s="121"/>
      <c r="E33" s="121"/>
      <c r="F33" s="163">
        <f>'Raw Balance Sheet'!J34</f>
        <v>8784</v>
      </c>
      <c r="G33" s="163">
        <f>'Raw Balance Sheet'!K34</f>
        <v>9361</v>
      </c>
      <c r="H33" s="163">
        <f>'Raw Balance Sheet'!L34</f>
        <v>9071</v>
      </c>
      <c r="I33" s="163">
        <f>'Raw Balance Sheet'!M34</f>
        <v>10408</v>
      </c>
      <c r="J33" s="163">
        <f>'Raw Balance Sheet'!N34</f>
        <v>10736</v>
      </c>
    </row>
    <row r="35" spans="2:10" x14ac:dyDescent="0.3">
      <c r="B35" s="113" t="s">
        <v>190</v>
      </c>
      <c r="C35" s="113"/>
      <c r="D35" s="113"/>
      <c r="E35" s="113"/>
      <c r="F35" s="164">
        <f>'Raw Balance Sheet'!J35</f>
        <v>56577</v>
      </c>
      <c r="G35" s="164">
        <f>'Raw Balance Sheet'!K35</f>
        <v>56495</v>
      </c>
      <c r="H35" s="164">
        <f>'Raw Balance Sheet'!L35</f>
        <v>58756</v>
      </c>
      <c r="I35" s="164">
        <f>'Raw Balance Sheet'!M35</f>
        <v>61124</v>
      </c>
      <c r="J35" s="164">
        <f>'Raw Balance Sheet'!N35</f>
        <v>65902</v>
      </c>
    </row>
    <row r="36" spans="2:10" x14ac:dyDescent="0.3">
      <c r="B36" s="122" t="s">
        <v>191</v>
      </c>
      <c r="C36" s="122"/>
      <c r="D36" s="122"/>
      <c r="E36" s="122"/>
      <c r="F36" s="170">
        <f>'Raw Balance Sheet'!J36</f>
        <v>11284</v>
      </c>
      <c r="G36" s="170">
        <f>'Raw Balance Sheet'!K36</f>
        <v>13313</v>
      </c>
      <c r="H36" s="170">
        <f>'Raw Balance Sheet'!L36</f>
        <v>15873</v>
      </c>
      <c r="I36" s="170">
        <f>'Raw Balance Sheet'!M36</f>
        <v>17904</v>
      </c>
      <c r="J36" s="170">
        <f>'Raw Balance Sheet'!N36</f>
        <v>20700</v>
      </c>
    </row>
    <row r="37" spans="2:10" ht="15" thickBot="1" x14ac:dyDescent="0.35">
      <c r="B37" s="123" t="s">
        <v>192</v>
      </c>
      <c r="C37" s="123"/>
      <c r="D37" s="123"/>
      <c r="E37" s="123"/>
      <c r="F37" s="171">
        <f>'Raw Balance Sheet'!J37</f>
        <v>45293</v>
      </c>
      <c r="G37" s="171">
        <f>'Raw Balance Sheet'!K37</f>
        <v>43182</v>
      </c>
      <c r="H37" s="171">
        <f>'Raw Balance Sheet'!L37</f>
        <v>42883</v>
      </c>
      <c r="I37" s="171">
        <f>'Raw Balance Sheet'!M37</f>
        <v>43220</v>
      </c>
      <c r="J37" s="171">
        <f>'Raw Balance Sheet'!N37</f>
        <v>45202</v>
      </c>
    </row>
    <row r="39" spans="2:10" x14ac:dyDescent="0.3">
      <c r="B39" s="124" t="s">
        <v>193</v>
      </c>
      <c r="C39" s="124"/>
      <c r="D39" s="124"/>
      <c r="E39" s="124"/>
      <c r="F39" s="172">
        <f>F37+F21</f>
        <v>167155</v>
      </c>
      <c r="G39" s="172">
        <f t="shared" ref="G39:J39" si="3">G37+G21</f>
        <v>161521</v>
      </c>
      <c r="H39" s="172">
        <f t="shared" si="3"/>
        <v>154077</v>
      </c>
      <c r="I39" s="172">
        <f t="shared" si="3"/>
        <v>155076</v>
      </c>
      <c r="J39" s="172">
        <f t="shared" si="3"/>
        <v>168601</v>
      </c>
    </row>
    <row r="40" spans="2:10" x14ac:dyDescent="0.3">
      <c r="B40" s="124" t="s">
        <v>194</v>
      </c>
      <c r="C40" s="124"/>
      <c r="D40" s="124"/>
      <c r="E40" s="124"/>
      <c r="F40" s="20">
        <f>'Historical FS'!H21-'Historical FS'!H27</f>
        <v>20556.030000000013</v>
      </c>
      <c r="G40" s="20">
        <f>'Historical FS'!I21-'Historical FS'!I27</f>
        <v>21365.940000000028</v>
      </c>
      <c r="H40" s="20">
        <f>'Historical FS'!J21-'Historical FS'!J27</f>
        <v>23663.77000000004</v>
      </c>
      <c r="I40" s="20">
        <f>'Historical FS'!K21-'Historical FS'!K27</f>
        <v>25075.789999999979</v>
      </c>
      <c r="J40" s="20">
        <f>'Historical FS'!L21-'Historical FS'!L27</f>
        <v>30214.150000000023</v>
      </c>
    </row>
    <row r="42" spans="2:10" ht="15" thickBot="1" x14ac:dyDescent="0.35">
      <c r="B42" s="125" t="s">
        <v>195</v>
      </c>
      <c r="C42" s="125"/>
      <c r="D42" s="125"/>
      <c r="E42" s="125"/>
      <c r="F42" s="126">
        <f>F40/F39</f>
        <v>0.12297586072806685</v>
      </c>
      <c r="G42" s="126">
        <f t="shared" ref="G42:J42" si="4">G40/G39</f>
        <v>0.13227964165650305</v>
      </c>
      <c r="H42" s="126">
        <f t="shared" si="4"/>
        <v>0.15358405212977952</v>
      </c>
      <c r="I42" s="126">
        <f t="shared" si="4"/>
        <v>0.16170000515876073</v>
      </c>
      <c r="J42" s="126">
        <f t="shared" si="4"/>
        <v>0.17920504623341513</v>
      </c>
    </row>
    <row r="43" spans="2:10" x14ac:dyDescent="0.3">
      <c r="B43" s="118"/>
      <c r="C43" s="118"/>
      <c r="D43" s="118"/>
      <c r="E43" s="118"/>
      <c r="F43" s="118"/>
      <c r="G43" s="118"/>
      <c r="H43" s="118"/>
      <c r="I43" s="118"/>
      <c r="J43" s="118"/>
    </row>
    <row r="45" spans="2:10" x14ac:dyDescent="0.3">
      <c r="B45" s="127" t="s">
        <v>196</v>
      </c>
      <c r="C45" s="127"/>
      <c r="D45" s="127"/>
      <c r="E45" s="127"/>
      <c r="F45" s="108">
        <f>F6</f>
        <v>44286</v>
      </c>
      <c r="G45" s="108">
        <f>G6</f>
        <v>44651</v>
      </c>
      <c r="H45" s="108">
        <f>H6</f>
        <v>45016</v>
      </c>
      <c r="I45" s="108">
        <f>I6</f>
        <v>45382</v>
      </c>
      <c r="J45" s="108">
        <f>J6</f>
        <v>45747</v>
      </c>
    </row>
    <row r="47" spans="2:10" x14ac:dyDescent="0.3">
      <c r="B47" s="128" t="s">
        <v>197</v>
      </c>
      <c r="C47" s="128"/>
      <c r="D47" s="128"/>
      <c r="E47" s="128"/>
      <c r="F47" s="129">
        <f>-1*('Cash Flow'!G15+'Cash Flow'!G16)</f>
        <v>114</v>
      </c>
      <c r="G47" s="129">
        <f>-1*('Cash Flow'!H15+'Cash Flow'!H16)</f>
        <v>142</v>
      </c>
      <c r="H47" s="129">
        <f>-1*('Cash Flow'!I15+'Cash Flow'!I16)</f>
        <v>162</v>
      </c>
      <c r="I47" s="129">
        <f>-1*('Cash Flow'!J15+'Cash Flow'!J16)</f>
        <v>233</v>
      </c>
      <c r="J47" s="129">
        <f>-1*('Cash Flow'!K15+'Cash Flow'!K16)</f>
        <v>150</v>
      </c>
    </row>
    <row r="48" spans="2:10" x14ac:dyDescent="0.3">
      <c r="B48" s="130" t="s">
        <v>198</v>
      </c>
      <c r="C48" s="130"/>
      <c r="D48" s="130"/>
      <c r="E48" s="130"/>
      <c r="F48" s="131"/>
      <c r="G48" s="173">
        <f>G21-F21</f>
        <v>-3523</v>
      </c>
      <c r="H48" s="173">
        <f t="shared" ref="H48:J48" si="5">H21-G21</f>
        <v>-7145</v>
      </c>
      <c r="I48" s="173">
        <f t="shared" si="5"/>
        <v>662</v>
      </c>
      <c r="J48" s="173">
        <f t="shared" si="5"/>
        <v>11543</v>
      </c>
    </row>
    <row r="49" spans="2:10" x14ac:dyDescent="0.3">
      <c r="B49" s="131"/>
      <c r="C49" s="131"/>
      <c r="D49" s="131"/>
      <c r="E49" s="131"/>
      <c r="F49" s="131"/>
      <c r="G49" s="131"/>
      <c r="H49" s="131"/>
      <c r="I49" s="131"/>
      <c r="J49" s="131"/>
    </row>
    <row r="50" spans="2:10" x14ac:dyDescent="0.3">
      <c r="B50" s="130" t="s">
        <v>194</v>
      </c>
      <c r="C50" s="130"/>
      <c r="D50" s="130"/>
      <c r="E50" s="130"/>
      <c r="F50" s="131">
        <f>F40</f>
        <v>20556.030000000013</v>
      </c>
      <c r="G50" s="131">
        <f t="shared" ref="G50:J50" si="6">G40</f>
        <v>21365.940000000028</v>
      </c>
      <c r="H50" s="131">
        <f t="shared" si="6"/>
        <v>23663.77000000004</v>
      </c>
      <c r="I50" s="131">
        <f t="shared" si="6"/>
        <v>25075.789999999979</v>
      </c>
      <c r="J50" s="131">
        <f t="shared" si="6"/>
        <v>30214.150000000023</v>
      </c>
    </row>
    <row r="51" spans="2:10" x14ac:dyDescent="0.3">
      <c r="B51" s="130" t="s">
        <v>199</v>
      </c>
      <c r="C51" s="130"/>
      <c r="D51" s="130"/>
      <c r="E51" s="130"/>
      <c r="F51" s="132">
        <v>0.3</v>
      </c>
      <c r="G51" s="132">
        <v>0.3</v>
      </c>
      <c r="H51" s="132">
        <v>0.3</v>
      </c>
      <c r="I51" s="132">
        <v>0.3</v>
      </c>
      <c r="J51" s="132">
        <v>0.3</v>
      </c>
    </row>
    <row r="52" spans="2:10" x14ac:dyDescent="0.3">
      <c r="B52" s="130" t="s">
        <v>200</v>
      </c>
      <c r="C52" s="130"/>
      <c r="D52" s="130"/>
      <c r="E52" s="130"/>
      <c r="F52" s="131">
        <f>F50*(1-F51)</f>
        <v>14389.221000000009</v>
      </c>
      <c r="G52" s="131">
        <f t="shared" ref="G52:J52" si="7">G50*(1-G51)</f>
        <v>14956.158000000018</v>
      </c>
      <c r="H52" s="131">
        <f t="shared" si="7"/>
        <v>16564.639000000028</v>
      </c>
      <c r="I52" s="131">
        <f t="shared" si="7"/>
        <v>17553.052999999985</v>
      </c>
      <c r="J52" s="131">
        <f t="shared" si="7"/>
        <v>21149.905000000013</v>
      </c>
    </row>
    <row r="53" spans="2:10" x14ac:dyDescent="0.3">
      <c r="B53" s="131"/>
      <c r="C53" s="131"/>
      <c r="D53" s="131"/>
      <c r="E53" s="131"/>
      <c r="F53" s="131"/>
      <c r="G53" s="131"/>
      <c r="H53" s="131"/>
      <c r="I53" s="131"/>
      <c r="J53" s="131"/>
    </row>
    <row r="54" spans="2:10" x14ac:dyDescent="0.3">
      <c r="B54" s="133" t="s">
        <v>201</v>
      </c>
      <c r="C54" s="133"/>
      <c r="D54" s="133"/>
      <c r="E54" s="133"/>
      <c r="F54" s="134"/>
      <c r="G54" s="135">
        <f>SUM(G47:G48)</f>
        <v>-3381</v>
      </c>
      <c r="H54" s="135">
        <f t="shared" ref="H54:J54" si="8">SUM(H47:H48)</f>
        <v>-6983</v>
      </c>
      <c r="I54" s="135">
        <f t="shared" si="8"/>
        <v>895</v>
      </c>
      <c r="J54" s="135">
        <f t="shared" si="8"/>
        <v>11693</v>
      </c>
    </row>
    <row r="55" spans="2:10" ht="15" thickBot="1" x14ac:dyDescent="0.35">
      <c r="B55" s="136" t="s">
        <v>202</v>
      </c>
      <c r="C55" s="136"/>
      <c r="D55" s="136"/>
      <c r="E55" s="136"/>
      <c r="F55" s="137"/>
      <c r="G55" s="137">
        <f>G54/G52</f>
        <v>-0.22606073030252796</v>
      </c>
      <c r="H55" s="137">
        <f t="shared" ref="H55:J55" si="9">H54/H52</f>
        <v>-0.42156065097464474</v>
      </c>
      <c r="I55" s="137">
        <f t="shared" si="9"/>
        <v>5.0988281069965481E-2</v>
      </c>
      <c r="J55" s="137">
        <f t="shared" si="9"/>
        <v>0.55286300340356098</v>
      </c>
    </row>
    <row r="57" spans="2:10" x14ac:dyDescent="0.3">
      <c r="H57" s="138" t="s">
        <v>203</v>
      </c>
      <c r="I57" s="138"/>
      <c r="J57" s="139">
        <f>AVERAGE(G55:J55)</f>
        <v>-1.0942524200911574E-2</v>
      </c>
    </row>
    <row r="58" spans="2:10" x14ac:dyDescent="0.3">
      <c r="H58" s="138" t="s">
        <v>204</v>
      </c>
      <c r="I58" s="138"/>
      <c r="J58" s="139">
        <f>MEDIAN(G55:J55)</f>
        <v>-8.7536224616281244E-2</v>
      </c>
    </row>
    <row r="60" spans="2:10" x14ac:dyDescent="0.3">
      <c r="B60" s="127" t="s">
        <v>205</v>
      </c>
      <c r="C60" s="127"/>
      <c r="D60" s="127"/>
      <c r="E60" s="127"/>
      <c r="F60" s="108">
        <f>F45</f>
        <v>44286</v>
      </c>
      <c r="G60" s="108">
        <f t="shared" ref="G60:J60" si="10">G45</f>
        <v>44651</v>
      </c>
      <c r="H60" s="108">
        <f t="shared" si="10"/>
        <v>45016</v>
      </c>
      <c r="I60" s="108">
        <f t="shared" si="10"/>
        <v>45382</v>
      </c>
      <c r="J60" s="108">
        <f t="shared" si="10"/>
        <v>45747</v>
      </c>
    </row>
    <row r="62" spans="2:10" x14ac:dyDescent="0.3">
      <c r="B62" s="109" t="s">
        <v>202</v>
      </c>
      <c r="C62" s="109"/>
      <c r="D62" s="109"/>
      <c r="E62" s="109"/>
      <c r="F62" s="140">
        <f>F55</f>
        <v>0</v>
      </c>
      <c r="G62" s="140">
        <f>G55</f>
        <v>-0.22606073030252796</v>
      </c>
      <c r="H62" s="140">
        <f t="shared" ref="H62:J62" si="11">H55</f>
        <v>-0.42156065097464474</v>
      </c>
      <c r="I62" s="140">
        <f t="shared" si="11"/>
        <v>5.0988281069965481E-2</v>
      </c>
      <c r="J62" s="140">
        <f t="shared" si="11"/>
        <v>0.55286300340356098</v>
      </c>
    </row>
    <row r="63" spans="2:10" x14ac:dyDescent="0.3">
      <c r="B63" s="141" t="s">
        <v>195</v>
      </c>
      <c r="C63" s="141"/>
      <c r="D63" s="141"/>
      <c r="E63" s="141"/>
      <c r="F63" s="142">
        <f>F42</f>
        <v>0.12297586072806685</v>
      </c>
      <c r="G63" s="142">
        <f>G42</f>
        <v>0.13227964165650305</v>
      </c>
      <c r="H63" s="142">
        <f t="shared" ref="H63:J63" si="12">H42</f>
        <v>0.15358405212977952</v>
      </c>
      <c r="I63" s="142">
        <f t="shared" si="12"/>
        <v>0.16170000515876073</v>
      </c>
      <c r="J63" s="142">
        <f t="shared" si="12"/>
        <v>0.17920504623341513</v>
      </c>
    </row>
    <row r="65" spans="2:10" ht="15" thickBot="1" x14ac:dyDescent="0.35">
      <c r="B65" s="143" t="s">
        <v>206</v>
      </c>
      <c r="C65" s="143"/>
      <c r="D65" s="143"/>
      <c r="E65" s="143"/>
      <c r="F65" s="144"/>
      <c r="G65" s="144">
        <f>G62*G63</f>
        <v>-2.9903232397025779E-2</v>
      </c>
      <c r="H65" s="144">
        <f t="shared" ref="H65:J65" si="13">H62*H63</f>
        <v>-6.4744992995153627E-2</v>
      </c>
      <c r="I65" s="144">
        <f t="shared" si="13"/>
        <v>8.2448053120497602E-3</v>
      </c>
      <c r="J65" s="144">
        <f t="shared" si="13"/>
        <v>9.9075840085679892E-2</v>
      </c>
    </row>
    <row r="66" spans="2:10" x14ac:dyDescent="0.3">
      <c r="B66" s="118"/>
      <c r="C66" s="118"/>
      <c r="D66" s="118"/>
      <c r="E66" s="118"/>
      <c r="F66" s="118"/>
      <c r="G66" s="118"/>
      <c r="H66" s="118"/>
      <c r="I66" s="118"/>
      <c r="J66" s="118"/>
    </row>
    <row r="67" spans="2:10" x14ac:dyDescent="0.3">
      <c r="H67" s="138" t="str">
        <f>H57</f>
        <v>4 Years Average</v>
      </c>
      <c r="I67" s="138"/>
      <c r="J67" s="145">
        <f>AVERAGE(G65:J65)</f>
        <v>3.1681050013875611E-3</v>
      </c>
    </row>
    <row r="68" spans="2:10" x14ac:dyDescent="0.3">
      <c r="H68" s="138" t="str">
        <f>H58</f>
        <v>4 Years Median</v>
      </c>
      <c r="I68" s="138"/>
      <c r="J68" s="145">
        <f>MEDIAN(G65:J65)</f>
        <v>-1.082921354248801E-2</v>
      </c>
    </row>
  </sheetData>
  <mergeCells count="40">
    <mergeCell ref="B63:E63"/>
    <mergeCell ref="B65:E65"/>
    <mergeCell ref="H67:I67"/>
    <mergeCell ref="H68:I68"/>
    <mergeCell ref="B54:E54"/>
    <mergeCell ref="B55:E55"/>
    <mergeCell ref="H57:I57"/>
    <mergeCell ref="H58:I58"/>
    <mergeCell ref="B60:E60"/>
    <mergeCell ref="B62:E62"/>
    <mergeCell ref="B45:E45"/>
    <mergeCell ref="B47:E47"/>
    <mergeCell ref="B48:E48"/>
    <mergeCell ref="B50:E50"/>
    <mergeCell ref="B51:E51"/>
    <mergeCell ref="B52:E52"/>
    <mergeCell ref="B33:E33"/>
    <mergeCell ref="B35:E35"/>
    <mergeCell ref="B36:E36"/>
    <mergeCell ref="B37:E37"/>
    <mergeCell ref="B39:E39"/>
    <mergeCell ref="B40:E40"/>
    <mergeCell ref="B26:E26"/>
    <mergeCell ref="B28:E28"/>
    <mergeCell ref="B29:E29"/>
    <mergeCell ref="B30:E30"/>
    <mergeCell ref="B31:E31"/>
    <mergeCell ref="B32:E32"/>
    <mergeCell ref="B17:E17"/>
    <mergeCell ref="B18:E18"/>
    <mergeCell ref="B19:E19"/>
    <mergeCell ref="B21:E21"/>
    <mergeCell ref="B24:E24"/>
    <mergeCell ref="B25:E25"/>
    <mergeCell ref="B9:E9"/>
    <mergeCell ref="B10:E10"/>
    <mergeCell ref="B11:E11"/>
    <mergeCell ref="B12:E12"/>
    <mergeCell ref="B13:E13"/>
    <mergeCell ref="B16:E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3"/>
  <sheetViews>
    <sheetView showGridLines="0" topLeftCell="A16" workbookViewId="0">
      <selection activeCell="I39" sqref="I39"/>
    </sheetView>
  </sheetViews>
  <sheetFormatPr defaultRowHeight="14.4" x14ac:dyDescent="0.3"/>
  <cols>
    <col min="1" max="1" width="1.88671875" customWidth="1"/>
    <col min="5" max="5" width="9.5546875" bestFit="1" customWidth="1"/>
  </cols>
  <sheetData>
    <row r="5" spans="2:11" x14ac:dyDescent="0.3">
      <c r="F5">
        <v>0</v>
      </c>
      <c r="G5">
        <v>0.5</v>
      </c>
      <c r="H5">
        <v>1.5</v>
      </c>
      <c r="I5">
        <v>2.5</v>
      </c>
      <c r="J5">
        <v>3.5</v>
      </c>
      <c r="K5">
        <v>4.5</v>
      </c>
    </row>
    <row r="6" spans="2:11" x14ac:dyDescent="0.3">
      <c r="B6" s="157" t="s">
        <v>230</v>
      </c>
      <c r="C6" s="157"/>
      <c r="D6" s="157"/>
      <c r="E6" s="157"/>
      <c r="F6" s="174">
        <f>'[1]Historical FS'!L7</f>
        <v>45747</v>
      </c>
      <c r="G6" s="174">
        <f>F6+365</f>
        <v>46112</v>
      </c>
      <c r="H6" s="174">
        <f t="shared" ref="H6:J6" si="0">G6+365</f>
        <v>46477</v>
      </c>
      <c r="I6" s="174">
        <f t="shared" si="0"/>
        <v>46842</v>
      </c>
      <c r="J6" s="174">
        <f t="shared" si="0"/>
        <v>47207</v>
      </c>
      <c r="K6" s="174">
        <f>J6+365</f>
        <v>47572</v>
      </c>
    </row>
    <row r="8" spans="2:11" x14ac:dyDescent="0.3">
      <c r="B8" s="175" t="s">
        <v>194</v>
      </c>
      <c r="C8" s="175"/>
      <c r="D8" s="175"/>
      <c r="E8" s="175"/>
      <c r="F8" s="175">
        <f>'Intrensic Growth'!J50</f>
        <v>30214.150000000023</v>
      </c>
      <c r="G8" s="175">
        <f>F8*(1+$E$22)</f>
        <v>29886.954517645259</v>
      </c>
      <c r="H8" s="175">
        <f t="shared" ref="H8:K8" si="1">G8*(1+$E$22)</f>
        <v>29563.302305039051</v>
      </c>
      <c r="I8" s="175">
        <f t="shared" si="1"/>
        <v>29243.154991356656</v>
      </c>
      <c r="J8" s="175">
        <f t="shared" si="1"/>
        <v>28926.474621299181</v>
      </c>
      <c r="K8" s="175">
        <f t="shared" si="1"/>
        <v>28613.223650593773</v>
      </c>
    </row>
    <row r="9" spans="2:11" x14ac:dyDescent="0.3">
      <c r="B9" s="176"/>
      <c r="C9" s="176"/>
      <c r="D9" s="176"/>
      <c r="E9" s="176"/>
      <c r="F9" s="176"/>
      <c r="G9" s="176"/>
      <c r="H9" s="176"/>
      <c r="I9" s="176"/>
      <c r="J9" s="176"/>
      <c r="K9" s="176"/>
    </row>
    <row r="10" spans="2:11" x14ac:dyDescent="0.3">
      <c r="B10" s="176" t="s">
        <v>150</v>
      </c>
      <c r="C10" s="176"/>
      <c r="D10" s="176"/>
      <c r="E10" s="176"/>
      <c r="F10" s="177">
        <f>'Intrensic Growth'!$J$51</f>
        <v>0.3</v>
      </c>
      <c r="G10" s="177">
        <f>'Intrensic Growth'!$J$51</f>
        <v>0.3</v>
      </c>
      <c r="H10" s="177">
        <f>'Intrensic Growth'!$J$51</f>
        <v>0.3</v>
      </c>
      <c r="I10" s="177">
        <f>'Intrensic Growth'!$J$51</f>
        <v>0.3</v>
      </c>
      <c r="J10" s="177">
        <f>'Intrensic Growth'!$J$51</f>
        <v>0.3</v>
      </c>
      <c r="K10" s="177">
        <f>'Intrensic Growth'!$J$51</f>
        <v>0.3</v>
      </c>
    </row>
    <row r="11" spans="2:11" x14ac:dyDescent="0.3">
      <c r="B11" s="176"/>
      <c r="C11" s="176"/>
      <c r="D11" s="176"/>
      <c r="E11" s="176"/>
      <c r="F11" s="176"/>
      <c r="G11" s="176"/>
      <c r="H11" s="176"/>
      <c r="I11" s="176"/>
      <c r="J11" s="176"/>
      <c r="K11" s="176"/>
    </row>
    <row r="12" spans="2:11" x14ac:dyDescent="0.3">
      <c r="B12" s="176" t="s">
        <v>231</v>
      </c>
      <c r="C12" s="176"/>
      <c r="D12" s="176"/>
      <c r="E12" s="176"/>
      <c r="F12" s="176">
        <f>'Intrensic Growth'!J52</f>
        <v>21149.905000000013</v>
      </c>
      <c r="G12" s="176">
        <f>G8*(1-G10)</f>
        <v>20920.868162351679</v>
      </c>
      <c r="H12" s="176">
        <f t="shared" ref="H12:K12" si="2">H8*(1-H10)</f>
        <v>20694.311613527334</v>
      </c>
      <c r="I12" s="176">
        <f t="shared" si="2"/>
        <v>20470.208493949656</v>
      </c>
      <c r="J12" s="176">
        <f t="shared" si="2"/>
        <v>20248.532234909424</v>
      </c>
      <c r="K12" s="176">
        <f t="shared" si="2"/>
        <v>20029.256555415639</v>
      </c>
    </row>
    <row r="13" spans="2:11" x14ac:dyDescent="0.3">
      <c r="B13" s="176"/>
      <c r="C13" s="176"/>
      <c r="D13" s="176"/>
      <c r="E13" s="176"/>
      <c r="F13" s="176"/>
      <c r="G13" s="176"/>
      <c r="H13" s="176"/>
      <c r="I13" s="176"/>
      <c r="J13" s="176"/>
      <c r="K13" s="176"/>
    </row>
    <row r="14" spans="2:11" x14ac:dyDescent="0.3">
      <c r="B14" s="178" t="s">
        <v>232</v>
      </c>
      <c r="C14" s="178"/>
      <c r="D14" s="178"/>
      <c r="E14" s="178"/>
      <c r="F14" s="179">
        <f>'Intrensic Growth'!J55</f>
        <v>0.55286300340356098</v>
      </c>
      <c r="G14" s="179">
        <f>'Intrensic Growth'!$J$57</f>
        <v>-1.0942524200911574E-2</v>
      </c>
      <c r="H14" s="179">
        <f>'Intrensic Growth'!$J$57</f>
        <v>-1.0942524200911574E-2</v>
      </c>
      <c r="I14" s="179">
        <f>'Intrensic Growth'!$J$57</f>
        <v>-1.0942524200911574E-2</v>
      </c>
      <c r="J14" s="179">
        <f>'Intrensic Growth'!$J$57</f>
        <v>-1.0942524200911574E-2</v>
      </c>
      <c r="K14" s="179">
        <f>'Intrensic Growth'!$J$57</f>
        <v>-1.0942524200911574E-2</v>
      </c>
    </row>
    <row r="16" spans="2:11" ht="15" thickBot="1" x14ac:dyDescent="0.35">
      <c r="B16" s="180" t="s">
        <v>233</v>
      </c>
      <c r="C16" s="180"/>
      <c r="D16" s="180"/>
      <c r="E16" s="180"/>
      <c r="F16" s="180">
        <f>F12*(1-F14)</f>
        <v>9456.9050000000152</v>
      </c>
      <c r="G16" s="180">
        <f t="shared" ref="G16:K16" si="3">G12*(1-G14)</f>
        <v>21149.795268522292</v>
      </c>
      <c r="H16" s="180">
        <f t="shared" si="3"/>
        <v>20920.759619179564</v>
      </c>
      <c r="I16" s="180">
        <f t="shared" si="3"/>
        <v>20694.204245792407</v>
      </c>
      <c r="J16" s="180">
        <f t="shared" si="3"/>
        <v>20470.102288922859</v>
      </c>
      <c r="K16" s="180">
        <f t="shared" si="3"/>
        <v>20248.42717999954</v>
      </c>
    </row>
    <row r="18" spans="2:12" x14ac:dyDescent="0.3">
      <c r="B18" s="176" t="s">
        <v>234</v>
      </c>
      <c r="C18" s="176"/>
      <c r="D18" s="176"/>
      <c r="E18" s="176"/>
      <c r="F18" s="176">
        <f>1/(1+$E$28)^F5</f>
        <v>1</v>
      </c>
      <c r="G18" s="176">
        <f t="shared" ref="G18:K18" si="4">1/(1+$E$28)^G5</f>
        <v>0.91408087476578859</v>
      </c>
      <c r="H18" s="176">
        <f t="shared" si="4"/>
        <v>0.76375464930272652</v>
      </c>
      <c r="I18" s="176">
        <f t="shared" si="4"/>
        <v>0.63815049678289437</v>
      </c>
      <c r="J18" s="176">
        <f t="shared" si="4"/>
        <v>0.53320272016156378</v>
      </c>
      <c r="K18" s="176">
        <f t="shared" si="4"/>
        <v>0.44551425129488625</v>
      </c>
    </row>
    <row r="20" spans="2:12" ht="15" thickBot="1" x14ac:dyDescent="0.35">
      <c r="B20" s="181" t="s">
        <v>235</v>
      </c>
      <c r="C20" s="181"/>
      <c r="D20" s="181"/>
      <c r="E20" s="181"/>
      <c r="F20" s="181">
        <f>F18*F16</f>
        <v>9456.9050000000152</v>
      </c>
      <c r="G20" s="181">
        <f t="shared" ref="G20:K20" si="5">G18*G16</f>
        <v>19332.623360168192</v>
      </c>
      <c r="H20" s="181">
        <f t="shared" si="5"/>
        <v>15978.32742609313</v>
      </c>
      <c r="I20" s="181">
        <f t="shared" si="5"/>
        <v>13206.016719979107</v>
      </c>
      <c r="J20" s="181">
        <f t="shared" si="5"/>
        <v>10914.714222439121</v>
      </c>
      <c r="K20" s="181">
        <f t="shared" si="5"/>
        <v>9020.9628749965195</v>
      </c>
    </row>
    <row r="21" spans="2:12" ht="15" thickTop="1" x14ac:dyDescent="0.3">
      <c r="B21" s="20"/>
    </row>
    <row r="22" spans="2:12" x14ac:dyDescent="0.3">
      <c r="B22" s="182" t="s">
        <v>236</v>
      </c>
      <c r="C22" s="182"/>
      <c r="D22" s="183"/>
      <c r="E22" s="184">
        <f>'Intrensic Growth'!J68</f>
        <v>-1.082921354248801E-2</v>
      </c>
    </row>
    <row r="23" spans="2:12" x14ac:dyDescent="0.3">
      <c r="B23" s="182" t="s">
        <v>237</v>
      </c>
      <c r="C23" s="183"/>
      <c r="D23" s="183"/>
      <c r="E23" s="194">
        <v>6.5000000000000002E-2</v>
      </c>
    </row>
    <row r="25" spans="2:12" x14ac:dyDescent="0.3">
      <c r="B25" s="185" t="s">
        <v>238</v>
      </c>
      <c r="C25" s="157"/>
      <c r="D25" s="157"/>
      <c r="E25" s="157"/>
      <c r="G25" s="186" t="s">
        <v>239</v>
      </c>
      <c r="H25" s="186"/>
      <c r="I25" s="186"/>
      <c r="J25" s="186"/>
      <c r="K25" s="186"/>
      <c r="L25" s="186"/>
    </row>
    <row r="26" spans="2:12" x14ac:dyDescent="0.3">
      <c r="B26" s="20"/>
    </row>
    <row r="27" spans="2:12" x14ac:dyDescent="0.3">
      <c r="B27" t="s">
        <v>240</v>
      </c>
      <c r="E27">
        <f>K16*(1+E22)</f>
        <v>20029.152638167809</v>
      </c>
      <c r="G27" s="187">
        <f>E37</f>
        <v>136142.79247824801</v>
      </c>
      <c r="H27" s="188">
        <v>0.12</v>
      </c>
      <c r="I27" s="188">
        <v>0.14000000000000001</v>
      </c>
      <c r="J27" s="188">
        <v>0.16</v>
      </c>
      <c r="K27" s="188">
        <v>0.18</v>
      </c>
      <c r="L27" s="188">
        <v>0.2</v>
      </c>
    </row>
    <row r="28" spans="2:12" x14ac:dyDescent="0.3">
      <c r="B28" s="22" t="s">
        <v>167</v>
      </c>
      <c r="E28" s="189">
        <f>WACC!$J$47</f>
        <v>0.19682528361732818</v>
      </c>
      <c r="G28" s="190">
        <v>0.02</v>
      </c>
      <c r="H28">
        <f t="dataTable" ref="H28:L32" dt2D="1" dtr="1" r1="E28" r2="E29"/>
        <v>199426.98218686724</v>
      </c>
      <c r="I28">
        <v>168636.18352409304</v>
      </c>
      <c r="J28">
        <v>146583.42980453509</v>
      </c>
      <c r="K28">
        <v>129995.94886957624</v>
      </c>
      <c r="L28">
        <v>117055.16514624456</v>
      </c>
    </row>
    <row r="29" spans="2:12" x14ac:dyDescent="0.3">
      <c r="B29" s="22" t="s">
        <v>241</v>
      </c>
      <c r="E29" s="189">
        <f>E23</f>
        <v>6.5000000000000002E-2</v>
      </c>
      <c r="G29" s="190">
        <v>0.04</v>
      </c>
      <c r="H29">
        <v>229496.15512711339</v>
      </c>
      <c r="I29">
        <v>187147.59330863174</v>
      </c>
      <c r="J29">
        <v>158810.49811818171</v>
      </c>
      <c r="K29">
        <v>138487.27498691529</v>
      </c>
      <c r="L29">
        <v>123178.45019378592</v>
      </c>
    </row>
    <row r="30" spans="2:12" x14ac:dyDescent="0.3">
      <c r="G30" s="190">
        <v>0.06</v>
      </c>
      <c r="H30">
        <v>279611.44336085697</v>
      </c>
      <c r="I30">
        <v>214914.70798543972</v>
      </c>
      <c r="J30">
        <v>175928.39375728698</v>
      </c>
      <c r="K30">
        <v>149809.04314336731</v>
      </c>
      <c r="L30">
        <v>131051.24525491049</v>
      </c>
    </row>
    <row r="31" spans="2:12" ht="15" thickBot="1" x14ac:dyDescent="0.35">
      <c r="B31" s="191" t="s">
        <v>242</v>
      </c>
      <c r="C31" s="191"/>
      <c r="D31" s="191"/>
      <c r="E31" s="191">
        <f>E27/(E28-E29)</f>
        <v>151937.1101549067</v>
      </c>
      <c r="G31" s="190">
        <v>0.08</v>
      </c>
      <c r="H31">
        <v>379842.01982834405</v>
      </c>
      <c r="I31">
        <v>261193.23244678642</v>
      </c>
      <c r="J31">
        <v>201605.23721594492</v>
      </c>
      <c r="K31">
        <v>165659.51856240013</v>
      </c>
      <c r="L31">
        <v>141548.30533640995</v>
      </c>
    </row>
    <row r="32" spans="2:12" x14ac:dyDescent="0.3">
      <c r="G32" s="190">
        <v>0.1</v>
      </c>
      <c r="H32">
        <v>680533.74923080555</v>
      </c>
      <c r="I32">
        <v>353750.28136947984</v>
      </c>
      <c r="J32">
        <v>244399.97631370809</v>
      </c>
      <c r="K32">
        <v>189435.23169094941</v>
      </c>
      <c r="L32">
        <v>156244.18945050918</v>
      </c>
    </row>
    <row r="33" spans="2:5" x14ac:dyDescent="0.3">
      <c r="B33" s="157" t="s">
        <v>243</v>
      </c>
      <c r="C33" s="157"/>
      <c r="D33" s="157"/>
      <c r="E33" s="157"/>
    </row>
    <row r="35" spans="2:5" x14ac:dyDescent="0.3">
      <c r="B35" t="s">
        <v>235</v>
      </c>
      <c r="E35">
        <f>SUM(G20:K20)</f>
        <v>68452.644603676075</v>
      </c>
    </row>
    <row r="36" spans="2:5" x14ac:dyDescent="0.3">
      <c r="B36" t="s">
        <v>244</v>
      </c>
      <c r="E36">
        <f>E31*K18</f>
        <v>67690.147874571921</v>
      </c>
    </row>
    <row r="37" spans="2:5" ht="15" thickBot="1" x14ac:dyDescent="0.35">
      <c r="B37" s="192" t="s">
        <v>245</v>
      </c>
      <c r="C37" s="191"/>
      <c r="D37" s="191"/>
      <c r="E37" s="191">
        <f>SUM(E35:E36)</f>
        <v>136142.79247824801</v>
      </c>
    </row>
    <row r="39" spans="2:5" x14ac:dyDescent="0.3">
      <c r="B39" t="s">
        <v>246</v>
      </c>
      <c r="E39" s="195">
        <f>'Raw Balance Sheet'!N45</f>
        <v>22965</v>
      </c>
    </row>
    <row r="40" spans="2:5" x14ac:dyDescent="0.3">
      <c r="B40" t="s">
        <v>247</v>
      </c>
      <c r="E40" s="195">
        <f>'Raw Balance Sheet'!N11+'Raw Balance Sheet'!N12</f>
        <v>93364</v>
      </c>
    </row>
    <row r="41" spans="2:5" x14ac:dyDescent="0.3">
      <c r="B41" s="20" t="s">
        <v>248</v>
      </c>
      <c r="E41" s="195">
        <f>E37+E39-E40</f>
        <v>65743.792478248011</v>
      </c>
    </row>
    <row r="42" spans="2:5" x14ac:dyDescent="0.3">
      <c r="B42" t="s">
        <v>249</v>
      </c>
      <c r="E42" s="193">
        <f>'Data Sheet'!B6</f>
        <v>137.53593522090597</v>
      </c>
    </row>
    <row r="43" spans="2:5" x14ac:dyDescent="0.3">
      <c r="B43" t="s">
        <v>250</v>
      </c>
      <c r="E43" s="193">
        <f>E41/E42</f>
        <v>478.01174560417513</v>
      </c>
    </row>
  </sheetData>
  <mergeCells count="1">
    <mergeCell ref="G25:L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6" sqref="B6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2" width="9.88671875" style="3" bestFit="1" customWidth="1"/>
    <col min="13" max="16384" width="8.77734375" style="3"/>
  </cols>
  <sheetData>
    <row r="1" spans="1:11" s="1" customFormat="1" x14ac:dyDescent="0.3">
      <c r="A1" s="1" t="s">
        <v>0</v>
      </c>
      <c r="B1" s="1" t="s">
        <v>34</v>
      </c>
      <c r="E1" s="49" t="str">
        <f>IF(B2&lt;&gt;B3, "A NEW VERSION OF THE WORKSHEET IS AVAILABLE", "")</f>
        <v/>
      </c>
      <c r="F1" s="49"/>
      <c r="G1" s="49"/>
      <c r="H1" s="49"/>
      <c r="I1" s="49"/>
      <c r="J1" s="49"/>
      <c r="K1" s="49"/>
    </row>
    <row r="2" spans="1:11" x14ac:dyDescent="0.3">
      <c r="A2" s="1" t="s">
        <v>32</v>
      </c>
      <c r="B2" s="3">
        <v>2.1</v>
      </c>
      <c r="E2" s="50" t="s">
        <v>23</v>
      </c>
      <c r="F2" s="50"/>
      <c r="G2" s="50"/>
      <c r="H2" s="50"/>
      <c r="I2" s="50"/>
      <c r="J2" s="50"/>
      <c r="K2" s="50"/>
    </row>
    <row r="3" spans="1:11" x14ac:dyDescent="0.3">
      <c r="A3" s="1" t="s">
        <v>33</v>
      </c>
      <c r="B3" s="3">
        <v>2.1</v>
      </c>
    </row>
    <row r="4" spans="1:11" x14ac:dyDescent="0.3">
      <c r="A4" s="1"/>
    </row>
    <row r="5" spans="1:11" x14ac:dyDescent="0.3">
      <c r="A5" s="1" t="s">
        <v>35</v>
      </c>
    </row>
    <row r="6" spans="1:11" x14ac:dyDescent="0.3">
      <c r="A6" s="3" t="s">
        <v>29</v>
      </c>
      <c r="B6" s="3">
        <f>IF(B9&gt;0, B9/B8, 0)</f>
        <v>137.53593522090597</v>
      </c>
    </row>
    <row r="7" spans="1:11" x14ac:dyDescent="0.3">
      <c r="A7" s="3" t="s">
        <v>18</v>
      </c>
      <c r="B7">
        <v>2</v>
      </c>
    </row>
    <row r="8" spans="1:11" x14ac:dyDescent="0.3">
      <c r="A8" s="3" t="s">
        <v>30</v>
      </c>
      <c r="B8">
        <v>3667.85</v>
      </c>
    </row>
    <row r="9" spans="1:11" x14ac:dyDescent="0.3">
      <c r="A9" s="3" t="s">
        <v>45</v>
      </c>
      <c r="B9">
        <v>504461.18</v>
      </c>
    </row>
    <row r="15" spans="1:11" x14ac:dyDescent="0.3">
      <c r="A15" s="1" t="s">
        <v>24</v>
      </c>
    </row>
    <row r="16" spans="1:11" s="9" customFormat="1" x14ac:dyDescent="0.3">
      <c r="A16" s="8" t="s">
        <v>25</v>
      </c>
      <c r="B16" s="7">
        <v>42460</v>
      </c>
      <c r="C16" s="7">
        <v>42825</v>
      </c>
      <c r="D16" s="7">
        <v>43190</v>
      </c>
      <c r="E16" s="7">
        <v>43555</v>
      </c>
      <c r="F16" s="7">
        <v>43921</v>
      </c>
      <c r="G16" s="7">
        <v>44286</v>
      </c>
      <c r="H16" s="7">
        <v>44651</v>
      </c>
      <c r="I16" s="7">
        <v>45016</v>
      </c>
      <c r="J16" s="7">
        <v>45382</v>
      </c>
      <c r="K16" s="7">
        <v>45747</v>
      </c>
    </row>
    <row r="17" spans="1:11" s="6" customFormat="1" x14ac:dyDescent="0.3">
      <c r="A17" s="6" t="s">
        <v>2</v>
      </c>
      <c r="B17">
        <v>101122.48</v>
      </c>
      <c r="C17">
        <v>109311.81</v>
      </c>
      <c r="D17">
        <v>119683.16</v>
      </c>
      <c r="E17">
        <v>135220.29</v>
      </c>
      <c r="F17">
        <v>145452.35999999999</v>
      </c>
      <c r="G17">
        <v>135979.03</v>
      </c>
      <c r="H17">
        <v>156521.23000000001</v>
      </c>
      <c r="I17">
        <v>183340.7</v>
      </c>
      <c r="J17">
        <v>221112.91</v>
      </c>
      <c r="K17">
        <v>255734.45</v>
      </c>
    </row>
    <row r="18" spans="1:11" s="6" customFormat="1" x14ac:dyDescent="0.3">
      <c r="A18" s="3" t="s">
        <v>46</v>
      </c>
      <c r="B18">
        <v>35320.19</v>
      </c>
      <c r="C18">
        <v>36648.54</v>
      </c>
      <c r="D18">
        <v>40876.239999999998</v>
      </c>
      <c r="E18">
        <v>46889.87</v>
      </c>
      <c r="F18">
        <v>46705.87</v>
      </c>
      <c r="G18">
        <v>41333.86</v>
      </c>
      <c r="H18">
        <v>51676.55</v>
      </c>
      <c r="I18">
        <v>63285.32</v>
      </c>
      <c r="J18">
        <v>75319.990000000005</v>
      </c>
      <c r="K18">
        <v>92583.6</v>
      </c>
    </row>
    <row r="19" spans="1:11" s="6" customFormat="1" x14ac:dyDescent="0.3">
      <c r="A19" s="3" t="s">
        <v>47</v>
      </c>
      <c r="B19">
        <v>514.86</v>
      </c>
      <c r="C19">
        <v>-84</v>
      </c>
      <c r="D19">
        <v>1315.23</v>
      </c>
      <c r="E19">
        <v>731.11</v>
      </c>
      <c r="F19">
        <v>-647.70000000000005</v>
      </c>
      <c r="G19">
        <v>-343.37</v>
      </c>
      <c r="H19">
        <v>2076.6</v>
      </c>
      <c r="I19">
        <v>3156.64</v>
      </c>
      <c r="J19">
        <v>-1021.07</v>
      </c>
      <c r="K19">
        <v>410.79</v>
      </c>
    </row>
    <row r="20" spans="1:11" s="6" customFormat="1" x14ac:dyDescent="0.3">
      <c r="A20" s="3" t="s">
        <v>48</v>
      </c>
      <c r="B20">
        <v>1243.45</v>
      </c>
      <c r="C20">
        <v>1423.19</v>
      </c>
      <c r="D20">
        <v>1399.62</v>
      </c>
      <c r="E20">
        <v>2205.6</v>
      </c>
      <c r="F20">
        <v>2079.84</v>
      </c>
      <c r="G20">
        <v>1581.33</v>
      </c>
      <c r="H20">
        <v>2267.2600000000002</v>
      </c>
      <c r="I20">
        <v>2655.76</v>
      </c>
      <c r="J20">
        <v>2745.19</v>
      </c>
      <c r="K20">
        <v>2534.42</v>
      </c>
    </row>
    <row r="21" spans="1:11" s="6" customFormat="1" x14ac:dyDescent="0.3">
      <c r="A21" s="3" t="s">
        <v>49</v>
      </c>
      <c r="B21">
        <v>28604.47</v>
      </c>
      <c r="C21">
        <v>32976.99</v>
      </c>
      <c r="D21">
        <v>35464.04</v>
      </c>
      <c r="E21">
        <v>38772.730000000003</v>
      </c>
      <c r="F21">
        <v>38942.54</v>
      </c>
      <c r="G21">
        <v>35725.839999999997</v>
      </c>
      <c r="H21">
        <v>41993.25</v>
      </c>
      <c r="I21">
        <v>47648.63</v>
      </c>
      <c r="J21">
        <v>61400.51</v>
      </c>
      <c r="K21">
        <v>70097.36</v>
      </c>
    </row>
    <row r="22" spans="1:11" s="6" customFormat="1" x14ac:dyDescent="0.3">
      <c r="A22" s="3" t="s">
        <v>50</v>
      </c>
      <c r="B22">
        <v>13333.69</v>
      </c>
      <c r="C22">
        <v>13857.57</v>
      </c>
      <c r="D22">
        <v>15277.07</v>
      </c>
      <c r="E22">
        <v>17475.349999999999</v>
      </c>
      <c r="F22">
        <v>23125.64</v>
      </c>
      <c r="G22">
        <v>24758.51</v>
      </c>
      <c r="H22">
        <v>29701.71</v>
      </c>
      <c r="I22">
        <v>37222.870000000003</v>
      </c>
      <c r="J22">
        <v>41178.199999999997</v>
      </c>
      <c r="K22">
        <v>46774.52</v>
      </c>
    </row>
    <row r="23" spans="1:11" s="6" customFormat="1" x14ac:dyDescent="0.3">
      <c r="A23" s="3" t="s">
        <v>51</v>
      </c>
      <c r="B23">
        <v>5154.66</v>
      </c>
      <c r="C23">
        <v>4273.1899999999996</v>
      </c>
      <c r="D23">
        <v>4576.99</v>
      </c>
      <c r="E23">
        <v>5074.72</v>
      </c>
      <c r="F23">
        <v>5255.1</v>
      </c>
      <c r="G23">
        <v>3039.18</v>
      </c>
      <c r="H23">
        <v>3575.28</v>
      </c>
      <c r="I23">
        <v>4650.22</v>
      </c>
      <c r="J23">
        <v>4908.12</v>
      </c>
      <c r="K23">
        <v>5520.6</v>
      </c>
    </row>
    <row r="24" spans="1:11" s="6" customFormat="1" x14ac:dyDescent="0.3">
      <c r="A24" s="3" t="s">
        <v>52</v>
      </c>
      <c r="B24">
        <v>2494.92</v>
      </c>
      <c r="C24">
        <v>3427.92</v>
      </c>
      <c r="D24">
        <v>3293.09</v>
      </c>
      <c r="E24">
        <v>2667.31</v>
      </c>
      <c r="F24">
        <v>4142.57</v>
      </c>
      <c r="G24">
        <v>5736.7</v>
      </c>
      <c r="H24">
        <v>5069.8900000000003</v>
      </c>
      <c r="I24">
        <v>3868.52</v>
      </c>
      <c r="J24">
        <v>5781.71</v>
      </c>
      <c r="K24">
        <v>4299.41</v>
      </c>
    </row>
    <row r="25" spans="1:11" s="6" customFormat="1" x14ac:dyDescent="0.3">
      <c r="A25" s="6" t="s">
        <v>5</v>
      </c>
      <c r="B25">
        <v>1219.07</v>
      </c>
      <c r="C25">
        <v>1465.54</v>
      </c>
      <c r="D25">
        <v>1464.93</v>
      </c>
      <c r="E25">
        <v>2700.61</v>
      </c>
      <c r="F25">
        <v>3015.47</v>
      </c>
      <c r="G25">
        <v>8111.25</v>
      </c>
      <c r="H25">
        <v>2364.0100000000002</v>
      </c>
      <c r="I25">
        <v>2890.7</v>
      </c>
      <c r="J25">
        <v>4953.49</v>
      </c>
      <c r="K25">
        <v>3289.42</v>
      </c>
    </row>
    <row r="26" spans="1:11" s="6" customFormat="1" x14ac:dyDescent="0.3">
      <c r="A26" s="6" t="s">
        <v>6</v>
      </c>
      <c r="B26">
        <v>1786.73</v>
      </c>
      <c r="C26">
        <v>2369.9299999999998</v>
      </c>
      <c r="D26">
        <v>2223.48</v>
      </c>
      <c r="E26">
        <v>1923.03</v>
      </c>
      <c r="F26">
        <v>2462.27</v>
      </c>
      <c r="G26">
        <v>2904.21</v>
      </c>
      <c r="H26">
        <v>2947.95</v>
      </c>
      <c r="I26">
        <v>3502.25</v>
      </c>
      <c r="J26">
        <v>3682.33</v>
      </c>
      <c r="K26">
        <v>4121.18</v>
      </c>
    </row>
    <row r="27" spans="1:11" s="6" customFormat="1" x14ac:dyDescent="0.3">
      <c r="A27" s="6" t="s">
        <v>7</v>
      </c>
      <c r="B27">
        <v>6898.68</v>
      </c>
      <c r="C27">
        <v>6828.66</v>
      </c>
      <c r="D27">
        <v>7713.63</v>
      </c>
      <c r="E27">
        <v>9338.73</v>
      </c>
      <c r="F27">
        <v>11020.78</v>
      </c>
      <c r="G27">
        <v>11749.58</v>
      </c>
      <c r="H27">
        <v>9234.98</v>
      </c>
      <c r="I27">
        <v>9445.44</v>
      </c>
      <c r="J27">
        <v>9512.17</v>
      </c>
      <c r="K27">
        <v>9924.7800000000007</v>
      </c>
    </row>
    <row r="28" spans="1:11" s="6" customFormat="1" x14ac:dyDescent="0.3">
      <c r="A28" s="6" t="s">
        <v>8</v>
      </c>
      <c r="B28">
        <v>8019.62</v>
      </c>
      <c r="C28">
        <v>8887.36</v>
      </c>
      <c r="D28">
        <v>11639.16</v>
      </c>
      <c r="E28">
        <v>14304.67</v>
      </c>
      <c r="F28">
        <v>14085.52</v>
      </c>
      <c r="G28">
        <v>16917.7</v>
      </c>
      <c r="H28">
        <v>14494.97</v>
      </c>
      <c r="I28">
        <v>17109.03</v>
      </c>
      <c r="J28">
        <v>20517.11</v>
      </c>
      <c r="K28">
        <v>23578.79</v>
      </c>
    </row>
    <row r="29" spans="1:11" s="6" customFormat="1" x14ac:dyDescent="0.3">
      <c r="A29" s="6" t="s">
        <v>9</v>
      </c>
      <c r="B29">
        <v>2436.96</v>
      </c>
      <c r="C29">
        <v>2006.59</v>
      </c>
      <c r="D29">
        <v>3198.87</v>
      </c>
      <c r="E29">
        <v>4067.09</v>
      </c>
      <c r="F29">
        <v>3263.2</v>
      </c>
      <c r="G29">
        <v>4010.82</v>
      </c>
      <c r="H29">
        <v>4203.92</v>
      </c>
      <c r="I29">
        <v>4484.16</v>
      </c>
      <c r="J29">
        <v>4947.3900000000003</v>
      </c>
      <c r="K29">
        <v>5891.4</v>
      </c>
    </row>
    <row r="30" spans="1:11" s="6" customFormat="1" x14ac:dyDescent="0.3">
      <c r="A30" s="6" t="s">
        <v>10</v>
      </c>
      <c r="B30">
        <v>4280.68</v>
      </c>
      <c r="C30">
        <v>6041.23</v>
      </c>
      <c r="D30">
        <v>7369.86</v>
      </c>
      <c r="E30">
        <v>8905.1299999999992</v>
      </c>
      <c r="F30">
        <v>9549.0300000000007</v>
      </c>
      <c r="G30">
        <v>11582.93</v>
      </c>
      <c r="H30">
        <v>8669.33</v>
      </c>
      <c r="I30">
        <v>10470.719999999999</v>
      </c>
      <c r="J30">
        <v>13059.11</v>
      </c>
      <c r="K30">
        <v>15037.11</v>
      </c>
    </row>
    <row r="31" spans="1:11" s="6" customFormat="1" x14ac:dyDescent="0.3">
      <c r="A31" s="6" t="s">
        <v>36</v>
      </c>
      <c r="B31">
        <v>1699.99</v>
      </c>
      <c r="C31">
        <v>1306.1300000000001</v>
      </c>
      <c r="D31">
        <v>2242.16</v>
      </c>
      <c r="E31">
        <v>2524.9499999999998</v>
      </c>
      <c r="F31">
        <v>2527.02</v>
      </c>
      <c r="G31">
        <v>5056.38</v>
      </c>
      <c r="H31">
        <v>3091.11</v>
      </c>
      <c r="I31">
        <v>3373.2</v>
      </c>
      <c r="J31">
        <v>4673.8100000000004</v>
      </c>
      <c r="K31">
        <v>4675.68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26</v>
      </c>
    </row>
    <row r="41" spans="1:11" s="9" customFormat="1" x14ac:dyDescent="0.3">
      <c r="A41" s="8" t="s">
        <v>25</v>
      </c>
      <c r="B41" s="7">
        <v>44926</v>
      </c>
      <c r="C41" s="7">
        <v>45016</v>
      </c>
      <c r="D41" s="7">
        <v>45107</v>
      </c>
      <c r="E41" s="7">
        <v>45199</v>
      </c>
      <c r="F41" s="7">
        <v>45291</v>
      </c>
      <c r="G41" s="7">
        <v>45382</v>
      </c>
      <c r="H41" s="7">
        <v>45473</v>
      </c>
      <c r="I41" s="7">
        <v>45565</v>
      </c>
      <c r="J41" s="7">
        <v>45657</v>
      </c>
      <c r="K41" s="7">
        <v>45747</v>
      </c>
    </row>
    <row r="42" spans="1:11" s="6" customFormat="1" x14ac:dyDescent="0.3">
      <c r="A42" s="6" t="s">
        <v>2</v>
      </c>
      <c r="B42">
        <v>46389.72</v>
      </c>
      <c r="C42">
        <v>58335.15</v>
      </c>
      <c r="D42">
        <v>47882.37</v>
      </c>
      <c r="E42">
        <v>51024.04</v>
      </c>
      <c r="F42">
        <v>55127.82</v>
      </c>
      <c r="G42">
        <v>67078.679999999993</v>
      </c>
      <c r="H42">
        <v>55119.82</v>
      </c>
      <c r="I42">
        <v>61554.58</v>
      </c>
      <c r="J42">
        <v>64667.78</v>
      </c>
      <c r="K42">
        <v>74392.28</v>
      </c>
    </row>
    <row r="43" spans="1:11" s="6" customFormat="1" x14ac:dyDescent="0.3">
      <c r="A43" s="6" t="s">
        <v>3</v>
      </c>
      <c r="B43">
        <v>39736.25</v>
      </c>
      <c r="C43">
        <v>49980.91</v>
      </c>
      <c r="D43">
        <v>41566.01</v>
      </c>
      <c r="E43">
        <v>43983.67</v>
      </c>
      <c r="F43">
        <v>47929.17</v>
      </c>
      <c r="G43">
        <v>58425.64</v>
      </c>
      <c r="H43">
        <v>48074</v>
      </c>
      <c r="I43">
        <v>53637.53</v>
      </c>
      <c r="J43">
        <v>56769.62</v>
      </c>
      <c r="K43">
        <v>64516.34</v>
      </c>
    </row>
    <row r="44" spans="1:11" s="6" customFormat="1" x14ac:dyDescent="0.3">
      <c r="A44" s="6" t="s">
        <v>5</v>
      </c>
      <c r="B44">
        <v>891.02</v>
      </c>
      <c r="C44">
        <v>740.91</v>
      </c>
      <c r="D44">
        <v>1145.56</v>
      </c>
      <c r="E44">
        <v>1132.98</v>
      </c>
      <c r="F44">
        <v>837.75</v>
      </c>
      <c r="G44">
        <v>1135.3499999999999</v>
      </c>
      <c r="H44">
        <v>920.64</v>
      </c>
      <c r="I44">
        <v>1101.27</v>
      </c>
      <c r="J44">
        <v>967.87</v>
      </c>
      <c r="K44">
        <v>1609.83</v>
      </c>
    </row>
    <row r="45" spans="1:11" s="6" customFormat="1" x14ac:dyDescent="0.3">
      <c r="A45" s="6" t="s">
        <v>6</v>
      </c>
      <c r="B45">
        <v>825.18</v>
      </c>
      <c r="C45">
        <v>853.5</v>
      </c>
      <c r="D45">
        <v>830.47</v>
      </c>
      <c r="E45">
        <v>909.89</v>
      </c>
      <c r="F45">
        <v>920.75</v>
      </c>
      <c r="G45">
        <v>1021.2</v>
      </c>
      <c r="H45">
        <v>997.92</v>
      </c>
      <c r="I45">
        <v>1023.84</v>
      </c>
      <c r="J45">
        <v>1047</v>
      </c>
      <c r="K45">
        <v>1052.42</v>
      </c>
    </row>
    <row r="46" spans="1:11" s="6" customFormat="1" x14ac:dyDescent="0.3">
      <c r="A46" s="6" t="s">
        <v>7</v>
      </c>
      <c r="B46">
        <v>2382.88</v>
      </c>
      <c r="C46">
        <v>2334.29</v>
      </c>
      <c r="D46">
        <v>2299.08</v>
      </c>
      <c r="E46">
        <v>2272.39</v>
      </c>
      <c r="F46">
        <v>2343.8200000000002</v>
      </c>
      <c r="G46">
        <v>2345.35</v>
      </c>
      <c r="H46">
        <v>2291.89</v>
      </c>
      <c r="I46">
        <v>2439.39</v>
      </c>
      <c r="J46">
        <v>2486</v>
      </c>
      <c r="K46">
        <v>2419.33</v>
      </c>
    </row>
    <row r="47" spans="1:11" s="6" customFormat="1" x14ac:dyDescent="0.3">
      <c r="A47" s="6" t="s">
        <v>8</v>
      </c>
      <c r="B47">
        <v>4336.43</v>
      </c>
      <c r="C47">
        <v>5907.36</v>
      </c>
      <c r="D47">
        <v>4332.37</v>
      </c>
      <c r="E47">
        <v>4991.07</v>
      </c>
      <c r="F47">
        <v>4771.83</v>
      </c>
      <c r="G47">
        <v>6421.84</v>
      </c>
      <c r="H47">
        <v>4676.6499999999996</v>
      </c>
      <c r="I47">
        <v>5555.09</v>
      </c>
      <c r="J47">
        <v>5333.03</v>
      </c>
      <c r="K47">
        <v>8014.02</v>
      </c>
    </row>
    <row r="48" spans="1:11" s="6" customFormat="1" x14ac:dyDescent="0.3">
      <c r="A48" s="6" t="s">
        <v>9</v>
      </c>
      <c r="B48">
        <v>1270.5</v>
      </c>
      <c r="C48">
        <v>1460.62</v>
      </c>
      <c r="D48">
        <v>1216.25</v>
      </c>
      <c r="E48">
        <v>1135.52</v>
      </c>
      <c r="F48">
        <v>1177.32</v>
      </c>
      <c r="G48">
        <v>1418.3</v>
      </c>
      <c r="H48">
        <v>1236.54</v>
      </c>
      <c r="I48">
        <v>1442.28</v>
      </c>
      <c r="J48">
        <v>1332</v>
      </c>
      <c r="K48">
        <v>1880.58</v>
      </c>
    </row>
    <row r="49" spans="1:11" s="6" customFormat="1" x14ac:dyDescent="0.3">
      <c r="A49" s="6" t="s">
        <v>10</v>
      </c>
      <c r="B49">
        <v>2552.92</v>
      </c>
      <c r="C49">
        <v>3986.78</v>
      </c>
      <c r="D49">
        <v>2493</v>
      </c>
      <c r="E49">
        <v>3222.63</v>
      </c>
      <c r="F49">
        <v>2947.36</v>
      </c>
      <c r="G49">
        <v>4396.12</v>
      </c>
      <c r="H49">
        <v>2785.72</v>
      </c>
      <c r="I49">
        <v>3395.29</v>
      </c>
      <c r="J49">
        <v>3358.84</v>
      </c>
      <c r="K49">
        <v>5497.26</v>
      </c>
    </row>
    <row r="50" spans="1:11" x14ac:dyDescent="0.3">
      <c r="A50" s="6" t="s">
        <v>4</v>
      </c>
      <c r="B50">
        <v>6653.47</v>
      </c>
      <c r="C50">
        <v>8354.24</v>
      </c>
      <c r="D50">
        <v>6316.36</v>
      </c>
      <c r="E50">
        <v>7040.37</v>
      </c>
      <c r="F50">
        <v>7198.65</v>
      </c>
      <c r="G50">
        <v>8653.0400000000009</v>
      </c>
      <c r="H50">
        <v>7045.82</v>
      </c>
      <c r="I50">
        <v>7917.05</v>
      </c>
      <c r="J50">
        <v>7898.16</v>
      </c>
      <c r="K50">
        <v>9875.94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27</v>
      </c>
    </row>
    <row r="56" spans="1:11" s="9" customFormat="1" x14ac:dyDescent="0.3">
      <c r="A56" s="8" t="s">
        <v>25</v>
      </c>
      <c r="B56" s="7">
        <v>42460</v>
      </c>
      <c r="C56" s="7">
        <v>42825</v>
      </c>
      <c r="D56" s="7">
        <v>43190</v>
      </c>
      <c r="E56" s="7">
        <v>43555</v>
      </c>
      <c r="F56" s="7">
        <v>43921</v>
      </c>
      <c r="G56" s="7">
        <v>44286</v>
      </c>
      <c r="H56" s="7">
        <v>44651</v>
      </c>
      <c r="I56" s="7">
        <v>45016</v>
      </c>
      <c r="J56" s="7">
        <v>45382</v>
      </c>
      <c r="K56" s="7">
        <v>45747</v>
      </c>
    </row>
    <row r="57" spans="1:11" x14ac:dyDescent="0.3">
      <c r="A57" s="6" t="s">
        <v>12</v>
      </c>
      <c r="B57">
        <v>186.3</v>
      </c>
      <c r="C57">
        <v>186.59</v>
      </c>
      <c r="D57">
        <v>280.27</v>
      </c>
      <c r="E57">
        <v>280.55</v>
      </c>
      <c r="F57">
        <v>280.77999999999997</v>
      </c>
      <c r="G57">
        <v>280.91000000000003</v>
      </c>
      <c r="H57">
        <v>281.01</v>
      </c>
      <c r="I57">
        <v>281.10000000000002</v>
      </c>
      <c r="J57">
        <v>274.93</v>
      </c>
      <c r="K57">
        <v>275.04000000000002</v>
      </c>
    </row>
    <row r="58" spans="1:11" x14ac:dyDescent="0.3">
      <c r="A58" s="6" t="s">
        <v>13</v>
      </c>
      <c r="B58">
        <v>43994.06</v>
      </c>
      <c r="C58">
        <v>50029.93</v>
      </c>
      <c r="D58">
        <v>54623.23</v>
      </c>
      <c r="E58">
        <v>62094.25</v>
      </c>
      <c r="F58">
        <v>66442.44</v>
      </c>
      <c r="G58">
        <v>75587.62</v>
      </c>
      <c r="H58">
        <v>82126.649999999994</v>
      </c>
      <c r="I58">
        <v>89044.85</v>
      </c>
      <c r="J58">
        <v>86084.31</v>
      </c>
      <c r="K58">
        <v>97380.56</v>
      </c>
    </row>
    <row r="59" spans="1:11" x14ac:dyDescent="0.3">
      <c r="A59" s="6" t="s">
        <v>37</v>
      </c>
      <c r="B59">
        <v>88135.49</v>
      </c>
      <c r="C59">
        <v>93953.95</v>
      </c>
      <c r="D59">
        <v>107524.08</v>
      </c>
      <c r="E59">
        <v>125555.17</v>
      </c>
      <c r="F59">
        <v>143173.67000000001</v>
      </c>
      <c r="G59">
        <v>134629.07999999999</v>
      </c>
      <c r="H59">
        <v>125508.08</v>
      </c>
      <c r="I59">
        <v>120650.44</v>
      </c>
      <c r="J59">
        <v>116322.22</v>
      </c>
      <c r="K59">
        <v>132408.92000000001</v>
      </c>
    </row>
    <row r="60" spans="1:11" x14ac:dyDescent="0.3">
      <c r="A60" s="6" t="s">
        <v>38</v>
      </c>
      <c r="B60">
        <v>61774.82</v>
      </c>
      <c r="C60">
        <v>67400.179999999993</v>
      </c>
      <c r="D60">
        <v>80811.95</v>
      </c>
      <c r="E60">
        <v>90106.26</v>
      </c>
      <c r="F60">
        <v>96790.2</v>
      </c>
      <c r="G60">
        <v>99597.440000000002</v>
      </c>
      <c r="H60">
        <v>111112.17</v>
      </c>
      <c r="I60">
        <v>119745.49</v>
      </c>
      <c r="J60">
        <v>136920.88</v>
      </c>
      <c r="K60">
        <v>149049.57</v>
      </c>
    </row>
    <row r="61" spans="1:11" s="1" customFormat="1" x14ac:dyDescent="0.3">
      <c r="A61" s="1" t="s">
        <v>14</v>
      </c>
      <c r="B61">
        <v>194090.67</v>
      </c>
      <c r="C61">
        <v>211570.65</v>
      </c>
      <c r="D61">
        <v>243239.53</v>
      </c>
      <c r="E61">
        <v>278036.23</v>
      </c>
      <c r="F61">
        <v>306687.09000000003</v>
      </c>
      <c r="G61">
        <v>310095.05</v>
      </c>
      <c r="H61">
        <v>319027.90999999997</v>
      </c>
      <c r="I61">
        <v>329721.88</v>
      </c>
      <c r="J61">
        <v>339602.34</v>
      </c>
      <c r="K61">
        <v>379114.09</v>
      </c>
    </row>
    <row r="62" spans="1:11" x14ac:dyDescent="0.3">
      <c r="A62" s="6" t="s">
        <v>15</v>
      </c>
      <c r="B62">
        <v>14175.7</v>
      </c>
      <c r="C62">
        <v>16677.11</v>
      </c>
      <c r="D62">
        <v>18580.189999999999</v>
      </c>
      <c r="E62">
        <v>21193.94</v>
      </c>
      <c r="F62">
        <v>43653.38</v>
      </c>
      <c r="G62">
        <v>44319.32</v>
      </c>
      <c r="H62">
        <v>42945.01</v>
      </c>
      <c r="I62">
        <v>42641</v>
      </c>
      <c r="J62">
        <v>42963.82</v>
      </c>
      <c r="K62">
        <v>44055.45</v>
      </c>
    </row>
    <row r="63" spans="1:11" x14ac:dyDescent="0.3">
      <c r="A63" s="6" t="s">
        <v>16</v>
      </c>
      <c r="B63">
        <v>10974.45</v>
      </c>
      <c r="C63">
        <v>13297.94</v>
      </c>
      <c r="D63">
        <v>13443.43</v>
      </c>
      <c r="E63">
        <v>13919.49</v>
      </c>
      <c r="F63">
        <v>3311.09</v>
      </c>
      <c r="G63">
        <v>500.39</v>
      </c>
      <c r="H63">
        <v>1249.55</v>
      </c>
      <c r="I63">
        <v>3065.57</v>
      </c>
      <c r="J63">
        <v>3045.01</v>
      </c>
      <c r="K63">
        <v>2588.6799999999998</v>
      </c>
    </row>
    <row r="64" spans="1:11" x14ac:dyDescent="0.3">
      <c r="A64" s="6" t="s">
        <v>17</v>
      </c>
      <c r="B64">
        <v>15465.08</v>
      </c>
      <c r="C64">
        <v>19753.02</v>
      </c>
      <c r="D64">
        <v>15311.31</v>
      </c>
      <c r="E64">
        <v>20907.099999999999</v>
      </c>
      <c r="F64">
        <v>20047.48</v>
      </c>
      <c r="G64">
        <v>39626.629999999997</v>
      </c>
      <c r="H64">
        <v>39395.18</v>
      </c>
      <c r="I64">
        <v>44798.31</v>
      </c>
      <c r="J64">
        <v>45647.82</v>
      </c>
      <c r="K64">
        <v>54805.27</v>
      </c>
    </row>
    <row r="65" spans="1:11" x14ac:dyDescent="0.3">
      <c r="A65" s="6" t="s">
        <v>39</v>
      </c>
      <c r="B65">
        <v>153475.44</v>
      </c>
      <c r="C65">
        <v>161842.57999999999</v>
      </c>
      <c r="D65">
        <v>195904.6</v>
      </c>
      <c r="E65">
        <v>222015.7</v>
      </c>
      <c r="F65">
        <v>239675.14</v>
      </c>
      <c r="G65">
        <v>225648.71</v>
      </c>
      <c r="H65">
        <v>235438.17</v>
      </c>
      <c r="I65">
        <v>239217</v>
      </c>
      <c r="J65">
        <v>247945.69</v>
      </c>
      <c r="K65">
        <v>277664.69</v>
      </c>
    </row>
    <row r="66" spans="1:11" s="1" customFormat="1" x14ac:dyDescent="0.3">
      <c r="A66" s="1" t="s">
        <v>14</v>
      </c>
      <c r="B66">
        <v>194090.67</v>
      </c>
      <c r="C66">
        <v>211570.65</v>
      </c>
      <c r="D66">
        <v>243239.53</v>
      </c>
      <c r="E66">
        <v>278036.23</v>
      </c>
      <c r="F66">
        <v>306687.09000000003</v>
      </c>
      <c r="G66">
        <v>310095.05</v>
      </c>
      <c r="H66">
        <v>319027.90999999997</v>
      </c>
      <c r="I66">
        <v>329721.88</v>
      </c>
      <c r="J66">
        <v>339602.34</v>
      </c>
      <c r="K66">
        <v>379114.09</v>
      </c>
    </row>
    <row r="67" spans="1:11" s="6" customFormat="1" x14ac:dyDescent="0.3">
      <c r="A67" s="6" t="s">
        <v>44</v>
      </c>
      <c r="B67">
        <v>26024.98</v>
      </c>
      <c r="C67">
        <v>28688.97</v>
      </c>
      <c r="D67">
        <v>33116.980000000003</v>
      </c>
      <c r="E67">
        <v>36845.870000000003</v>
      </c>
      <c r="F67">
        <v>40731.519999999997</v>
      </c>
      <c r="G67">
        <v>42229.78</v>
      </c>
      <c r="H67">
        <v>46139.32</v>
      </c>
      <c r="I67">
        <v>44731.53</v>
      </c>
      <c r="J67">
        <v>48770.95</v>
      </c>
      <c r="K67">
        <v>53713.68</v>
      </c>
    </row>
    <row r="68" spans="1:11" x14ac:dyDescent="0.3">
      <c r="A68" s="6" t="s">
        <v>31</v>
      </c>
      <c r="B68">
        <v>4854.21</v>
      </c>
      <c r="C68">
        <v>4139.74</v>
      </c>
      <c r="D68">
        <v>4847.8</v>
      </c>
      <c r="E68">
        <v>6413.93</v>
      </c>
      <c r="F68">
        <v>5746.65</v>
      </c>
      <c r="G68">
        <v>5820.54</v>
      </c>
      <c r="H68">
        <v>5943.32</v>
      </c>
      <c r="I68">
        <v>6828.78</v>
      </c>
      <c r="J68">
        <v>6620.19</v>
      </c>
      <c r="K68">
        <v>7670.55</v>
      </c>
    </row>
    <row r="69" spans="1:11" x14ac:dyDescent="0.3">
      <c r="A69" s="3" t="s">
        <v>53</v>
      </c>
      <c r="B69">
        <v>5389.91</v>
      </c>
      <c r="C69">
        <v>5305.96</v>
      </c>
      <c r="D69">
        <v>8032.73</v>
      </c>
      <c r="E69">
        <v>11726.24</v>
      </c>
      <c r="F69">
        <v>15117.78</v>
      </c>
      <c r="G69">
        <v>16241.5</v>
      </c>
      <c r="H69">
        <v>18953.169999999998</v>
      </c>
      <c r="I69">
        <v>22519.599999999999</v>
      </c>
      <c r="J69">
        <v>15358.39</v>
      </c>
      <c r="K69">
        <v>22965.34</v>
      </c>
    </row>
    <row r="70" spans="1:11" x14ac:dyDescent="0.3">
      <c r="A70" s="3" t="s">
        <v>40</v>
      </c>
      <c r="B70">
        <v>931478845</v>
      </c>
      <c r="C70">
        <v>932965803</v>
      </c>
      <c r="D70">
        <v>1401369456</v>
      </c>
      <c r="E70">
        <v>1402729385</v>
      </c>
      <c r="F70">
        <v>1403892022</v>
      </c>
      <c r="G70">
        <v>1404555297</v>
      </c>
      <c r="H70">
        <v>1405029123</v>
      </c>
      <c r="I70">
        <v>1405482190</v>
      </c>
      <c r="J70">
        <v>1374668619</v>
      </c>
      <c r="K70">
        <v>1375192165</v>
      </c>
    </row>
    <row r="71" spans="1:11" x14ac:dyDescent="0.3">
      <c r="A71" s="3" t="s">
        <v>41</v>
      </c>
      <c r="D71">
        <v>466764755</v>
      </c>
    </row>
    <row r="72" spans="1:11" x14ac:dyDescent="0.3">
      <c r="A72" s="3" t="s">
        <v>54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28</v>
      </c>
    </row>
    <row r="81" spans="1:11" s="9" customFormat="1" x14ac:dyDescent="0.3">
      <c r="A81" s="8" t="s">
        <v>25</v>
      </c>
      <c r="B81" s="7">
        <v>42460</v>
      </c>
      <c r="C81" s="7">
        <v>42825</v>
      </c>
      <c r="D81" s="7">
        <v>43190</v>
      </c>
      <c r="E81" s="7">
        <v>43555</v>
      </c>
      <c r="F81" s="7">
        <v>43921</v>
      </c>
      <c r="G81" s="7">
        <v>44286</v>
      </c>
      <c r="H81" s="7">
        <v>44651</v>
      </c>
      <c r="I81" s="7">
        <v>45016</v>
      </c>
      <c r="J81" s="7">
        <v>45382</v>
      </c>
      <c r="K81" s="7">
        <v>45747</v>
      </c>
    </row>
    <row r="82" spans="1:11" s="1" customFormat="1" x14ac:dyDescent="0.3">
      <c r="A82" s="6" t="s">
        <v>19</v>
      </c>
      <c r="B82">
        <v>-3239.59</v>
      </c>
      <c r="C82">
        <v>6655.26</v>
      </c>
      <c r="D82">
        <v>-10031.02</v>
      </c>
      <c r="E82">
        <v>-4755.83</v>
      </c>
      <c r="F82">
        <v>6693.88</v>
      </c>
      <c r="G82">
        <v>23073.82</v>
      </c>
      <c r="H82">
        <v>19163.580000000002</v>
      </c>
      <c r="I82">
        <v>22776.959999999999</v>
      </c>
      <c r="J82">
        <v>18266.28</v>
      </c>
      <c r="K82">
        <v>9160.7099999999991</v>
      </c>
    </row>
    <row r="83" spans="1:11" s="6" customFormat="1" x14ac:dyDescent="0.3">
      <c r="A83" s="6" t="s">
        <v>20</v>
      </c>
      <c r="B83">
        <v>-4626.5600000000004</v>
      </c>
      <c r="C83">
        <v>-9795.94</v>
      </c>
      <c r="D83">
        <v>3914.5</v>
      </c>
      <c r="E83">
        <v>-11022.8</v>
      </c>
      <c r="F83">
        <v>-8407.7099999999991</v>
      </c>
      <c r="G83">
        <v>-5750.49</v>
      </c>
      <c r="H83">
        <v>-3585.38</v>
      </c>
      <c r="I83">
        <v>-8048.02</v>
      </c>
      <c r="J83">
        <v>2178.89</v>
      </c>
      <c r="K83">
        <v>-15488.83</v>
      </c>
    </row>
    <row r="84" spans="1:11" s="6" customFormat="1" x14ac:dyDescent="0.3">
      <c r="A84" s="6" t="s">
        <v>21</v>
      </c>
      <c r="B84">
        <v>7252.7</v>
      </c>
      <c r="C84">
        <v>2895.93</v>
      </c>
      <c r="D84">
        <v>9370.4599999999991</v>
      </c>
      <c r="E84">
        <v>15440.17</v>
      </c>
      <c r="F84">
        <v>6371.55</v>
      </c>
      <c r="G84">
        <v>-15274.38</v>
      </c>
      <c r="H84">
        <v>-15181.48</v>
      </c>
      <c r="I84">
        <v>-11572.49</v>
      </c>
      <c r="J84">
        <v>-25413.360000000001</v>
      </c>
      <c r="K84">
        <v>6556.62</v>
      </c>
    </row>
    <row r="85" spans="1:11" s="1" customFormat="1" x14ac:dyDescent="0.3">
      <c r="A85" s="6" t="s">
        <v>22</v>
      </c>
      <c r="B85">
        <v>-613.45000000000005</v>
      </c>
      <c r="C85">
        <v>-244.75</v>
      </c>
      <c r="D85">
        <v>3253.94</v>
      </c>
      <c r="E85">
        <v>-338.46</v>
      </c>
      <c r="F85">
        <v>4657.72</v>
      </c>
      <c r="G85">
        <v>2048.9499999999998</v>
      </c>
      <c r="H85">
        <v>396.72</v>
      </c>
      <c r="I85">
        <v>3156.45</v>
      </c>
      <c r="J85">
        <v>-4968.1899999999996</v>
      </c>
      <c r="K85">
        <v>228.5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43</v>
      </c>
      <c r="B90">
        <v>811.13</v>
      </c>
      <c r="C90">
        <v>1049.93</v>
      </c>
      <c r="D90">
        <v>1310.9</v>
      </c>
      <c r="E90">
        <v>1385.3</v>
      </c>
      <c r="F90">
        <v>808.5</v>
      </c>
      <c r="G90">
        <v>1418.9</v>
      </c>
      <c r="H90">
        <v>1767.65</v>
      </c>
      <c r="I90">
        <v>2164.1999999999998</v>
      </c>
      <c r="J90">
        <v>3763.9</v>
      </c>
      <c r="K90">
        <v>3492.3</v>
      </c>
    </row>
    <row r="92" spans="1:11" s="1" customFormat="1" x14ac:dyDescent="0.3">
      <c r="A92" s="1" t="s">
        <v>42</v>
      </c>
    </row>
    <row r="93" spans="1:11" x14ac:dyDescent="0.3">
      <c r="A93" s="3" t="s">
        <v>55</v>
      </c>
      <c r="B93" s="11">
        <v>139.72</v>
      </c>
      <c r="C93" s="11">
        <v>139.94</v>
      </c>
      <c r="D93" s="11">
        <v>140.13999999999999</v>
      </c>
      <c r="E93" s="11">
        <v>140.27000000000001</v>
      </c>
      <c r="F93" s="11">
        <v>140.38999999999999</v>
      </c>
      <c r="G93" s="11">
        <v>140.46</v>
      </c>
      <c r="H93" s="11">
        <v>140.5</v>
      </c>
      <c r="I93" s="11">
        <v>140.55000000000001</v>
      </c>
      <c r="J93" s="11">
        <v>137.47</v>
      </c>
      <c r="K93" s="11">
        <v>137.52000000000001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31"/>
  <sheetViews>
    <sheetView zoomScale="150" zoomScaleNormal="150" zoomScalePageLayoutView="150" workbookViewId="0">
      <pane xSplit="1" ySplit="2" topLeftCell="D15" activePane="bottomRight" state="frozen"/>
      <selection pane="topRight" activeCell="B1" sqref="B1"/>
      <selection pane="bottomLeft" activeCell="A4" sqref="A4"/>
      <selection pane="bottomRight" activeCell="L24" sqref="L24:L30"/>
    </sheetView>
  </sheetViews>
  <sheetFormatPr defaultColWidth="8.77734375" defaultRowHeight="14.4" x14ac:dyDescent="0.3"/>
  <cols>
    <col min="1" max="1" width="26.77734375" style="4" bestFit="1" customWidth="1"/>
    <col min="2" max="3" width="13.44140625" style="4" customWidth="1"/>
    <col min="4" max="6" width="13.44140625" style="4" hidden="1" customWidth="1"/>
    <col min="7" max="9" width="13.44140625" style="4" bestFit="1" customWidth="1"/>
    <col min="10" max="16384" width="8.77734375" style="4"/>
  </cols>
  <sheetData>
    <row r="1" spans="1:12" s="5" customFormat="1" x14ac:dyDescent="0.3">
      <c r="A1" s="5" t="e">
        <f>#REF!</f>
        <v>#REF!</v>
      </c>
      <c r="C1">
        <f>UPDATE</f>
        <v>0</v>
      </c>
      <c r="D1"/>
      <c r="H1" s="2" t="s">
        <v>1</v>
      </c>
      <c r="I1" s="2"/>
    </row>
    <row r="3" spans="1:12" s="5" customFormat="1" ht="15" thickBot="1" x14ac:dyDescent="0.35">
      <c r="B3" s="26">
        <v>42430</v>
      </c>
      <c r="C3" s="26">
        <v>42795</v>
      </c>
      <c r="D3" s="26">
        <v>43160</v>
      </c>
      <c r="E3" s="26">
        <v>43525</v>
      </c>
      <c r="F3" s="26">
        <v>43891</v>
      </c>
      <c r="G3" s="26">
        <v>44256</v>
      </c>
      <c r="H3" s="26">
        <v>44621</v>
      </c>
      <c r="I3" s="26">
        <v>44986</v>
      </c>
      <c r="J3" s="26">
        <v>45352</v>
      </c>
      <c r="K3" s="26">
        <v>45717</v>
      </c>
      <c r="L3" s="25"/>
    </row>
    <row r="4" spans="1:12" ht="15" thickBot="1" x14ac:dyDescent="0.35">
      <c r="A4" s="27" t="s">
        <v>89</v>
      </c>
      <c r="B4" s="28">
        <v>-75</v>
      </c>
      <c r="C4" s="29">
        <v>1662</v>
      </c>
      <c r="D4" s="28">
        <v>660</v>
      </c>
      <c r="E4" s="28">
        <v>199</v>
      </c>
      <c r="F4" s="28">
        <v>87</v>
      </c>
      <c r="G4" s="28">
        <v>840</v>
      </c>
      <c r="H4" s="28">
        <v>-284</v>
      </c>
      <c r="I4" s="28">
        <v>614</v>
      </c>
      <c r="J4" s="28">
        <v>311</v>
      </c>
      <c r="K4" s="28">
        <v>419</v>
      </c>
    </row>
    <row r="5" spans="1:12" x14ac:dyDescent="0.3">
      <c r="A5" s="30" t="s">
        <v>90</v>
      </c>
      <c r="B5" s="28">
        <v>893</v>
      </c>
      <c r="C5" s="29">
        <v>1063</v>
      </c>
      <c r="D5" s="29">
        <v>1123</v>
      </c>
      <c r="E5" s="29">
        <v>1075</v>
      </c>
      <c r="F5" s="29">
        <v>1304</v>
      </c>
      <c r="G5" s="29">
        <v>1278</v>
      </c>
      <c r="H5" s="28">
        <v>928</v>
      </c>
      <c r="I5" s="28">
        <v>854</v>
      </c>
      <c r="J5" s="29">
        <v>1353</v>
      </c>
      <c r="K5" s="29">
        <v>1786</v>
      </c>
      <c r="L5" s="43"/>
    </row>
    <row r="6" spans="1:12" s="5" customFormat="1" x14ac:dyDescent="0.3">
      <c r="A6" s="31" t="s">
        <v>44</v>
      </c>
      <c r="B6" s="32">
        <v>-967</v>
      </c>
      <c r="C6" s="32">
        <v>254</v>
      </c>
      <c r="D6" s="32">
        <v>-895</v>
      </c>
      <c r="E6" s="32">
        <v>-80</v>
      </c>
      <c r="F6" s="32">
        <v>-476</v>
      </c>
      <c r="G6" s="32">
        <v>-324</v>
      </c>
      <c r="H6" s="32">
        <v>8</v>
      </c>
      <c r="I6" s="33">
        <v>-1195</v>
      </c>
      <c r="J6" s="32">
        <v>145</v>
      </c>
      <c r="K6" s="32">
        <v>-993</v>
      </c>
      <c r="L6" s="44"/>
    </row>
    <row r="7" spans="1:12" x14ac:dyDescent="0.3">
      <c r="A7" s="31" t="s">
        <v>31</v>
      </c>
      <c r="B7" s="32">
        <v>30</v>
      </c>
      <c r="C7" s="32">
        <v>-35</v>
      </c>
      <c r="D7" s="32">
        <v>-233</v>
      </c>
      <c r="E7" s="32">
        <v>-14</v>
      </c>
      <c r="F7" s="32">
        <v>-135</v>
      </c>
      <c r="G7" s="32">
        <v>-66</v>
      </c>
      <c r="H7" s="32">
        <v>-213</v>
      </c>
      <c r="I7" s="32">
        <v>-47</v>
      </c>
      <c r="J7" s="32">
        <v>-72</v>
      </c>
      <c r="K7" s="32">
        <v>73</v>
      </c>
      <c r="L7" s="44"/>
    </row>
    <row r="8" spans="1:12" x14ac:dyDescent="0.3">
      <c r="A8" s="31" t="s">
        <v>91</v>
      </c>
      <c r="B8" s="32">
        <v>-134</v>
      </c>
      <c r="C8" s="32">
        <v>351</v>
      </c>
      <c r="D8" s="33">
        <v>1481</v>
      </c>
      <c r="E8" s="32">
        <v>165</v>
      </c>
      <c r="F8" s="32">
        <v>157</v>
      </c>
      <c r="G8" s="33">
        <v>1171</v>
      </c>
      <c r="H8" s="32">
        <v>692</v>
      </c>
      <c r="I8" s="33">
        <v>1515</v>
      </c>
      <c r="J8" s="32">
        <v>808</v>
      </c>
      <c r="K8" s="33">
        <v>1191</v>
      </c>
      <c r="L8" s="44"/>
    </row>
    <row r="9" spans="1:12" x14ac:dyDescent="0.3">
      <c r="A9" s="31" t="s">
        <v>92</v>
      </c>
      <c r="B9" s="32">
        <v>-30</v>
      </c>
      <c r="C9" s="32">
        <v>73</v>
      </c>
      <c r="D9" s="32">
        <v>3</v>
      </c>
      <c r="E9" s="32">
        <v>27</v>
      </c>
      <c r="F9" s="32">
        <v>-71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44"/>
    </row>
    <row r="10" spans="1:12" ht="15" thickBot="1" x14ac:dyDescent="0.35">
      <c r="A10" s="31" t="s">
        <v>93</v>
      </c>
      <c r="B10" s="32">
        <v>265</v>
      </c>
      <c r="C10" s="32">
        <v>60</v>
      </c>
      <c r="D10" s="32">
        <v>-590</v>
      </c>
      <c r="E10" s="32">
        <v>-677</v>
      </c>
      <c r="F10" s="32">
        <v>-342</v>
      </c>
      <c r="G10" s="33">
        <v>-1011</v>
      </c>
      <c r="H10" s="33">
        <v>-1413</v>
      </c>
      <c r="I10" s="32">
        <v>-299</v>
      </c>
      <c r="J10" s="33">
        <v>-1671</v>
      </c>
      <c r="K10" s="33">
        <v>-1794</v>
      </c>
      <c r="L10" s="44"/>
    </row>
    <row r="11" spans="1:12" x14ac:dyDescent="0.3">
      <c r="A11" s="30" t="s">
        <v>94</v>
      </c>
      <c r="B11" s="28">
        <v>-835</v>
      </c>
      <c r="C11" s="28">
        <v>703</v>
      </c>
      <c r="D11" s="28">
        <v>-234</v>
      </c>
      <c r="E11" s="28">
        <v>-579</v>
      </c>
      <c r="F11" s="28">
        <v>-867</v>
      </c>
      <c r="G11" s="28">
        <v>-230</v>
      </c>
      <c r="H11" s="28">
        <v>-925</v>
      </c>
      <c r="I11" s="28">
        <v>-25</v>
      </c>
      <c r="J11" s="28">
        <v>-790</v>
      </c>
      <c r="K11" s="29">
        <v>-1524</v>
      </c>
      <c r="L11" s="44"/>
    </row>
    <row r="12" spans="1:12" x14ac:dyDescent="0.3">
      <c r="A12" s="31" t="s">
        <v>95</v>
      </c>
      <c r="B12" s="32">
        <v>-133</v>
      </c>
      <c r="C12" s="32">
        <v>-104</v>
      </c>
      <c r="D12" s="32">
        <v>-230</v>
      </c>
      <c r="E12" s="32">
        <v>-298</v>
      </c>
      <c r="F12" s="32">
        <v>-349</v>
      </c>
      <c r="G12" s="32">
        <v>-209</v>
      </c>
      <c r="H12" s="32">
        <v>-286</v>
      </c>
      <c r="I12" s="32">
        <v>-215</v>
      </c>
      <c r="J12" s="32">
        <v>-252</v>
      </c>
      <c r="K12" s="32">
        <v>0</v>
      </c>
      <c r="L12" s="44"/>
    </row>
    <row r="13" spans="1:12" ht="15" thickBot="1" x14ac:dyDescent="0.35">
      <c r="A13" s="31" t="s">
        <v>96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157</v>
      </c>
    </row>
    <row r="14" spans="1:12" x14ac:dyDescent="0.3">
      <c r="A14" s="34" t="s">
        <v>97</v>
      </c>
      <c r="B14" s="35">
        <v>-7</v>
      </c>
      <c r="C14" s="35">
        <v>-182</v>
      </c>
      <c r="D14" s="35">
        <v>-4</v>
      </c>
      <c r="E14" s="35">
        <v>-67</v>
      </c>
      <c r="F14" s="35">
        <v>-113</v>
      </c>
      <c r="G14" s="35">
        <v>-134</v>
      </c>
      <c r="H14" s="35">
        <v>-204</v>
      </c>
      <c r="I14" s="35">
        <v>-139</v>
      </c>
      <c r="J14" s="35">
        <v>-243</v>
      </c>
      <c r="K14" s="35">
        <v>-68</v>
      </c>
    </row>
    <row r="15" spans="1:12" x14ac:dyDescent="0.3">
      <c r="A15" s="36" t="s">
        <v>98</v>
      </c>
      <c r="B15" s="37">
        <v>-116</v>
      </c>
      <c r="C15" s="37">
        <v>-69</v>
      </c>
      <c r="D15" s="37">
        <v>-137</v>
      </c>
      <c r="E15" s="37">
        <v>-113</v>
      </c>
      <c r="F15" s="37">
        <v>-206</v>
      </c>
      <c r="G15" s="37">
        <v>-180</v>
      </c>
      <c r="H15" s="37">
        <v>-143</v>
      </c>
      <c r="I15" s="37">
        <v>-178</v>
      </c>
      <c r="J15" s="37">
        <v>-237</v>
      </c>
      <c r="K15" s="37">
        <v>-183</v>
      </c>
      <c r="L15" s="36"/>
    </row>
    <row r="16" spans="1:12" x14ac:dyDescent="0.3">
      <c r="A16" s="36" t="s">
        <v>99</v>
      </c>
      <c r="B16" s="37">
        <v>93</v>
      </c>
      <c r="C16" s="37">
        <v>2</v>
      </c>
      <c r="D16" s="37">
        <v>2</v>
      </c>
      <c r="E16" s="37">
        <v>5</v>
      </c>
      <c r="F16" s="37">
        <v>4</v>
      </c>
      <c r="G16" s="37">
        <v>66</v>
      </c>
      <c r="H16" s="37">
        <v>1</v>
      </c>
      <c r="I16" s="37">
        <v>16</v>
      </c>
      <c r="J16" s="37">
        <v>4</v>
      </c>
      <c r="K16" s="37">
        <v>33</v>
      </c>
      <c r="L16" s="36"/>
    </row>
    <row r="17" spans="1:12" x14ac:dyDescent="0.3">
      <c r="A17" s="36" t="s">
        <v>100</v>
      </c>
      <c r="B17" s="37">
        <v>-1</v>
      </c>
      <c r="C17" s="37">
        <v>-105</v>
      </c>
      <c r="D17" s="37">
        <v>-520</v>
      </c>
      <c r="E17" s="37">
        <v>-595</v>
      </c>
      <c r="F17" s="37">
        <v>-546</v>
      </c>
      <c r="G17" s="37">
        <v>0</v>
      </c>
      <c r="H17" s="37">
        <v>-12</v>
      </c>
      <c r="I17" s="37">
        <v>0</v>
      </c>
      <c r="J17" s="37">
        <v>0</v>
      </c>
      <c r="K17" s="37">
        <v>0</v>
      </c>
      <c r="L17" s="36"/>
    </row>
    <row r="18" spans="1:12" x14ac:dyDescent="0.3">
      <c r="A18" s="36" t="s">
        <v>101</v>
      </c>
      <c r="B18" s="37">
        <v>0</v>
      </c>
      <c r="C18" s="37">
        <v>0</v>
      </c>
      <c r="D18" s="37">
        <v>612</v>
      </c>
      <c r="E18" s="37">
        <v>622</v>
      </c>
      <c r="F18" s="37">
        <v>536</v>
      </c>
      <c r="G18" s="37">
        <v>21</v>
      </c>
      <c r="H18" s="37">
        <v>0</v>
      </c>
      <c r="I18" s="37">
        <v>13</v>
      </c>
      <c r="J18" s="37">
        <v>0</v>
      </c>
      <c r="K18" s="37">
        <v>0</v>
      </c>
      <c r="L18" s="36"/>
    </row>
    <row r="19" spans="1:12" x14ac:dyDescent="0.3">
      <c r="A19" s="36" t="s">
        <v>102</v>
      </c>
      <c r="B19" s="37">
        <v>5</v>
      </c>
      <c r="C19" s="37">
        <v>13</v>
      </c>
      <c r="D19" s="37">
        <v>36</v>
      </c>
      <c r="E19" s="37">
        <v>15</v>
      </c>
      <c r="F19" s="37">
        <v>3</v>
      </c>
      <c r="G19" s="37">
        <v>3</v>
      </c>
      <c r="H19" s="37">
        <v>11</v>
      </c>
      <c r="I19" s="37">
        <v>16</v>
      </c>
      <c r="J19" s="37">
        <v>16</v>
      </c>
      <c r="K19" s="37">
        <v>53</v>
      </c>
      <c r="L19" s="36"/>
    </row>
    <row r="20" spans="1:12" x14ac:dyDescent="0.3">
      <c r="A20" s="36" t="s">
        <v>103</v>
      </c>
      <c r="B20" s="37">
        <v>0</v>
      </c>
      <c r="C20" s="37">
        <v>0</v>
      </c>
      <c r="D20" s="37">
        <v>0</v>
      </c>
      <c r="E20" s="37">
        <v>57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6"/>
    </row>
    <row r="21" spans="1:12" x14ac:dyDescent="0.3">
      <c r="A21" s="36" t="s">
        <v>104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-57</v>
      </c>
      <c r="I21" s="37">
        <v>0</v>
      </c>
      <c r="J21" s="37">
        <v>0</v>
      </c>
      <c r="K21" s="37">
        <v>0</v>
      </c>
      <c r="L21" s="36"/>
    </row>
    <row r="22" spans="1:12" ht="15" thickBot="1" x14ac:dyDescent="0.35">
      <c r="A22" s="36" t="s">
        <v>105</v>
      </c>
      <c r="B22" s="37">
        <v>13</v>
      </c>
      <c r="C22" s="37">
        <v>-23</v>
      </c>
      <c r="D22" s="37">
        <v>5</v>
      </c>
      <c r="E22" s="37">
        <v>-57</v>
      </c>
      <c r="F22" s="37">
        <v>95</v>
      </c>
      <c r="G22" s="37">
        <v>-45</v>
      </c>
      <c r="H22" s="37">
        <v>-5</v>
      </c>
      <c r="I22" s="37">
        <v>-6</v>
      </c>
      <c r="J22" s="37">
        <v>-25</v>
      </c>
      <c r="K22" s="37">
        <v>28</v>
      </c>
      <c r="L22" s="36"/>
    </row>
    <row r="23" spans="1:12" s="10" customFormat="1" x14ac:dyDescent="0.3">
      <c r="A23" s="27" t="s">
        <v>106</v>
      </c>
      <c r="B23" s="28">
        <v>-28</v>
      </c>
      <c r="C23" s="29">
        <v>-1379</v>
      </c>
      <c r="D23" s="28">
        <v>-638</v>
      </c>
      <c r="E23" s="28">
        <v>-150</v>
      </c>
      <c r="F23" s="28">
        <v>3</v>
      </c>
      <c r="G23" s="28">
        <v>-659</v>
      </c>
      <c r="H23" s="28">
        <v>496</v>
      </c>
      <c r="I23" s="28">
        <v>-401</v>
      </c>
      <c r="J23" s="28">
        <v>-145</v>
      </c>
      <c r="K23" s="28">
        <v>-32</v>
      </c>
    </row>
    <row r="24" spans="1:12" x14ac:dyDescent="0.3">
      <c r="A24" s="31" t="s">
        <v>107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870</v>
      </c>
      <c r="L24" s="31"/>
    </row>
    <row r="25" spans="1:12" x14ac:dyDescent="0.3">
      <c r="A25" s="31" t="s">
        <v>108</v>
      </c>
      <c r="B25" s="32">
        <v>571</v>
      </c>
      <c r="C25" s="32">
        <v>476</v>
      </c>
      <c r="D25" s="32">
        <v>195</v>
      </c>
      <c r="E25" s="32">
        <v>337</v>
      </c>
      <c r="F25" s="32">
        <v>785</v>
      </c>
      <c r="G25" s="32">
        <v>470</v>
      </c>
      <c r="H25" s="32">
        <v>914</v>
      </c>
      <c r="I25" s="32">
        <v>382</v>
      </c>
      <c r="J25" s="33">
        <v>1022</v>
      </c>
      <c r="K25" s="32">
        <v>266</v>
      </c>
      <c r="L25" s="31"/>
    </row>
    <row r="26" spans="1:12" x14ac:dyDescent="0.3">
      <c r="A26" s="31" t="s">
        <v>109</v>
      </c>
      <c r="B26" s="32">
        <v>-265</v>
      </c>
      <c r="C26" s="33">
        <v>-1588</v>
      </c>
      <c r="D26" s="32">
        <v>-561</v>
      </c>
      <c r="E26" s="32">
        <v>-104</v>
      </c>
      <c r="F26" s="32">
        <v>-326</v>
      </c>
      <c r="G26" s="32">
        <v>-753</v>
      </c>
      <c r="H26" s="32">
        <v>-16</v>
      </c>
      <c r="I26" s="32">
        <v>-115</v>
      </c>
      <c r="J26" s="32">
        <v>-414</v>
      </c>
      <c r="K26" s="32">
        <v>-353</v>
      </c>
      <c r="L26" s="31"/>
    </row>
    <row r="27" spans="1:12" x14ac:dyDescent="0.3">
      <c r="A27" s="31" t="s">
        <v>110</v>
      </c>
      <c r="B27" s="32">
        <v>-276</v>
      </c>
      <c r="C27" s="32">
        <v>-256</v>
      </c>
      <c r="D27" s="32">
        <v>-221</v>
      </c>
      <c r="E27" s="32">
        <v>-317</v>
      </c>
      <c r="F27" s="32">
        <v>-269</v>
      </c>
      <c r="G27" s="32">
        <v>-350</v>
      </c>
      <c r="H27" s="32">
        <v>-272</v>
      </c>
      <c r="I27" s="32">
        <v>-534</v>
      </c>
      <c r="J27" s="32">
        <v>-649</v>
      </c>
      <c r="K27" s="32">
        <v>-633</v>
      </c>
      <c r="L27" s="31"/>
    </row>
    <row r="28" spans="1:12" x14ac:dyDescent="0.3">
      <c r="A28" s="31" t="s">
        <v>111</v>
      </c>
      <c r="B28" s="32">
        <v>-58</v>
      </c>
      <c r="C28" s="32">
        <v>-1</v>
      </c>
      <c r="D28" s="32">
        <v>-41</v>
      </c>
      <c r="E28" s="32">
        <v>-61</v>
      </c>
      <c r="F28" s="32">
        <v>-156</v>
      </c>
      <c r="G28" s="32">
        <v>0</v>
      </c>
      <c r="H28" s="32">
        <v>-103</v>
      </c>
      <c r="I28" s="32">
        <v>-103</v>
      </c>
      <c r="J28" s="32">
        <v>-77</v>
      </c>
      <c r="K28" s="32">
        <v>-103</v>
      </c>
      <c r="L28" s="31"/>
    </row>
    <row r="29" spans="1:12" x14ac:dyDescent="0.3">
      <c r="A29" s="31" t="s">
        <v>112</v>
      </c>
      <c r="B29" s="32">
        <v>0</v>
      </c>
      <c r="C29" s="32">
        <v>-10</v>
      </c>
      <c r="D29" s="32">
        <v>-11</v>
      </c>
      <c r="E29" s="32">
        <v>-6</v>
      </c>
      <c r="F29" s="32">
        <v>-32</v>
      </c>
      <c r="G29" s="32">
        <v>-26</v>
      </c>
      <c r="H29" s="32">
        <v>-27</v>
      </c>
      <c r="I29" s="32">
        <v>-30</v>
      </c>
      <c r="J29" s="32">
        <v>-27</v>
      </c>
      <c r="K29" s="32">
        <v>-121</v>
      </c>
      <c r="L29" s="31"/>
    </row>
    <row r="30" spans="1:12" ht="15" thickBot="1" x14ac:dyDescent="0.35">
      <c r="A30" s="31" t="s">
        <v>113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41</v>
      </c>
      <c r="L30" s="31"/>
    </row>
    <row r="31" spans="1:12" x14ac:dyDescent="0.3">
      <c r="A31" s="34" t="s">
        <v>22</v>
      </c>
      <c r="B31" s="35">
        <v>-110</v>
      </c>
      <c r="C31" s="35">
        <v>101</v>
      </c>
      <c r="D31" s="35">
        <v>17</v>
      </c>
      <c r="E31" s="35">
        <v>-18</v>
      </c>
      <c r="F31" s="35">
        <v>-23</v>
      </c>
      <c r="G31" s="35">
        <v>47</v>
      </c>
      <c r="H31" s="35">
        <v>8</v>
      </c>
      <c r="I31" s="35">
        <v>74</v>
      </c>
      <c r="J31" s="35">
        <v>-76</v>
      </c>
      <c r="K31" s="35">
        <v>319</v>
      </c>
    </row>
  </sheetData>
  <hyperlinks>
    <hyperlink ref="H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48"/>
  <sheetViews>
    <sheetView showGridLines="0" workbookViewId="0">
      <pane ySplit="6" topLeftCell="A7" activePane="bottomLeft" state="frozen"/>
      <selection pane="bottomLeft" activeCell="B27" sqref="B27"/>
    </sheetView>
  </sheetViews>
  <sheetFormatPr defaultRowHeight="14.4" x14ac:dyDescent="0.3"/>
  <cols>
    <col min="2" max="2" width="24.44140625" bestFit="1" customWidth="1"/>
    <col min="3" max="9" width="9.6640625" hidden="1" customWidth="1"/>
    <col min="10" max="14" width="9.6640625" bestFit="1" customWidth="1"/>
  </cols>
  <sheetData>
    <row r="6" spans="2:14" ht="15" thickBot="1" x14ac:dyDescent="0.35">
      <c r="B6" s="157" t="s">
        <v>229</v>
      </c>
      <c r="C6" s="158">
        <v>41699</v>
      </c>
      <c r="D6" s="158">
        <v>42064</v>
      </c>
      <c r="E6" s="158">
        <v>42430</v>
      </c>
      <c r="F6" s="158">
        <v>42795</v>
      </c>
      <c r="G6" s="158">
        <v>43160</v>
      </c>
      <c r="H6" s="158">
        <v>43525</v>
      </c>
      <c r="I6" s="158">
        <v>43891</v>
      </c>
      <c r="J6" s="158">
        <v>44256</v>
      </c>
      <c r="K6" s="158">
        <v>44621</v>
      </c>
      <c r="L6" s="158">
        <v>44986</v>
      </c>
      <c r="M6" s="158">
        <v>45352</v>
      </c>
      <c r="N6" s="158">
        <v>45717</v>
      </c>
    </row>
    <row r="7" spans="2:14" x14ac:dyDescent="0.3">
      <c r="B7" s="146" t="s">
        <v>207</v>
      </c>
      <c r="C7" s="63">
        <v>185</v>
      </c>
      <c r="D7" s="63">
        <v>186</v>
      </c>
      <c r="E7" s="63">
        <v>186</v>
      </c>
      <c r="F7" s="63">
        <v>187</v>
      </c>
      <c r="G7" s="63">
        <v>280</v>
      </c>
      <c r="H7" s="63">
        <v>281</v>
      </c>
      <c r="I7" s="63">
        <v>281</v>
      </c>
      <c r="J7" s="63">
        <v>281</v>
      </c>
      <c r="K7" s="63">
        <v>281</v>
      </c>
      <c r="L7" s="63">
        <v>281</v>
      </c>
      <c r="M7" s="63">
        <v>275</v>
      </c>
      <c r="N7" s="63">
        <v>275</v>
      </c>
    </row>
    <row r="8" spans="2:14" x14ac:dyDescent="0.3">
      <c r="B8" s="62" t="s">
        <v>13</v>
      </c>
      <c r="C8" s="147">
        <v>37526</v>
      </c>
      <c r="D8" s="147">
        <v>40723</v>
      </c>
      <c r="E8" s="147">
        <v>43994</v>
      </c>
      <c r="F8" s="147">
        <v>50030</v>
      </c>
      <c r="G8" s="147">
        <v>54623</v>
      </c>
      <c r="H8" s="147">
        <v>62094</v>
      </c>
      <c r="I8" s="147">
        <v>66442</v>
      </c>
      <c r="J8" s="147">
        <v>75588</v>
      </c>
      <c r="K8" s="147">
        <v>82127</v>
      </c>
      <c r="L8" s="147">
        <v>89045</v>
      </c>
      <c r="M8" s="147">
        <v>86084</v>
      </c>
      <c r="N8" s="147">
        <v>97381</v>
      </c>
    </row>
    <row r="9" spans="2:14" ht="15" thickBot="1" x14ac:dyDescent="0.35">
      <c r="B9" s="62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</row>
    <row r="10" spans="2:14" x14ac:dyDescent="0.3">
      <c r="B10" s="148" t="s">
        <v>208</v>
      </c>
      <c r="C10" s="149">
        <v>80846</v>
      </c>
      <c r="D10" s="149">
        <v>93630</v>
      </c>
      <c r="E10" s="149">
        <v>88135</v>
      </c>
      <c r="F10" s="149">
        <v>93954</v>
      </c>
      <c r="G10" s="149">
        <v>107524</v>
      </c>
      <c r="H10" s="149">
        <v>125555</v>
      </c>
      <c r="I10" s="149">
        <v>143174</v>
      </c>
      <c r="J10" s="149">
        <v>134629</v>
      </c>
      <c r="K10" s="149">
        <v>125508</v>
      </c>
      <c r="L10" s="149">
        <v>120650</v>
      </c>
      <c r="M10" s="149">
        <v>116322</v>
      </c>
      <c r="N10" s="149">
        <v>132409</v>
      </c>
    </row>
    <row r="11" spans="2:14" x14ac:dyDescent="0.3">
      <c r="B11" s="150" t="s">
        <v>209</v>
      </c>
      <c r="C11" s="151">
        <v>55445</v>
      </c>
      <c r="D11" s="151">
        <v>68469</v>
      </c>
      <c r="E11" s="151">
        <v>61224</v>
      </c>
      <c r="F11" s="151">
        <v>67341</v>
      </c>
      <c r="G11" s="151">
        <v>72915</v>
      </c>
      <c r="H11" s="151">
        <v>74121</v>
      </c>
      <c r="I11" s="151">
        <v>82331</v>
      </c>
      <c r="J11" s="151">
        <v>82120</v>
      </c>
      <c r="K11" s="151">
        <v>61618</v>
      </c>
      <c r="L11" s="151">
        <v>61218</v>
      </c>
      <c r="M11" s="151">
        <v>56507</v>
      </c>
      <c r="N11" s="151">
        <v>57503</v>
      </c>
    </row>
    <row r="12" spans="2:14" x14ac:dyDescent="0.3">
      <c r="B12" s="150" t="s">
        <v>210</v>
      </c>
      <c r="C12" s="151">
        <v>13859</v>
      </c>
      <c r="D12" s="151">
        <v>16729</v>
      </c>
      <c r="E12" s="151">
        <v>14897</v>
      </c>
      <c r="F12" s="151">
        <v>16534</v>
      </c>
      <c r="G12" s="151">
        <v>19332</v>
      </c>
      <c r="H12" s="151">
        <v>29224</v>
      </c>
      <c r="I12" s="151">
        <v>35021</v>
      </c>
      <c r="J12" s="151">
        <v>27766</v>
      </c>
      <c r="K12" s="151">
        <v>30477</v>
      </c>
      <c r="L12" s="151">
        <v>30896</v>
      </c>
      <c r="M12" s="151">
        <v>27834</v>
      </c>
      <c r="N12" s="151">
        <v>35861</v>
      </c>
    </row>
    <row r="13" spans="2:14" x14ac:dyDescent="0.3">
      <c r="B13" s="150" t="s">
        <v>211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151">
        <v>2167</v>
      </c>
      <c r="J13" s="151">
        <v>2024</v>
      </c>
      <c r="K13" s="151">
        <v>2040</v>
      </c>
      <c r="L13" s="151">
        <v>2137</v>
      </c>
      <c r="M13" s="151">
        <v>2282</v>
      </c>
      <c r="N13" s="151">
        <v>2850</v>
      </c>
    </row>
    <row r="14" spans="2:14" x14ac:dyDescent="0.3">
      <c r="B14" s="150" t="s">
        <v>212</v>
      </c>
      <c r="C14" s="63">
        <v>0</v>
      </c>
      <c r="D14" s="63">
        <v>0</v>
      </c>
      <c r="E14" s="151">
        <v>1313</v>
      </c>
      <c r="F14" s="151">
        <v>1147</v>
      </c>
      <c r="G14" s="63">
        <v>905</v>
      </c>
      <c r="H14" s="63">
        <v>976</v>
      </c>
      <c r="I14" s="151">
        <v>1404</v>
      </c>
      <c r="J14" s="151">
        <v>1124</v>
      </c>
      <c r="K14" s="63">
        <v>216</v>
      </c>
      <c r="L14" s="63">
        <v>0</v>
      </c>
      <c r="M14" s="63">
        <v>0</v>
      </c>
      <c r="N14" s="63">
        <v>0</v>
      </c>
    </row>
    <row r="15" spans="2:14" ht="15" thickBot="1" x14ac:dyDescent="0.35">
      <c r="B15" s="150" t="s">
        <v>213</v>
      </c>
      <c r="C15" s="151">
        <v>11542</v>
      </c>
      <c r="D15" s="151">
        <v>8431</v>
      </c>
      <c r="E15" s="151">
        <v>12015</v>
      </c>
      <c r="F15" s="151">
        <v>10079</v>
      </c>
      <c r="G15" s="151">
        <v>15277</v>
      </c>
      <c r="H15" s="151">
        <v>22211</v>
      </c>
      <c r="I15" s="151">
        <v>23655</v>
      </c>
      <c r="J15" s="151">
        <v>22719</v>
      </c>
      <c r="K15" s="151">
        <v>31373</v>
      </c>
      <c r="L15" s="151">
        <v>26399</v>
      </c>
      <c r="M15" s="151">
        <v>29699</v>
      </c>
      <c r="N15" s="151">
        <v>36195</v>
      </c>
    </row>
    <row r="16" spans="2:14" x14ac:dyDescent="0.3">
      <c r="B16" s="152" t="s">
        <v>214</v>
      </c>
      <c r="C16" s="153">
        <v>50324</v>
      </c>
      <c r="D16" s="153">
        <v>58727</v>
      </c>
      <c r="E16" s="153">
        <v>61775</v>
      </c>
      <c r="F16" s="153">
        <v>67400</v>
      </c>
      <c r="G16" s="153">
        <v>80812</v>
      </c>
      <c r="H16" s="153">
        <v>90106</v>
      </c>
      <c r="I16" s="153">
        <v>96790</v>
      </c>
      <c r="J16" s="153">
        <v>99597</v>
      </c>
      <c r="K16" s="153">
        <v>111112</v>
      </c>
      <c r="L16" s="153">
        <v>119745</v>
      </c>
      <c r="M16" s="153">
        <v>136921</v>
      </c>
      <c r="N16" s="153">
        <v>149050</v>
      </c>
    </row>
    <row r="17" spans="2:14" x14ac:dyDescent="0.3">
      <c r="B17" s="154" t="s">
        <v>215</v>
      </c>
      <c r="C17" s="147">
        <v>3179</v>
      </c>
      <c r="D17" s="147">
        <v>4999</v>
      </c>
      <c r="E17" s="147">
        <v>2893</v>
      </c>
      <c r="F17" s="147">
        <v>3564</v>
      </c>
      <c r="G17" s="147">
        <v>5201</v>
      </c>
      <c r="H17" s="147">
        <v>6826</v>
      </c>
      <c r="I17" s="147">
        <v>9521</v>
      </c>
      <c r="J17" s="147">
        <v>12052</v>
      </c>
      <c r="K17" s="147">
        <v>12966</v>
      </c>
      <c r="L17" s="147">
        <v>14241</v>
      </c>
      <c r="M17" s="147">
        <v>16190</v>
      </c>
      <c r="N17" s="147">
        <v>17748</v>
      </c>
    </row>
    <row r="18" spans="2:14" x14ac:dyDescent="0.3">
      <c r="B18" s="154" t="s">
        <v>175</v>
      </c>
      <c r="C18" s="147">
        <v>20850</v>
      </c>
      <c r="D18" s="147">
        <v>24650</v>
      </c>
      <c r="E18" s="147">
        <v>27004</v>
      </c>
      <c r="F18" s="147">
        <v>30295</v>
      </c>
      <c r="G18" s="147">
        <v>37797</v>
      </c>
      <c r="H18" s="147">
        <v>42995</v>
      </c>
      <c r="I18" s="147">
        <v>43644</v>
      </c>
      <c r="J18" s="147">
        <v>45745</v>
      </c>
      <c r="K18" s="147">
        <v>51366</v>
      </c>
      <c r="L18" s="147">
        <v>49784</v>
      </c>
      <c r="M18" s="147">
        <v>53293</v>
      </c>
      <c r="N18" s="147">
        <v>52459</v>
      </c>
    </row>
    <row r="19" spans="2:14" x14ac:dyDescent="0.3">
      <c r="B19" s="154" t="s">
        <v>176</v>
      </c>
      <c r="C19" s="147">
        <v>13998</v>
      </c>
      <c r="D19" s="147">
        <v>18502</v>
      </c>
      <c r="E19" s="147">
        <v>21376</v>
      </c>
      <c r="F19" s="147">
        <v>13956</v>
      </c>
      <c r="G19" s="147">
        <v>14860</v>
      </c>
      <c r="H19" s="147">
        <v>17271</v>
      </c>
      <c r="I19" s="147">
        <v>16353</v>
      </c>
      <c r="J19" s="147">
        <v>15876</v>
      </c>
      <c r="K19" s="147">
        <v>17963</v>
      </c>
      <c r="L19" s="147">
        <v>20425</v>
      </c>
      <c r="M19" s="147">
        <v>26875</v>
      </c>
      <c r="N19" s="147">
        <v>29087</v>
      </c>
    </row>
    <row r="20" spans="2:14" ht="15" thickBot="1" x14ac:dyDescent="0.35">
      <c r="B20" s="154" t="s">
        <v>216</v>
      </c>
      <c r="C20" s="147">
        <v>12297</v>
      </c>
      <c r="D20" s="147">
        <v>10578</v>
      </c>
      <c r="E20" s="147">
        <v>10503</v>
      </c>
      <c r="F20" s="147">
        <v>19586</v>
      </c>
      <c r="G20" s="147">
        <v>22953</v>
      </c>
      <c r="H20" s="147">
        <v>23015</v>
      </c>
      <c r="I20" s="147">
        <v>27272</v>
      </c>
      <c r="J20" s="147">
        <v>25925</v>
      </c>
      <c r="K20" s="147">
        <v>28817</v>
      </c>
      <c r="L20" s="147">
        <v>35295</v>
      </c>
      <c r="M20" s="147">
        <v>40563</v>
      </c>
      <c r="N20" s="147">
        <v>49755</v>
      </c>
    </row>
    <row r="21" spans="2:14" ht="15" thickBot="1" x14ac:dyDescent="0.35">
      <c r="B21" s="148" t="s">
        <v>83</v>
      </c>
      <c r="C21" s="149">
        <v>168881</v>
      </c>
      <c r="D21" s="149">
        <v>193266</v>
      </c>
      <c r="E21" s="149">
        <v>194091</v>
      </c>
      <c r="F21" s="149">
        <v>211571</v>
      </c>
      <c r="G21" s="149">
        <v>243240</v>
      </c>
      <c r="H21" s="149">
        <v>278036</v>
      </c>
      <c r="I21" s="149">
        <v>306687</v>
      </c>
      <c r="J21" s="149">
        <v>310095</v>
      </c>
      <c r="K21" s="149">
        <v>319028</v>
      </c>
      <c r="L21" s="149">
        <v>329722</v>
      </c>
      <c r="M21" s="149">
        <v>339602</v>
      </c>
      <c r="N21" s="149">
        <v>379114</v>
      </c>
    </row>
    <row r="22" spans="2:14" ht="15" thickBot="1" x14ac:dyDescent="0.35">
      <c r="B22" s="148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</row>
    <row r="23" spans="2:14" x14ac:dyDescent="0.3">
      <c r="B23" s="152" t="s">
        <v>217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</row>
    <row r="24" spans="2:14" x14ac:dyDescent="0.3">
      <c r="B24" s="154" t="s">
        <v>181</v>
      </c>
      <c r="C24" s="147">
        <v>1998</v>
      </c>
      <c r="D24" s="147">
        <v>1822</v>
      </c>
      <c r="E24" s="147">
        <v>1071</v>
      </c>
      <c r="F24" s="147">
        <v>1038</v>
      </c>
      <c r="G24" s="147">
        <v>1025</v>
      </c>
      <c r="H24" s="147">
        <v>1362</v>
      </c>
      <c r="I24" s="147">
        <v>1571</v>
      </c>
      <c r="J24" s="147">
        <v>1548</v>
      </c>
      <c r="K24" s="147">
        <v>1347</v>
      </c>
      <c r="L24" s="147">
        <v>1436</v>
      </c>
      <c r="M24" s="147">
        <v>1000</v>
      </c>
      <c r="N24" s="147">
        <v>1023</v>
      </c>
    </row>
    <row r="25" spans="2:14" x14ac:dyDescent="0.3">
      <c r="B25" s="154" t="s">
        <v>182</v>
      </c>
      <c r="C25" s="147">
        <v>6028</v>
      </c>
      <c r="D25" s="147">
        <v>5942</v>
      </c>
      <c r="E25" s="147">
        <v>3705</v>
      </c>
      <c r="F25" s="147">
        <v>3832</v>
      </c>
      <c r="G25" s="147">
        <v>11166</v>
      </c>
      <c r="H25" s="147">
        <v>12014</v>
      </c>
      <c r="I25" s="147">
        <v>6261</v>
      </c>
      <c r="J25" s="147">
        <v>6678</v>
      </c>
      <c r="K25" s="147">
        <v>6745</v>
      </c>
      <c r="L25" s="147">
        <v>6998</v>
      </c>
      <c r="M25" s="147">
        <v>6680</v>
      </c>
      <c r="N25" s="147">
        <v>7858</v>
      </c>
    </row>
    <row r="26" spans="2:14" x14ac:dyDescent="0.3">
      <c r="B26" s="154" t="s">
        <v>218</v>
      </c>
      <c r="C26" s="147">
        <v>15888</v>
      </c>
      <c r="D26" s="147">
        <v>15771</v>
      </c>
      <c r="E26" s="147">
        <v>6376</v>
      </c>
      <c r="F26" s="147">
        <v>6796</v>
      </c>
      <c r="G26" s="155">
        <v>637</v>
      </c>
      <c r="H26" s="155">
        <v>0</v>
      </c>
      <c r="I26" s="147">
        <v>7899</v>
      </c>
      <c r="J26" s="147">
        <v>10077</v>
      </c>
      <c r="K26" s="147">
        <v>9298</v>
      </c>
      <c r="L26" s="147">
        <v>10859</v>
      </c>
      <c r="M26" s="147">
        <v>12570</v>
      </c>
      <c r="N26" s="147">
        <v>14866</v>
      </c>
    </row>
    <row r="27" spans="2:14" x14ac:dyDescent="0.3">
      <c r="B27" s="154" t="s">
        <v>219</v>
      </c>
      <c r="C27" s="155">
        <v>788</v>
      </c>
      <c r="D27" s="155">
        <v>787</v>
      </c>
      <c r="E27" s="155">
        <v>38</v>
      </c>
      <c r="F27" s="155">
        <v>37</v>
      </c>
      <c r="G27" s="155">
        <v>37</v>
      </c>
      <c r="H27" s="155">
        <v>130</v>
      </c>
      <c r="I27" s="155">
        <v>882</v>
      </c>
      <c r="J27" s="155">
        <v>947</v>
      </c>
      <c r="K27" s="155">
        <v>947</v>
      </c>
      <c r="L27" s="155">
        <v>969</v>
      </c>
      <c r="M27" s="147">
        <v>1007</v>
      </c>
      <c r="N27" s="147">
        <v>1025</v>
      </c>
    </row>
    <row r="28" spans="2:14" x14ac:dyDescent="0.3">
      <c r="B28" s="154" t="s">
        <v>184</v>
      </c>
      <c r="C28" s="155">
        <v>473</v>
      </c>
      <c r="D28" s="155">
        <v>512</v>
      </c>
      <c r="E28" s="155">
        <v>222</v>
      </c>
      <c r="F28" s="155">
        <v>264</v>
      </c>
      <c r="G28" s="155">
        <v>321</v>
      </c>
      <c r="H28" s="155">
        <v>376</v>
      </c>
      <c r="I28" s="155">
        <v>543</v>
      </c>
      <c r="J28" s="155">
        <v>590</v>
      </c>
      <c r="K28" s="155">
        <v>630</v>
      </c>
      <c r="L28" s="155">
        <v>716</v>
      </c>
      <c r="M28" s="155">
        <v>762</v>
      </c>
      <c r="N28" s="155">
        <v>871</v>
      </c>
    </row>
    <row r="29" spans="2:14" x14ac:dyDescent="0.3">
      <c r="B29" s="154" t="s">
        <v>186</v>
      </c>
      <c r="C29" s="147">
        <v>1023</v>
      </c>
      <c r="D29" s="147">
        <v>1111</v>
      </c>
      <c r="E29" s="155">
        <v>457</v>
      </c>
      <c r="F29" s="155">
        <v>540</v>
      </c>
      <c r="G29" s="155">
        <v>0</v>
      </c>
      <c r="H29" s="155">
        <v>849</v>
      </c>
      <c r="I29" s="147">
        <v>1425</v>
      </c>
      <c r="J29" s="147">
        <v>1615</v>
      </c>
      <c r="K29" s="147">
        <v>2067</v>
      </c>
      <c r="L29" s="147">
        <v>2448</v>
      </c>
      <c r="M29" s="147">
        <v>2572</v>
      </c>
      <c r="N29" s="147">
        <v>2803</v>
      </c>
    </row>
    <row r="30" spans="2:14" x14ac:dyDescent="0.3">
      <c r="B30" s="154" t="s">
        <v>220</v>
      </c>
      <c r="C30" s="155">
        <v>606</v>
      </c>
      <c r="D30" s="155">
        <v>650</v>
      </c>
      <c r="E30" s="155">
        <v>293</v>
      </c>
      <c r="F30" s="155">
        <v>317</v>
      </c>
      <c r="G30" s="155">
        <v>393</v>
      </c>
      <c r="H30" s="155">
        <v>413</v>
      </c>
      <c r="I30" s="155">
        <v>475</v>
      </c>
      <c r="J30" s="155">
        <v>485</v>
      </c>
      <c r="K30" s="155">
        <v>499</v>
      </c>
      <c r="L30" s="155">
        <v>508</v>
      </c>
      <c r="M30" s="155">
        <v>633</v>
      </c>
      <c r="N30" s="155">
        <v>672</v>
      </c>
    </row>
    <row r="31" spans="2:14" x14ac:dyDescent="0.3">
      <c r="B31" s="154" t="s">
        <v>221</v>
      </c>
      <c r="C31" s="155">
        <v>294</v>
      </c>
      <c r="D31" s="155">
        <v>0</v>
      </c>
      <c r="E31" s="155">
        <v>0</v>
      </c>
      <c r="F31" s="155">
        <v>0</v>
      </c>
      <c r="G31" s="155">
        <v>0</v>
      </c>
      <c r="H31" s="155">
        <v>0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0</v>
      </c>
    </row>
    <row r="32" spans="2:14" x14ac:dyDescent="0.3">
      <c r="B32" s="154" t="s">
        <v>187</v>
      </c>
      <c r="C32" s="155">
        <v>812</v>
      </c>
      <c r="D32" s="155">
        <v>851</v>
      </c>
      <c r="E32" s="155">
        <v>487</v>
      </c>
      <c r="F32" s="155">
        <v>450</v>
      </c>
      <c r="G32" s="155">
        <v>658</v>
      </c>
      <c r="H32" s="155">
        <v>682</v>
      </c>
      <c r="I32" s="155">
        <v>681</v>
      </c>
      <c r="J32" s="155">
        <v>658</v>
      </c>
      <c r="K32" s="155">
        <v>650</v>
      </c>
      <c r="L32" s="155">
        <v>652</v>
      </c>
      <c r="M32" s="155">
        <v>657</v>
      </c>
      <c r="N32" s="155">
        <v>675</v>
      </c>
    </row>
    <row r="33" spans="2:14" x14ac:dyDescent="0.3">
      <c r="B33" s="154" t="s">
        <v>188</v>
      </c>
      <c r="C33" s="147">
        <v>2327</v>
      </c>
      <c r="D33" s="147">
        <v>2478</v>
      </c>
      <c r="E33" s="147">
        <v>1658</v>
      </c>
      <c r="F33" s="147">
        <v>1512</v>
      </c>
      <c r="G33" s="147">
        <v>1736</v>
      </c>
      <c r="H33" s="147">
        <v>5729</v>
      </c>
      <c r="I33" s="147">
        <v>24817</v>
      </c>
      <c r="J33" s="147">
        <v>25195</v>
      </c>
      <c r="K33" s="147">
        <v>24950</v>
      </c>
      <c r="L33" s="147">
        <v>25099</v>
      </c>
      <c r="M33" s="147">
        <v>24837</v>
      </c>
      <c r="N33" s="147">
        <v>25373</v>
      </c>
    </row>
    <row r="34" spans="2:14" ht="15" thickBot="1" x14ac:dyDescent="0.35">
      <c r="B34" s="154" t="s">
        <v>222</v>
      </c>
      <c r="C34" s="147">
        <v>11283</v>
      </c>
      <c r="D34" s="147">
        <v>15861</v>
      </c>
      <c r="E34" s="147">
        <v>2216</v>
      </c>
      <c r="F34" s="147">
        <v>5921</v>
      </c>
      <c r="G34" s="147">
        <v>8448</v>
      </c>
      <c r="H34" s="147">
        <v>7091</v>
      </c>
      <c r="I34" s="147">
        <v>8568</v>
      </c>
      <c r="J34" s="147">
        <v>8784</v>
      </c>
      <c r="K34" s="147">
        <v>9361</v>
      </c>
      <c r="L34" s="147">
        <v>9071</v>
      </c>
      <c r="M34" s="147">
        <v>10408</v>
      </c>
      <c r="N34" s="147">
        <v>10736</v>
      </c>
    </row>
    <row r="35" spans="2:14" x14ac:dyDescent="0.3">
      <c r="B35" s="156" t="s">
        <v>190</v>
      </c>
      <c r="C35" s="153">
        <v>41519</v>
      </c>
      <c r="D35" s="153">
        <v>45783</v>
      </c>
      <c r="E35" s="153">
        <v>16522</v>
      </c>
      <c r="F35" s="153">
        <v>20706</v>
      </c>
      <c r="G35" s="153">
        <v>24422</v>
      </c>
      <c r="H35" s="153">
        <v>28644</v>
      </c>
      <c r="I35" s="153">
        <v>53121</v>
      </c>
      <c r="J35" s="153">
        <v>56577</v>
      </c>
      <c r="K35" s="153">
        <v>56495</v>
      </c>
      <c r="L35" s="153">
        <v>58756</v>
      </c>
      <c r="M35" s="153">
        <v>61124</v>
      </c>
      <c r="N35" s="153">
        <v>65902</v>
      </c>
    </row>
    <row r="36" spans="2:14" x14ac:dyDescent="0.3">
      <c r="B36" s="154" t="s">
        <v>191</v>
      </c>
      <c r="C36" s="147">
        <v>8821</v>
      </c>
      <c r="D36" s="147">
        <v>10745</v>
      </c>
      <c r="E36" s="147">
        <v>2347</v>
      </c>
      <c r="F36" s="147">
        <v>3878</v>
      </c>
      <c r="G36" s="147">
        <v>5576</v>
      </c>
      <c r="H36" s="147">
        <v>7226</v>
      </c>
      <c r="I36" s="147">
        <v>9230</v>
      </c>
      <c r="J36" s="147">
        <v>11284</v>
      </c>
      <c r="K36" s="147">
        <v>13313</v>
      </c>
      <c r="L36" s="147">
        <v>15873</v>
      </c>
      <c r="M36" s="147">
        <v>17904</v>
      </c>
      <c r="N36" s="147">
        <v>20700</v>
      </c>
    </row>
    <row r="37" spans="2:14" x14ac:dyDescent="0.3">
      <c r="B37" s="159" t="s">
        <v>15</v>
      </c>
      <c r="C37" s="160">
        <f>C35-C36</f>
        <v>32698</v>
      </c>
      <c r="D37" s="160">
        <f t="shared" ref="D37:N37" si="0">D35-D36</f>
        <v>35038</v>
      </c>
      <c r="E37" s="160">
        <f t="shared" si="0"/>
        <v>14175</v>
      </c>
      <c r="F37" s="160">
        <f t="shared" si="0"/>
        <v>16828</v>
      </c>
      <c r="G37" s="160">
        <f t="shared" si="0"/>
        <v>18846</v>
      </c>
      <c r="H37" s="160">
        <f t="shared" si="0"/>
        <v>21418</v>
      </c>
      <c r="I37" s="160">
        <f t="shared" si="0"/>
        <v>43891</v>
      </c>
      <c r="J37" s="160">
        <f t="shared" si="0"/>
        <v>45293</v>
      </c>
      <c r="K37" s="160">
        <f t="shared" si="0"/>
        <v>43182</v>
      </c>
      <c r="L37" s="160">
        <f t="shared" si="0"/>
        <v>42883</v>
      </c>
      <c r="M37" s="160">
        <f t="shared" si="0"/>
        <v>43220</v>
      </c>
      <c r="N37" s="160">
        <f t="shared" si="0"/>
        <v>45202</v>
      </c>
    </row>
    <row r="38" spans="2:14" x14ac:dyDescent="0.3">
      <c r="B38" s="154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</row>
    <row r="39" spans="2:14" x14ac:dyDescent="0.3">
      <c r="B39" s="146" t="s">
        <v>223</v>
      </c>
      <c r="C39" s="151">
        <v>14179</v>
      </c>
      <c r="D39" s="151">
        <v>14993</v>
      </c>
      <c r="E39" s="151">
        <v>10974</v>
      </c>
      <c r="F39" s="151">
        <v>13298</v>
      </c>
      <c r="G39" s="151">
        <v>13443</v>
      </c>
      <c r="H39" s="151">
        <v>13919</v>
      </c>
      <c r="I39" s="151">
        <v>3311</v>
      </c>
      <c r="J39" s="63">
        <v>500</v>
      </c>
      <c r="K39" s="151">
        <v>1250</v>
      </c>
      <c r="L39" s="151">
        <v>3066</v>
      </c>
      <c r="M39" s="151">
        <v>3045</v>
      </c>
      <c r="N39" s="151">
        <v>2589</v>
      </c>
    </row>
    <row r="40" spans="2:14" x14ac:dyDescent="0.3">
      <c r="B40" s="62" t="s">
        <v>17</v>
      </c>
      <c r="C40" s="147">
        <v>8109</v>
      </c>
      <c r="D40" s="147">
        <v>9612</v>
      </c>
      <c r="E40" s="147">
        <v>15465</v>
      </c>
      <c r="F40" s="147">
        <v>19753</v>
      </c>
      <c r="G40" s="147">
        <v>15311</v>
      </c>
      <c r="H40" s="147">
        <v>20907</v>
      </c>
      <c r="I40" s="147">
        <v>20047</v>
      </c>
      <c r="J40" s="147">
        <v>39627</v>
      </c>
      <c r="K40" s="147">
        <v>39395</v>
      </c>
      <c r="L40" s="147">
        <v>44798</v>
      </c>
      <c r="M40" s="147">
        <v>45648</v>
      </c>
      <c r="N40" s="147">
        <v>54805</v>
      </c>
    </row>
    <row r="41" spans="2:14" ht="15" thickBot="1" x14ac:dyDescent="0.35">
      <c r="B41" s="62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</row>
    <row r="42" spans="2:14" x14ac:dyDescent="0.3">
      <c r="B42" s="148" t="s">
        <v>224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</row>
    <row r="43" spans="2:14" x14ac:dyDescent="0.3">
      <c r="B43" s="150" t="s">
        <v>170</v>
      </c>
      <c r="C43" s="151">
        <v>5527</v>
      </c>
      <c r="D43" s="151">
        <v>6508</v>
      </c>
      <c r="E43" s="151">
        <v>4854</v>
      </c>
      <c r="F43" s="151">
        <v>4140</v>
      </c>
      <c r="G43" s="151">
        <v>4848</v>
      </c>
      <c r="H43" s="151">
        <v>6414</v>
      </c>
      <c r="I43" s="151">
        <v>5747</v>
      </c>
      <c r="J43" s="151">
        <v>5821</v>
      </c>
      <c r="K43" s="151">
        <v>5943</v>
      </c>
      <c r="L43" s="151">
        <v>6829</v>
      </c>
      <c r="M43" s="151">
        <v>6620</v>
      </c>
      <c r="N43" s="151">
        <v>7671</v>
      </c>
    </row>
    <row r="44" spans="2:14" x14ac:dyDescent="0.3">
      <c r="B44" s="150" t="s">
        <v>225</v>
      </c>
      <c r="C44" s="151">
        <v>26385</v>
      </c>
      <c r="D44" s="151">
        <v>30089</v>
      </c>
      <c r="E44" s="151">
        <v>26025</v>
      </c>
      <c r="F44" s="151">
        <v>28689</v>
      </c>
      <c r="G44" s="151">
        <v>33117</v>
      </c>
      <c r="H44" s="151">
        <v>36846</v>
      </c>
      <c r="I44" s="151">
        <v>40732</v>
      </c>
      <c r="J44" s="151">
        <v>42230</v>
      </c>
      <c r="K44" s="151">
        <v>46139</v>
      </c>
      <c r="L44" s="151">
        <v>44732</v>
      </c>
      <c r="M44" s="151">
        <v>48771</v>
      </c>
      <c r="N44" s="151">
        <v>53714</v>
      </c>
    </row>
    <row r="45" spans="2:14" x14ac:dyDescent="0.3">
      <c r="B45" s="150" t="s">
        <v>226</v>
      </c>
      <c r="C45" s="151">
        <v>4097</v>
      </c>
      <c r="D45" s="151">
        <v>5756</v>
      </c>
      <c r="E45" s="151">
        <v>5390</v>
      </c>
      <c r="F45" s="151">
        <v>5306</v>
      </c>
      <c r="G45" s="151">
        <v>8033</v>
      </c>
      <c r="H45" s="151">
        <v>11726</v>
      </c>
      <c r="I45" s="151">
        <v>15118</v>
      </c>
      <c r="J45" s="151">
        <v>16242</v>
      </c>
      <c r="K45" s="151">
        <v>18953</v>
      </c>
      <c r="L45" s="151">
        <v>22520</v>
      </c>
      <c r="M45" s="151">
        <v>15358</v>
      </c>
      <c r="N45" s="151">
        <v>22965</v>
      </c>
    </row>
    <row r="46" spans="2:14" x14ac:dyDescent="0.3">
      <c r="B46" s="150" t="s">
        <v>227</v>
      </c>
      <c r="C46" s="151">
        <v>11006</v>
      </c>
      <c r="D46" s="151">
        <v>11219</v>
      </c>
      <c r="E46" s="151">
        <v>18526</v>
      </c>
      <c r="F46" s="151">
        <v>24733</v>
      </c>
      <c r="G46" s="151">
        <v>31865</v>
      </c>
      <c r="H46" s="151">
        <v>41938</v>
      </c>
      <c r="I46" s="151">
        <v>40958</v>
      </c>
      <c r="J46" s="151">
        <v>40786</v>
      </c>
      <c r="K46" s="151">
        <v>41799</v>
      </c>
      <c r="L46" s="151">
        <v>40356</v>
      </c>
      <c r="M46" s="151">
        <v>34700</v>
      </c>
      <c r="N46" s="151">
        <v>36278</v>
      </c>
    </row>
    <row r="47" spans="2:14" ht="15" thickBot="1" x14ac:dyDescent="0.35">
      <c r="B47" s="150" t="s">
        <v>228</v>
      </c>
      <c r="C47" s="151">
        <v>67182</v>
      </c>
      <c r="D47" s="151">
        <v>80351</v>
      </c>
      <c r="E47" s="151">
        <v>98680</v>
      </c>
      <c r="F47" s="151">
        <v>98975</v>
      </c>
      <c r="G47" s="151">
        <v>118042</v>
      </c>
      <c r="H47" s="151">
        <v>125092</v>
      </c>
      <c r="I47" s="151">
        <v>137121</v>
      </c>
      <c r="J47" s="151">
        <v>120571</v>
      </c>
      <c r="K47" s="151">
        <v>122604</v>
      </c>
      <c r="L47" s="151">
        <v>124781</v>
      </c>
      <c r="M47" s="151">
        <v>142496</v>
      </c>
      <c r="N47" s="151">
        <v>157037</v>
      </c>
    </row>
    <row r="48" spans="2:14" x14ac:dyDescent="0.3">
      <c r="B48" s="152" t="s">
        <v>87</v>
      </c>
      <c r="C48" s="153">
        <v>168881</v>
      </c>
      <c r="D48" s="153">
        <v>193266</v>
      </c>
      <c r="E48" s="153">
        <v>194091</v>
      </c>
      <c r="F48" s="153">
        <v>211571</v>
      </c>
      <c r="G48" s="153">
        <v>243240</v>
      </c>
      <c r="H48" s="153">
        <v>278036</v>
      </c>
      <c r="I48" s="153">
        <v>306687</v>
      </c>
      <c r="J48" s="153">
        <v>310095</v>
      </c>
      <c r="K48" s="153">
        <v>319028</v>
      </c>
      <c r="L48" s="153">
        <v>329722</v>
      </c>
      <c r="M48" s="153">
        <v>339602</v>
      </c>
      <c r="N48" s="153">
        <v>379114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H8" sqref="H8"/>
    </sheetView>
  </sheetViews>
  <sheetFormatPr defaultRowHeight="14.4" x14ac:dyDescent="0.3"/>
  <sheetData>
    <row r="2" spans="2:8" x14ac:dyDescent="0.3">
      <c r="B2" s="203" t="s">
        <v>256</v>
      </c>
      <c r="C2" s="203"/>
    </row>
    <row r="4" spans="2:8" x14ac:dyDescent="0.3">
      <c r="C4" s="202" t="s">
        <v>255</v>
      </c>
      <c r="D4" s="202" t="s">
        <v>254</v>
      </c>
    </row>
    <row r="5" spans="2:8" x14ac:dyDescent="0.3">
      <c r="C5" s="201">
        <v>2000</v>
      </c>
      <c r="D5" s="200">
        <v>-14.65</v>
      </c>
    </row>
    <row r="6" spans="2:8" x14ac:dyDescent="0.3">
      <c r="C6" s="198">
        <v>2001</v>
      </c>
      <c r="D6" s="197">
        <v>-16.18</v>
      </c>
      <c r="F6" t="s">
        <v>253</v>
      </c>
      <c r="H6" s="15">
        <f>AVERAGE(D5:D29)%</f>
        <v>0.15334799999999996</v>
      </c>
    </row>
    <row r="7" spans="2:8" x14ac:dyDescent="0.3">
      <c r="C7" s="198">
        <v>2002</v>
      </c>
      <c r="D7" s="197">
        <v>3.25</v>
      </c>
      <c r="F7" t="s">
        <v>252</v>
      </c>
      <c r="H7" s="189">
        <v>1.29E-2</v>
      </c>
    </row>
    <row r="8" spans="2:8" x14ac:dyDescent="0.3">
      <c r="C8" s="198">
        <v>2003</v>
      </c>
      <c r="D8" s="197">
        <v>71.900000000000006</v>
      </c>
      <c r="F8" s="20" t="s">
        <v>251</v>
      </c>
      <c r="G8" s="20"/>
      <c r="H8" s="199">
        <f>SUM(H6:H7)</f>
        <v>0.16624799999999995</v>
      </c>
    </row>
    <row r="9" spans="2:8" x14ac:dyDescent="0.3">
      <c r="C9" s="198">
        <v>2004</v>
      </c>
      <c r="D9" s="197">
        <v>10.68</v>
      </c>
    </row>
    <row r="10" spans="2:8" x14ac:dyDescent="0.3">
      <c r="C10" s="198">
        <v>2005</v>
      </c>
      <c r="D10" s="197">
        <v>36.340000000000003</v>
      </c>
      <c r="F10" s="22"/>
      <c r="H10" s="189"/>
    </row>
    <row r="11" spans="2:8" x14ac:dyDescent="0.3">
      <c r="C11" s="198">
        <v>2006</v>
      </c>
      <c r="D11" s="197">
        <v>39.83</v>
      </c>
    </row>
    <row r="12" spans="2:8" x14ac:dyDescent="0.3">
      <c r="C12" s="198">
        <v>2007</v>
      </c>
      <c r="D12" s="197">
        <v>54.77</v>
      </c>
    </row>
    <row r="13" spans="2:8" x14ac:dyDescent="0.3">
      <c r="C13" s="198">
        <v>2008</v>
      </c>
      <c r="D13" s="197">
        <v>-51.79</v>
      </c>
    </row>
    <row r="14" spans="2:8" x14ac:dyDescent="0.3">
      <c r="C14" s="198">
        <v>2009</v>
      </c>
      <c r="D14" s="197">
        <v>75.760000000000005</v>
      </c>
    </row>
    <row r="15" spans="2:8" x14ac:dyDescent="0.3">
      <c r="C15" s="198">
        <v>2010</v>
      </c>
      <c r="D15" s="197">
        <v>17.95</v>
      </c>
    </row>
    <row r="16" spans="2:8" x14ac:dyDescent="0.3">
      <c r="C16" s="198">
        <v>2011</v>
      </c>
      <c r="D16" s="197">
        <v>-24.62</v>
      </c>
    </row>
    <row r="17" spans="3:4" x14ac:dyDescent="0.3">
      <c r="C17" s="198">
        <v>2012</v>
      </c>
      <c r="D17" s="197">
        <v>27.7</v>
      </c>
    </row>
    <row r="18" spans="3:4" x14ac:dyDescent="0.3">
      <c r="C18" s="198">
        <v>2013</v>
      </c>
      <c r="D18" s="197">
        <v>6.76</v>
      </c>
    </row>
    <row r="19" spans="3:4" x14ac:dyDescent="0.3">
      <c r="C19" s="198">
        <v>2014</v>
      </c>
      <c r="D19" s="197">
        <v>31.39</v>
      </c>
    </row>
    <row r="20" spans="3:4" x14ac:dyDescent="0.3">
      <c r="C20" s="198">
        <v>2015</v>
      </c>
      <c r="D20" s="197">
        <v>-4.0599999999999996</v>
      </c>
    </row>
    <row r="21" spans="3:4" x14ac:dyDescent="0.3">
      <c r="C21" s="198">
        <v>2016</v>
      </c>
      <c r="D21" s="197">
        <v>3.01</v>
      </c>
    </row>
    <row r="22" spans="3:4" x14ac:dyDescent="0.3">
      <c r="C22" s="198">
        <v>2017</v>
      </c>
      <c r="D22" s="197">
        <v>28.65</v>
      </c>
    </row>
    <row r="23" spans="3:4" x14ac:dyDescent="0.3">
      <c r="C23" s="198">
        <v>2018</v>
      </c>
      <c r="D23" s="197">
        <v>3.15</v>
      </c>
    </row>
    <row r="24" spans="3:4" x14ac:dyDescent="0.3">
      <c r="C24" s="198">
        <v>2019</v>
      </c>
      <c r="D24" s="197">
        <v>12.02</v>
      </c>
    </row>
    <row r="25" spans="3:4" x14ac:dyDescent="0.3">
      <c r="C25" s="198">
        <v>2020</v>
      </c>
      <c r="D25" s="197">
        <v>14.9</v>
      </c>
    </row>
    <row r="26" spans="3:4" x14ac:dyDescent="0.3">
      <c r="C26" s="198">
        <v>2021</v>
      </c>
      <c r="D26" s="197">
        <v>24.12</v>
      </c>
    </row>
    <row r="27" spans="3:4" x14ac:dyDescent="0.3">
      <c r="C27" s="198">
        <v>2022</v>
      </c>
      <c r="D27" s="197">
        <v>4.32</v>
      </c>
    </row>
    <row r="28" spans="3:4" x14ac:dyDescent="0.3">
      <c r="C28" s="198">
        <v>2023</v>
      </c>
      <c r="D28" s="197">
        <v>19.420000000000002</v>
      </c>
    </row>
    <row r="29" spans="3:4" x14ac:dyDescent="0.3">
      <c r="C29" s="198">
        <v>2024</v>
      </c>
      <c r="D29" s="197">
        <v>8.75</v>
      </c>
    </row>
    <row r="30" spans="3:4" x14ac:dyDescent="0.3">
      <c r="C30" s="198">
        <v>2025</v>
      </c>
      <c r="D30" s="197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Financials &gt;</vt:lpstr>
      <vt:lpstr>Historical FS</vt:lpstr>
      <vt:lpstr>DCF</vt:lpstr>
      <vt:lpstr>WACC</vt:lpstr>
      <vt:lpstr>Intrensic Growth</vt:lpstr>
      <vt:lpstr>FCFF</vt:lpstr>
      <vt:lpstr>Data &gt;</vt:lpstr>
      <vt:lpstr>Data Sheet</vt:lpstr>
      <vt:lpstr>Cash Flow</vt:lpstr>
      <vt:lpstr>Raw Balance Sheet</vt:lpstr>
      <vt:lpstr>Rm</vt:lpstr>
      <vt:lpstr>CompsUnleveredBeta</vt:lpstr>
      <vt:lpstr>CostOfDebt</vt:lpstr>
      <vt:lpstr>CostOfEquity</vt:lpstr>
      <vt:lpstr>DebtToEquity</vt:lpstr>
      <vt:lpstr>DebtWeight</vt:lpstr>
      <vt:lpstr>EquityRiskPremium</vt:lpstr>
      <vt:lpstr>EquityWeight</vt:lpstr>
      <vt:lpstr>LeveredBeta2</vt:lpstr>
      <vt:lpstr>LeveredBeta4</vt:lpstr>
      <vt:lpstr>RiskFreeRate</vt:lpstr>
      <vt:lpstr>Rm</vt:lpstr>
      <vt:lpstr>TargetDebtToEquity</vt:lpstr>
      <vt:lpstr>TaxRate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User</cp:lastModifiedBy>
  <cp:lastPrinted>2025-07-01T09:32:37Z</cp:lastPrinted>
  <dcterms:created xsi:type="dcterms:W3CDTF">2012-08-17T09:55:37Z</dcterms:created>
  <dcterms:modified xsi:type="dcterms:W3CDTF">2025-07-01T11:23:09Z</dcterms:modified>
</cp:coreProperties>
</file>