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long/KL-GIT/CCAP/02-LhARA/04-LhARAlinearOptics/21-Spreads4Tests/"/>
    </mc:Choice>
  </mc:AlternateContent>
  <xr:revisionPtr revIDLastSave="0" documentId="13_ncr:1_{6BC92B99-22CD-9141-85DE-4A722C09B41B}" xr6:coauthVersionLast="47" xr6:coauthVersionMax="47" xr10:uidLastSave="{00000000-0000-0000-0000-000000000000}"/>
  <bookViews>
    <workbookView xWindow="0" yWindow="640" windowWidth="34720" windowHeight="29860" xr2:uid="{008B2FEE-BD6E-8742-A59F-ADD463C42F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1" l="1"/>
  <c r="E14" i="1"/>
  <c r="E21" i="1"/>
  <c r="H6" i="1"/>
  <c r="H38" i="1"/>
  <c r="H41" i="1"/>
  <c r="H10" i="1"/>
  <c r="B6" i="1"/>
  <c r="B5" i="1"/>
  <c r="P45" i="1"/>
  <c r="P46" i="1" s="1"/>
  <c r="H7" i="1" l="1"/>
  <c r="H8" i="1" s="1"/>
  <c r="E43" i="1"/>
  <c r="E44" i="1"/>
  <c r="A56" i="1"/>
  <c r="C54" i="1"/>
  <c r="C55" i="1" s="1"/>
  <c r="C56" i="1" s="1"/>
  <c r="C57" i="1" s="1"/>
  <c r="B52" i="1" s="1"/>
  <c r="B48" i="1"/>
  <c r="H9" i="1" l="1"/>
  <c r="E45" i="1"/>
  <c r="B38" i="1"/>
  <c r="B37" i="1"/>
  <c r="H42" i="1"/>
  <c r="P38" i="1" s="1"/>
  <c r="H39" i="1" l="1"/>
  <c r="P50" i="1" s="1"/>
  <c r="P41" i="1" l="1"/>
  <c r="P51" i="1"/>
  <c r="P53" i="1" s="1"/>
  <c r="H40" i="1"/>
  <c r="E47" i="1"/>
  <c r="E48" i="1"/>
  <c r="E49" i="1"/>
  <c r="E51" i="1" l="1"/>
  <c r="I51" i="1" s="1"/>
  <c r="E50" i="1"/>
  <c r="I50" i="1" l="1"/>
  <c r="C61" i="1" s="1"/>
  <c r="C60" i="1"/>
  <c r="D61" i="1"/>
  <c r="F63" i="1"/>
  <c r="E62" i="1"/>
  <c r="H66" i="1" l="1"/>
  <c r="F62" i="1"/>
  <c r="H67" i="1" s="1"/>
  <c r="E63" i="1"/>
  <c r="H68" i="1" s="1"/>
  <c r="D60" i="1"/>
  <c r="H65" i="1" s="1"/>
  <c r="E65" i="1" l="1" a="1"/>
  <c r="E66" i="1" s="1"/>
  <c r="K66" i="1" s="1"/>
  <c r="E65" i="1" l="1"/>
  <c r="K65" i="1" s="1"/>
  <c r="E68" i="1"/>
  <c r="K68" i="1" s="1"/>
  <c r="E67" i="1"/>
  <c r="K67" i="1" s="1"/>
</calcChain>
</file>

<file path=xl/sharedStrings.xml><?xml version="1.0" encoding="utf-8"?>
<sst xmlns="http://schemas.openxmlformats.org/spreadsheetml/2006/main" count="130" uniqueCount="79">
  <si>
    <t>MeV</t>
  </si>
  <si>
    <r>
      <t>m</t>
    </r>
    <r>
      <rPr>
        <i/>
        <vertAlign val="subscript"/>
        <sz val="12"/>
        <color theme="1"/>
        <rFont val="Calibri (Body)"/>
      </rPr>
      <t>p</t>
    </r>
  </si>
  <si>
    <t>charge</t>
  </si>
  <si>
    <t>Reference particle</t>
  </si>
  <si>
    <r>
      <t>K</t>
    </r>
    <r>
      <rPr>
        <i/>
        <vertAlign val="subscript"/>
        <sz val="12"/>
        <color theme="1"/>
        <rFont val="Calibri (Body)"/>
      </rPr>
      <t>r</t>
    </r>
  </si>
  <si>
    <r>
      <t>E</t>
    </r>
    <r>
      <rPr>
        <vertAlign val="subscript"/>
        <sz val="12"/>
        <color theme="1"/>
        <rFont val="Calibri (Body)"/>
      </rPr>
      <t>r</t>
    </r>
  </si>
  <si>
    <r>
      <t>p</t>
    </r>
    <r>
      <rPr>
        <i/>
        <vertAlign val="subscript"/>
        <sz val="12"/>
        <color theme="1"/>
        <rFont val="Calibri (Body)"/>
      </rPr>
      <t>r</t>
    </r>
  </si>
  <si>
    <r>
      <rPr>
        <sz val="12"/>
        <color theme="1"/>
        <rFont val="Symbol"/>
        <charset val="2"/>
      </rPr>
      <t>g</t>
    </r>
    <r>
      <rPr>
        <vertAlign val="subscript"/>
        <sz val="12"/>
        <color theme="1"/>
        <rFont val="Calibri (Body)"/>
      </rPr>
      <t>r</t>
    </r>
    <r>
      <rPr>
        <sz val="12"/>
        <color theme="1"/>
        <rFont val="Symbol"/>
        <charset val="2"/>
      </rPr>
      <t>b</t>
    </r>
    <r>
      <rPr>
        <vertAlign val="subscript"/>
        <sz val="12"/>
        <color theme="1"/>
        <rFont val="Calibri (Body)"/>
      </rPr>
      <t>r</t>
    </r>
  </si>
  <si>
    <t>Gabor lens</t>
  </si>
  <si>
    <t>q</t>
  </si>
  <si>
    <t>e</t>
  </si>
  <si>
    <r>
      <rPr>
        <sz val="12"/>
        <color theme="1"/>
        <rFont val="Symbol"/>
        <charset val="2"/>
      </rPr>
      <t>e</t>
    </r>
    <r>
      <rPr>
        <vertAlign val="subscript"/>
        <sz val="12"/>
        <color theme="1"/>
        <rFont val="Calibri (Body)"/>
      </rPr>
      <t>0</t>
    </r>
  </si>
  <si>
    <t>C</t>
  </si>
  <si>
    <t>F/m</t>
  </si>
  <si>
    <r>
      <rPr>
        <sz val="12"/>
        <color theme="1"/>
        <rFont val="Symbol"/>
        <charset val="2"/>
      </rPr>
      <t>g</t>
    </r>
    <r>
      <rPr>
        <vertAlign val="subscript"/>
        <sz val="12"/>
        <color theme="1"/>
        <rFont val="Calibri (Body)"/>
      </rPr>
      <t>r</t>
    </r>
  </si>
  <si>
    <r>
      <rPr>
        <sz val="12"/>
        <color theme="1"/>
        <rFont val="Symbol"/>
        <charset val="2"/>
      </rPr>
      <t>b</t>
    </r>
    <r>
      <rPr>
        <vertAlign val="subscript"/>
        <sz val="12"/>
        <color theme="1"/>
        <rFont val="Calibri (Body)"/>
      </rPr>
      <t>r</t>
    </r>
  </si>
  <si>
    <r>
      <t>n</t>
    </r>
    <r>
      <rPr>
        <i/>
        <vertAlign val="subscript"/>
        <sz val="12"/>
        <color theme="1"/>
        <rFont val="Calibri (Body)"/>
      </rPr>
      <t>e</t>
    </r>
  </si>
  <si>
    <r>
      <t>m</t>
    </r>
    <r>
      <rPr>
        <vertAlign val="superscript"/>
        <sz val="12"/>
        <color theme="1"/>
        <rFont val="Calibri (Body)"/>
      </rPr>
      <t>-3</t>
    </r>
  </si>
  <si>
    <t>k</t>
  </si>
  <si>
    <t>a</t>
  </si>
  <si>
    <t>Z</t>
  </si>
  <si>
    <t>c</t>
  </si>
  <si>
    <t>m/s</t>
  </si>
  <si>
    <t>kg</t>
  </si>
  <si>
    <t>m</t>
  </si>
  <si>
    <t>J-MeV relationship</t>
  </si>
  <si>
    <t>f</t>
  </si>
  <si>
    <t>SI units</t>
  </si>
  <si>
    <t>Natural units</t>
  </si>
  <si>
    <r>
      <t>Length (</t>
    </r>
    <r>
      <rPr>
        <i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)</t>
    </r>
  </si>
  <si>
    <t>w</t>
  </si>
  <si>
    <r>
      <t>sin(</t>
    </r>
    <r>
      <rPr>
        <sz val="12"/>
        <color theme="1"/>
        <rFont val="Symbol"/>
        <charset val="2"/>
      </rPr>
      <t>w</t>
    </r>
    <r>
      <rPr>
        <i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)</t>
    </r>
  </si>
  <si>
    <r>
      <t>cos(</t>
    </r>
    <r>
      <rPr>
        <sz val="12"/>
        <color theme="1"/>
        <rFont val="Symbol"/>
        <charset val="2"/>
      </rPr>
      <t>w</t>
    </r>
    <r>
      <rPr>
        <i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)</t>
    </r>
  </si>
  <si>
    <t>Transfer matrix</t>
  </si>
  <si>
    <t>Rprime</t>
  </si>
  <si>
    <t>Check</t>
  </si>
  <si>
    <t>R</t>
  </si>
  <si>
    <t>Difference</t>
  </si>
  <si>
    <r>
      <t>m-(MeV</t>
    </r>
    <r>
      <rPr>
        <vertAlign val="superscript"/>
        <sz val="12"/>
        <color theme="1"/>
        <rFont val="Calibri"/>
        <family val="2"/>
      </rPr>
      <t>-1</t>
    </r>
    <r>
      <rPr>
        <sz val="12"/>
        <color theme="1"/>
        <rFont val="Calibri"/>
        <family val="2"/>
        <charset val="2"/>
      </rPr>
      <t>) relationship</t>
    </r>
  </si>
  <si>
    <t>h(bar)c</t>
  </si>
  <si>
    <t>MeV fm</t>
  </si>
  <si>
    <t>fm</t>
  </si>
  <si>
    <t>cm</t>
  </si>
  <si>
    <r>
      <t>MeV</t>
    </r>
    <r>
      <rPr>
        <vertAlign val="superscript"/>
        <sz val="12"/>
        <color theme="1"/>
        <rFont val="Calibri (Body)"/>
      </rPr>
      <t>-1</t>
    </r>
  </si>
  <si>
    <r>
      <t>B</t>
    </r>
    <r>
      <rPr>
        <i/>
        <vertAlign val="subscript"/>
        <sz val="12"/>
        <color theme="1"/>
        <rFont val="Calibri (Body)"/>
      </rPr>
      <t>z</t>
    </r>
  </si>
  <si>
    <t>T</t>
  </si>
  <si>
    <t>V</t>
  </si>
  <si>
    <r>
      <t>V</t>
    </r>
    <r>
      <rPr>
        <i/>
        <vertAlign val="subscript"/>
        <sz val="12"/>
        <color theme="1"/>
        <rFont val="Calibri (Body)"/>
      </rPr>
      <t>A</t>
    </r>
  </si>
  <si>
    <r>
      <t>R</t>
    </r>
    <r>
      <rPr>
        <i/>
        <vertAlign val="subscript"/>
        <sz val="12"/>
        <color theme="1"/>
        <rFont val="Calibri (Body)"/>
      </rPr>
      <t>A</t>
    </r>
  </si>
  <si>
    <r>
      <t>R</t>
    </r>
    <r>
      <rPr>
        <i/>
        <vertAlign val="subscript"/>
        <sz val="12"/>
        <color theme="1"/>
        <rFont val="Calibri (Body)"/>
      </rPr>
      <t>p</t>
    </r>
  </si>
  <si>
    <r>
      <t>n</t>
    </r>
    <r>
      <rPr>
        <i/>
        <vertAlign val="subscript"/>
        <sz val="12"/>
        <color theme="1"/>
        <rFont val="Calibri (Body)"/>
      </rPr>
      <t>e</t>
    </r>
    <r>
      <rPr>
        <sz val="12"/>
        <color theme="1"/>
        <rFont val="Calibri"/>
        <family val="2"/>
        <scheme val="minor"/>
      </rPr>
      <t>(trans)</t>
    </r>
  </si>
  <si>
    <r>
      <t>n</t>
    </r>
    <r>
      <rPr>
        <i/>
        <vertAlign val="subscript"/>
        <sz val="12"/>
        <color theme="1"/>
        <rFont val="Calibri (Body)"/>
      </rPr>
      <t>e</t>
    </r>
    <r>
      <rPr>
        <sz val="12"/>
        <color theme="1"/>
        <rFont val="Calibri"/>
        <family val="2"/>
        <scheme val="minor"/>
      </rPr>
      <t>(longi)</t>
    </r>
  </si>
  <si>
    <r>
      <t>m</t>
    </r>
    <r>
      <rPr>
        <i/>
        <vertAlign val="subscript"/>
        <sz val="12"/>
        <color theme="1"/>
        <rFont val="Calibri (Body)"/>
      </rPr>
      <t>e</t>
    </r>
  </si>
  <si>
    <r>
      <t>m</t>
    </r>
    <r>
      <rPr>
        <vertAlign val="superscript"/>
        <sz val="12"/>
        <color theme="1"/>
        <rFont val="Calibri (Body)"/>
      </rPr>
      <t>-1</t>
    </r>
  </si>
  <si>
    <r>
      <t>m</t>
    </r>
    <r>
      <rPr>
        <vertAlign val="superscript"/>
        <sz val="12"/>
        <color theme="1"/>
        <rFont val="Calibri (Body)"/>
      </rPr>
      <t>-2</t>
    </r>
  </si>
  <si>
    <t>B/l element i/p parameters</t>
  </si>
  <si>
    <t>Solenoid equivalent</t>
  </si>
  <si>
    <r>
      <t>Strength (B</t>
    </r>
    <r>
      <rPr>
        <vertAlign val="subscript"/>
        <sz val="12"/>
        <color theme="1"/>
        <rFont val="Calibri (Body)"/>
      </rPr>
      <t>0</t>
    </r>
    <r>
      <rPr>
        <sz val="12"/>
        <color theme="1"/>
        <rFont val="Calibri"/>
        <family val="2"/>
        <scheme val="minor"/>
      </rPr>
      <t>)</t>
    </r>
  </si>
  <si>
    <t>ne</t>
  </si>
  <si>
    <t>m-3</t>
  </si>
  <si>
    <t>ks</t>
  </si>
  <si>
    <t>rad/m</t>
  </si>
  <si>
    <t>1/c</t>
  </si>
  <si>
    <t>s/m</t>
  </si>
  <si>
    <t>1/c*10^9</t>
  </si>
  <si>
    <t>Brho</t>
  </si>
  <si>
    <t>B</t>
  </si>
  <si>
    <t>Cylindrical RF cavity in TM010 mode</t>
  </si>
  <si>
    <t>Cavity</t>
  </si>
  <si>
    <t>V0</t>
  </si>
  <si>
    <t>alpha</t>
  </si>
  <si>
    <t>Derived quantities</t>
  </si>
  <si>
    <t>Electric field gradient</t>
  </si>
  <si>
    <t>kV/m</t>
  </si>
  <si>
    <t>Frequency</t>
  </si>
  <si>
    <t>MHz</t>
  </si>
  <si>
    <t>Wave number</t>
  </si>
  <si>
    <t>m-1</t>
  </si>
  <si>
    <t>Cavity 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</si>
</sst>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E+00"/>
    <numFmt numFmtId="166" formatCode="0.000"/>
  </numFmts>
  <fonts count="1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b/>
      <i/>
      <sz val="12"/>
      <color theme="1"/>
      <name val="Calibri"/>
      <family val="2"/>
      <scheme val="minor"/>
    </font>
    <font>
      <vertAlign val="subscript"/>
      <sz val="12"/>
      <color theme="1"/>
      <name val="Calibri (Body)"/>
    </font>
    <font>
      <sz val="12"/>
      <color theme="1"/>
      <name val="Symbol"/>
      <charset val="2"/>
    </font>
    <font>
      <sz val="12"/>
      <color theme="1"/>
      <name val="Calibri"/>
      <family val="2"/>
      <charset val="2"/>
    </font>
    <font>
      <i/>
      <sz val="12"/>
      <color theme="1"/>
      <name val="Calibri"/>
      <family val="2"/>
      <scheme val="minor"/>
    </font>
    <font>
      <i/>
      <vertAlign val="subscript"/>
      <sz val="12"/>
      <color theme="1"/>
      <name val="Calibri (Body)"/>
    </font>
    <font>
      <b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</font>
    <font>
      <i/>
      <sz val="12"/>
      <color theme="1"/>
      <name val="Calibri"/>
      <family val="2"/>
    </font>
    <font>
      <b/>
      <sz val="18"/>
      <color theme="1"/>
      <name val="Calibri"/>
      <family val="2"/>
      <scheme val="minor"/>
    </font>
    <font>
      <sz val="12"/>
      <color rgb="FF000000"/>
      <name val="Calibri"/>
      <family val="2"/>
      <charset val="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>
      <alignment horizontal="right"/>
    </xf>
    <xf numFmtId="0" fontId="0" fillId="0" borderId="6" xfId="0" applyBorder="1"/>
    <xf numFmtId="0" fontId="0" fillId="0" borderId="7" xfId="0" applyBorder="1" applyAlignment="1">
      <alignment horizontal="right"/>
    </xf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4" xfId="0" applyBorder="1" applyAlignment="1">
      <alignment horizontal="right"/>
    </xf>
    <xf numFmtId="0" fontId="7" fillId="0" borderId="7" xfId="0" applyFont="1" applyBorder="1" applyAlignment="1">
      <alignment horizontal="right"/>
    </xf>
    <xf numFmtId="164" fontId="0" fillId="0" borderId="0" xfId="0" applyNumberFormat="1"/>
    <xf numFmtId="0" fontId="6" fillId="0" borderId="7" xfId="0" applyFont="1" applyBorder="1" applyAlignment="1">
      <alignment horizontal="right"/>
    </xf>
    <xf numFmtId="0" fontId="0" fillId="0" borderId="9" xfId="0" applyBorder="1"/>
    <xf numFmtId="11" fontId="0" fillId="0" borderId="0" xfId="0" applyNumberFormat="1"/>
    <xf numFmtId="164" fontId="0" fillId="3" borderId="0" xfId="0" applyNumberFormat="1" applyFill="1"/>
    <xf numFmtId="164" fontId="0" fillId="4" borderId="0" xfId="0" applyNumberFormat="1" applyFill="1"/>
    <xf numFmtId="1" fontId="0" fillId="0" borderId="0" xfId="0" applyNumberFormat="1"/>
    <xf numFmtId="0" fontId="7" fillId="0" borderId="0" xfId="0" applyFont="1" applyAlignment="1">
      <alignment horizontal="right"/>
    </xf>
    <xf numFmtId="0" fontId="5" fillId="0" borderId="7" xfId="0" applyFont="1" applyBorder="1" applyAlignment="1">
      <alignment horizontal="right"/>
    </xf>
    <xf numFmtId="0" fontId="6" fillId="0" borderId="9" xfId="0" applyFont="1" applyBorder="1" applyAlignment="1">
      <alignment horizontal="right"/>
    </xf>
    <xf numFmtId="11" fontId="0" fillId="0" borderId="10" xfId="0" applyNumberFormat="1" applyBorder="1"/>
    <xf numFmtId="0" fontId="7" fillId="6" borderId="0" xfId="0" applyFont="1" applyFill="1" applyAlignment="1">
      <alignment horizontal="right"/>
    </xf>
    <xf numFmtId="0" fontId="0" fillId="6" borderId="8" xfId="0" applyFill="1" applyBorder="1"/>
    <xf numFmtId="0" fontId="0" fillId="6" borderId="0" xfId="0" applyFill="1"/>
    <xf numFmtId="0" fontId="0" fillId="6" borderId="0" xfId="0" applyFill="1" applyAlignment="1">
      <alignment horizontal="right"/>
    </xf>
    <xf numFmtId="0" fontId="5" fillId="0" borderId="0" xfId="0" applyFont="1" applyAlignment="1">
      <alignment horizontal="right"/>
    </xf>
    <xf numFmtId="0" fontId="0" fillId="0" borderId="9" xfId="0" applyBorder="1" applyAlignment="1">
      <alignment horizontal="right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1" xfId="0" applyBorder="1"/>
    <xf numFmtId="165" fontId="0" fillId="0" borderId="0" xfId="0" applyNumberFormat="1"/>
    <xf numFmtId="0" fontId="6" fillId="0" borderId="0" xfId="0" applyFont="1" applyAlignment="1">
      <alignment horizontal="right"/>
    </xf>
    <xf numFmtId="164" fontId="0" fillId="2" borderId="0" xfId="0" applyNumberFormat="1" applyFill="1"/>
    <xf numFmtId="0" fontId="11" fillId="0" borderId="7" xfId="0" applyFont="1" applyBorder="1" applyAlignment="1">
      <alignment horizontal="right"/>
    </xf>
    <xf numFmtId="166" fontId="0" fillId="0" borderId="0" xfId="0" applyNumberFormat="1"/>
    <xf numFmtId="0" fontId="0" fillId="0" borderId="4" xfId="0" applyBorder="1"/>
    <xf numFmtId="0" fontId="0" fillId="0" borderId="5" xfId="0" applyBorder="1"/>
    <xf numFmtId="11" fontId="0" fillId="0" borderId="7" xfId="0" applyNumberFormat="1" applyBorder="1"/>
    <xf numFmtId="0" fontId="0" fillId="6" borderId="8" xfId="0" applyFill="1" applyBorder="1" applyAlignment="1">
      <alignment horizontal="left"/>
    </xf>
    <xf numFmtId="11" fontId="0" fillId="6" borderId="0" xfId="0" applyNumberFormat="1" applyFill="1"/>
    <xf numFmtId="0" fontId="0" fillId="3" borderId="4" xfId="0" applyFill="1" applyBorder="1" applyAlignment="1">
      <alignment horizontal="right"/>
    </xf>
    <xf numFmtId="0" fontId="0" fillId="3" borderId="5" xfId="0" applyFill="1" applyBorder="1"/>
    <xf numFmtId="0" fontId="0" fillId="3" borderId="6" xfId="0" applyFill="1" applyBorder="1"/>
    <xf numFmtId="0" fontId="0" fillId="0" borderId="7" xfId="0" applyBorder="1"/>
    <xf numFmtId="0" fontId="13" fillId="0" borderId="0" xfId="0" applyFont="1"/>
    <xf numFmtId="0" fontId="12" fillId="2" borderId="1" xfId="0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0" fillId="6" borderId="0" xfId="0" applyFill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9" fillId="5" borderId="5" xfId="0" applyFont="1" applyFill="1" applyBorder="1" applyAlignment="1">
      <alignment horizontal="center"/>
    </xf>
    <xf numFmtId="0" fontId="9" fillId="5" borderId="6" xfId="0" applyFont="1" applyFill="1" applyBorder="1" applyAlignment="1">
      <alignment horizontal="center"/>
    </xf>
    <xf numFmtId="0" fontId="9" fillId="5" borderId="4" xfId="0" applyFont="1" applyFill="1" applyBorder="1" applyAlignment="1">
      <alignment horizontal="center"/>
    </xf>
    <xf numFmtId="0" fontId="9" fillId="5" borderId="7" xfId="0" applyFont="1" applyFill="1" applyBorder="1" applyAlignment="1">
      <alignment horizontal="center"/>
    </xf>
    <xf numFmtId="0" fontId="9" fillId="5" borderId="0" xfId="0" applyFont="1" applyFill="1" applyAlignment="1">
      <alignment horizontal="center"/>
    </xf>
    <xf numFmtId="0" fontId="9" fillId="5" borderId="8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9" fillId="5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319616</xdr:colOff>
      <xdr:row>45</xdr:row>
      <xdr:rowOff>16510</xdr:rowOff>
    </xdr:from>
    <xdr:ext cx="1907638" cy="39260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C8C65EB7-EB20-0542-8303-8F62EB1CCDE8}"/>
                </a:ext>
              </a:extLst>
            </xdr:cNvPr>
            <xdr:cNvSpPr txBox="1"/>
          </xdr:nvSpPr>
          <xdr:spPr>
            <a:xfrm>
              <a:off x="9218083" y="2624243"/>
              <a:ext cx="1907638" cy="392608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𝑘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𝑍</m:t>
                        </m:r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2</m:t>
                        </m:r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𝜀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den>
                    </m:f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sSubSup>
                          <m:sSub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𝛽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sub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𝛾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sub>
                        </m:sSub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sub>
                        </m:sSub>
                      </m:den>
                    </m:f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GB" sz="1100" b="0" i="0">
                        <a:latin typeface="Cambria Math" panose="02040503050406030204" pitchFamily="18" charset="0"/>
                      </a:rPr>
                      <m:t>[</m:t>
                    </m:r>
                    <m:r>
                      <m:rPr>
                        <m:sty m:val="p"/>
                      </m:rPr>
                      <a:rPr lang="en-GB" sz="1100" b="0" i="0">
                        <a:latin typeface="Cambria Math" panose="02040503050406030204" pitchFamily="18" charset="0"/>
                      </a:rPr>
                      <m:t>SI</m:t>
                    </m:r>
                    <m:r>
                      <a:rPr lang="en-GB" sz="1100" b="0" i="0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en-GB" sz="1100" b="0" i="0">
                        <a:latin typeface="Cambria Math" panose="02040503050406030204" pitchFamily="18" charset="0"/>
                      </a:rPr>
                      <m:t>units</m:t>
                    </m:r>
                    <m:r>
                      <a:rPr lang="en-GB" sz="1100" b="0" i="0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en-GB" sz="1100" i="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C8C65EB7-EB20-0542-8303-8F62EB1CCDE8}"/>
                </a:ext>
              </a:extLst>
            </xdr:cNvPr>
            <xdr:cNvSpPr txBox="1"/>
          </xdr:nvSpPr>
          <xdr:spPr>
            <a:xfrm>
              <a:off x="9218083" y="2624243"/>
              <a:ext cx="1907638" cy="392608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𝑘=(𝑍𝑒^2)/(2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𝜀_</a:t>
              </a:r>
              <a:r>
                <a:rPr lang="en-GB" sz="1100" b="0" i="0">
                  <a:latin typeface="Cambria Math" panose="02040503050406030204" pitchFamily="18" charset="0"/>
                </a:rPr>
                <a:t>0 )  1/(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en-GB" sz="1100" b="0" i="0">
                  <a:latin typeface="Cambria Math" panose="02040503050406030204" pitchFamily="18" charset="0"/>
                </a:rPr>
                <a:t>𝑟^2 𝑐^2 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𝛾_</a:t>
              </a:r>
              <a:r>
                <a:rPr lang="en-GB" sz="1100" b="0" i="0">
                  <a:latin typeface="Cambria Math" panose="02040503050406030204" pitchFamily="18" charset="0"/>
                </a:rPr>
                <a:t>𝑟 𝑚_𝑝 ) 𝑛_𝑒  [SI units]</a:t>
              </a:r>
              <a:endParaRPr lang="en-GB" sz="1100" i="0"/>
            </a:p>
          </xdr:txBody>
        </xdr:sp>
      </mc:Fallback>
    </mc:AlternateContent>
    <xdr:clientData/>
  </xdr:oneCellAnchor>
  <xdr:oneCellAnchor>
    <xdr:from>
      <xdr:col>9</xdr:col>
      <xdr:colOff>309457</xdr:colOff>
      <xdr:row>47</xdr:row>
      <xdr:rowOff>20744</xdr:rowOff>
    </xdr:from>
    <xdr:ext cx="2865272" cy="37824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170D984-CBC7-473E-8EEC-B344EBD63F61}"/>
                </a:ext>
              </a:extLst>
            </xdr:cNvPr>
            <xdr:cNvSpPr txBox="1"/>
          </xdr:nvSpPr>
          <xdr:spPr>
            <a:xfrm>
              <a:off x="9207924" y="3060277"/>
              <a:ext cx="2865272" cy="37824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𝑘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𝑍</m:t>
                        </m:r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2</m:t>
                        </m:r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𝜀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den>
                    </m:f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𝛾</m:t>
                            </m:r>
                          </m:e>
                          <m:sub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sub>
                        </m:sSub>
                        <m:sSub>
                          <m:sSubPr>
                            <m:ctrlPr>
                              <a:rPr lang="en-GB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GB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𝒎</m:t>
                            </m:r>
                          </m:e>
                          <m:sub>
                            <m:r>
                              <a:rPr lang="en-GB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𝒑</m:t>
                            </m:r>
                          </m:sub>
                        </m:sSub>
                        <m:d>
                          <m:dPr>
                            <m:begChr m:val="["/>
                            <m:endChr m:val="]"/>
                            <m:ctrlPr>
                              <a:rPr lang="en-GB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GB" sz="11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𝐌𝐞𝐕</m:t>
                            </m:r>
                          </m:e>
                        </m:d>
                      </m:num>
                      <m:den>
                        <m:sSubSup>
                          <m:sSubSupPr>
                            <m:ctrlPr>
                              <a:rPr lang="en-GB" sz="1100" b="1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GB" sz="1100" b="1" i="1">
                                <a:latin typeface="Cambria Math" panose="02040503050406030204" pitchFamily="18" charset="0"/>
                              </a:rPr>
                              <m:t>𝒑</m:t>
                            </m:r>
                          </m:e>
                          <m:sub>
                            <m:r>
                              <a:rPr lang="en-GB" sz="1100" b="1" i="1">
                                <a:latin typeface="Cambria Math" panose="02040503050406030204" pitchFamily="18" charset="0"/>
                              </a:rPr>
                              <m:t>𝒓</m:t>
                            </m:r>
                          </m:sub>
                          <m:sup>
                            <m:r>
                              <a:rPr lang="en-GB" sz="1100" b="1" i="1">
                                <a:latin typeface="Cambria Math" panose="02040503050406030204" pitchFamily="18" charset="0"/>
                              </a:rPr>
                              <m:t>𝟐</m:t>
                            </m:r>
                          </m:sup>
                        </m:sSubSup>
                        <m:d>
                          <m:dPr>
                            <m:begChr m:val="["/>
                            <m:endChr m:val="]"/>
                            <m:ctrlPr>
                              <a:rPr lang="en-GB" sz="1100" b="1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n-GB" sz="1100" b="1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GB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𝑴𝒆𝑽</m:t>
                                </m:r>
                              </m:e>
                              <m:sup>
                                <m:r>
                                  <a:rPr lang="en-GB" sz="1100" b="1" i="1">
                                    <a:latin typeface="Cambria Math" panose="02040503050406030204" pitchFamily="18" charset="0"/>
                                  </a:rPr>
                                  <m:t>𝟐</m:t>
                                </m:r>
                              </m:sup>
                            </m:sSup>
                          </m:e>
                        </m:d>
                      </m:den>
                    </m:f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m:rPr>
                        <m:sty m:val="p"/>
                      </m:rPr>
                      <a:rPr lang="en-GB" sz="1100" b="0" i="0">
                        <a:latin typeface="Cambria Math" panose="02040503050406030204" pitchFamily="18" charset="0"/>
                      </a:rPr>
                      <m:t>J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–</m:t>
                    </m:r>
                    <m:r>
                      <m:rPr>
                        <m:sty m:val="p"/>
                      </m:rPr>
                      <a:rPr lang="en-GB" sz="1100" b="0" i="0">
                        <a:latin typeface="Cambria Math" panose="02040503050406030204" pitchFamily="18" charset="0"/>
                      </a:rPr>
                      <m:t>MeV</m:t>
                    </m:r>
                    <m:r>
                      <a:rPr lang="en-GB" sz="1100" b="0" i="0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en-GB" sz="1100" b="0" i="0">
                        <a:latin typeface="Cambria Math" panose="02040503050406030204" pitchFamily="18" charset="0"/>
                      </a:rPr>
                      <m:t>relationship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GB" sz="1100" i="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170D984-CBC7-473E-8EEC-B344EBD63F61}"/>
                </a:ext>
              </a:extLst>
            </xdr:cNvPr>
            <xdr:cNvSpPr txBox="1"/>
          </xdr:nvSpPr>
          <xdr:spPr>
            <a:xfrm>
              <a:off x="9207924" y="3060277"/>
              <a:ext cx="2865272" cy="37824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𝑘=(𝑍𝑒^2)/(2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𝜀_</a:t>
              </a:r>
              <a:r>
                <a:rPr lang="en-GB" sz="1100" b="0" i="0">
                  <a:latin typeface="Cambria Math" panose="02040503050406030204" pitchFamily="18" charset="0"/>
                </a:rPr>
                <a:t>0 ) 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(𝛾_𝑟</a:t>
              </a:r>
              <a:r>
                <a:rPr lang="en-GB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𝒎_𝒑 [𝐌𝐞𝐕]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</a:t>
              </a:r>
              <a:r>
                <a:rPr lang="en-GB" sz="1100" b="1" i="0">
                  <a:latin typeface="Cambria Math" panose="02040503050406030204" pitchFamily="18" charset="0"/>
                </a:rPr>
                <a:t>𝒑_𝒓^𝟐 [〖</a:t>
              </a:r>
              <a:r>
                <a:rPr lang="en-GB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𝑴𝒆𝑽〗^</a:t>
              </a:r>
              <a:r>
                <a:rPr lang="en-GB" sz="1100" b="1" i="0">
                  <a:latin typeface="Cambria Math" panose="02040503050406030204" pitchFamily="18" charset="0"/>
                </a:rPr>
                <a:t>𝟐 ]</a:t>
              </a:r>
              <a:r>
                <a:rPr lang="en-GB" sz="1100" b="0" i="0">
                  <a:latin typeface="Cambria Math" panose="02040503050406030204" pitchFamily="18" charset="0"/>
                </a:rPr>
                <a:t> ) 𝑛_𝑒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r>
                <a:rPr lang="en-GB" sz="1100" b="0" i="0">
                  <a:latin typeface="Cambria Math" panose="02040503050406030204" pitchFamily="18" charset="0"/>
                </a:rPr>
                <a:t>(J–MeV relationship)</a:t>
              </a:r>
              <a:endParaRPr lang="en-GB" sz="1100" i="0"/>
            </a:p>
          </xdr:txBody>
        </xdr:sp>
      </mc:Fallback>
    </mc:AlternateContent>
    <xdr:clientData/>
  </xdr:oneCellAnchor>
  <xdr:oneCellAnchor>
    <xdr:from>
      <xdr:col>9</xdr:col>
      <xdr:colOff>284057</xdr:colOff>
      <xdr:row>49</xdr:row>
      <xdr:rowOff>33444</xdr:rowOff>
    </xdr:from>
    <xdr:ext cx="3207545" cy="37824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A6EFE474-AF12-D345-84EE-32449BDA93BD}"/>
                </a:ext>
              </a:extLst>
            </xdr:cNvPr>
            <xdr:cNvSpPr txBox="1"/>
          </xdr:nvSpPr>
          <xdr:spPr>
            <a:xfrm>
              <a:off x="9182524" y="3504777"/>
              <a:ext cx="3207545" cy="378245"/>
            </a:xfrm>
            <a:prstGeom prst="rect">
              <a:avLst/>
            </a:prstGeom>
            <a:solidFill>
              <a:srgbClr val="FFFF00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𝑘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𝑍</m:t>
                        </m:r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2</m:t>
                        </m:r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𝜀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den>
                    </m:f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𝛾</m:t>
                            </m:r>
                          </m:e>
                          <m:sub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sub>
                        </m:sSub>
                        <m:sSub>
                          <m:sSubPr>
                            <m:ctrlPr>
                              <a:rPr lang="en-GB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GB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𝒎</m:t>
                            </m:r>
                          </m:e>
                          <m:sub>
                            <m:r>
                              <a:rPr lang="en-GB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𝒑</m:t>
                            </m:r>
                          </m:sub>
                        </m:sSub>
                        <m:d>
                          <m:dPr>
                            <m:begChr m:val="["/>
                            <m:endChr m:val="]"/>
                            <m:ctrlPr>
                              <a:rPr lang="en-GB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GB" sz="11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𝐌𝐞𝐕</m:t>
                            </m:r>
                          </m:e>
                        </m:d>
                      </m:num>
                      <m:den>
                        <m:sSubSup>
                          <m:sSubSupPr>
                            <m:ctrlPr>
                              <a:rPr lang="en-GB" sz="1100" b="1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GB" sz="1100" b="1" i="1">
                                <a:latin typeface="Cambria Math" panose="02040503050406030204" pitchFamily="18" charset="0"/>
                              </a:rPr>
                              <m:t>𝒑</m:t>
                            </m:r>
                          </m:e>
                          <m:sub>
                            <m:r>
                              <a:rPr lang="en-GB" sz="1100" b="1" i="1">
                                <a:latin typeface="Cambria Math" panose="02040503050406030204" pitchFamily="18" charset="0"/>
                              </a:rPr>
                              <m:t>𝒓</m:t>
                            </m:r>
                          </m:sub>
                          <m:sup>
                            <m:r>
                              <a:rPr lang="en-GB" sz="1100" b="1" i="1">
                                <a:latin typeface="Cambria Math" panose="02040503050406030204" pitchFamily="18" charset="0"/>
                              </a:rPr>
                              <m:t>𝟐</m:t>
                            </m:r>
                          </m:sup>
                        </m:sSubSup>
                        <m:d>
                          <m:dPr>
                            <m:begChr m:val="["/>
                            <m:endChr m:val="]"/>
                            <m:ctrlPr>
                              <a:rPr lang="en-GB" sz="1100" b="1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n-GB" sz="1100" b="1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GB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𝑴𝒆𝑽</m:t>
                                </m:r>
                              </m:e>
                              <m:sup>
                                <m:r>
                                  <a:rPr lang="en-GB" sz="1100" b="1" i="1">
                                    <a:latin typeface="Cambria Math" panose="02040503050406030204" pitchFamily="18" charset="0"/>
                                  </a:rPr>
                                  <m:t>𝟐</m:t>
                                </m:r>
                              </m:sup>
                            </m:sSup>
                          </m:e>
                        </m:d>
                      </m:den>
                    </m:f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/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m:rPr>
                        <m:sty m:val="p"/>
                      </m:rPr>
                      <a:rPr lang="en-GB" sz="1100" b="0" i="0">
                        <a:latin typeface="Cambria Math" panose="02040503050406030204" pitchFamily="18" charset="0"/>
                      </a:rPr>
                      <m:t>m</m:t>
                    </m:r>
                    <m:r>
                      <a:rPr lang="en-GB" sz="1100" b="0" i="0">
                        <a:latin typeface="Cambria Math" panose="02040503050406030204" pitchFamily="18" charset="0"/>
                      </a:rPr>
                      <m:t>−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nor/>
                          </m:rPr>
                          <a:rPr lang="en-GB" sz="1100" b="0" i="0">
                            <a:latin typeface="Cambria Math" panose="02040503050406030204" pitchFamily="18" charset="0"/>
                          </a:rPr>
                          <m:t>MeV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en-GB" sz="1100" b="0" i="1">
                        <a:latin typeface="Cambria Math" panose="02040503050406030204" pitchFamily="18" charset="0"/>
                      </a:rPr>
                      <m:t>)</m:t>
                    </m:r>
                    <m:r>
                      <a:rPr lang="en-GB" sz="1100" b="0" i="0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en-GB" sz="1100" b="0" i="0">
                        <a:latin typeface="Cambria Math" panose="02040503050406030204" pitchFamily="18" charset="0"/>
                      </a:rPr>
                      <m:t>relationship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GB" sz="1100" i="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A6EFE474-AF12-D345-84EE-32449BDA93BD}"/>
                </a:ext>
              </a:extLst>
            </xdr:cNvPr>
            <xdr:cNvSpPr txBox="1"/>
          </xdr:nvSpPr>
          <xdr:spPr>
            <a:xfrm>
              <a:off x="9182524" y="3504777"/>
              <a:ext cx="3207545" cy="378245"/>
            </a:xfrm>
            <a:prstGeom prst="rect">
              <a:avLst/>
            </a:prstGeom>
            <a:solidFill>
              <a:srgbClr val="FFFF00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𝑘=(𝑍𝑒^2)/(2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𝜀_</a:t>
              </a:r>
              <a:r>
                <a:rPr lang="en-GB" sz="1100" b="0" i="0">
                  <a:latin typeface="Cambria Math" panose="02040503050406030204" pitchFamily="18" charset="0"/>
                </a:rPr>
                <a:t>0 ) 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(𝛾_𝑟</a:t>
              </a:r>
              <a:r>
                <a:rPr lang="en-GB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𝒎_𝒑 [𝐌𝐞𝐕]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</a:t>
              </a:r>
              <a:r>
                <a:rPr lang="en-GB" sz="1100" b="1" i="0">
                  <a:latin typeface="Cambria Math" panose="02040503050406030204" pitchFamily="18" charset="0"/>
                </a:rPr>
                <a:t>𝒑_𝒓^𝟐 [〖</a:t>
              </a:r>
              <a:r>
                <a:rPr lang="en-GB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𝑴𝒆𝑽〗^</a:t>
              </a:r>
              <a:r>
                <a:rPr lang="en-GB" sz="1100" b="1" i="0">
                  <a:latin typeface="Cambria Math" panose="02040503050406030204" pitchFamily="18" charset="0"/>
                </a:rPr>
                <a:t>𝟐 ]</a:t>
              </a:r>
              <a:r>
                <a:rPr lang="en-GB" sz="1100" b="0" i="0">
                  <a:latin typeface="Cambria Math" panose="02040503050406030204" pitchFamily="18" charset="0"/>
                </a:rPr>
                <a:t> ) 𝑛_𝑒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/</a:t>
              </a:r>
              <a:r>
                <a:rPr lang="en-GB" sz="1100" b="0" i="0">
                  <a:latin typeface="Cambria Math" panose="02040503050406030204" pitchFamily="18" charset="0"/>
                </a:rPr>
                <a:t>(m−〖"MeV" 〗^(−1)) relationship)</a:t>
              </a:r>
              <a:endParaRPr lang="en-GB" sz="1100" i="0"/>
            </a:p>
          </xdr:txBody>
        </xdr:sp>
      </mc:Fallback>
    </mc:AlternateContent>
    <xdr:clientData/>
  </xdr:oneCellAnchor>
  <xdr:oneCellAnchor>
    <xdr:from>
      <xdr:col>10</xdr:col>
      <xdr:colOff>643466</xdr:colOff>
      <xdr:row>37</xdr:row>
      <xdr:rowOff>82551</xdr:rowOff>
    </xdr:from>
    <xdr:ext cx="1758815" cy="50295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BCF1D1E4-28D9-C2D7-1FB8-2754356A24DB}"/>
                </a:ext>
              </a:extLst>
            </xdr:cNvPr>
            <xdr:cNvSpPr txBox="1"/>
          </xdr:nvSpPr>
          <xdr:spPr>
            <a:xfrm>
              <a:off x="10490199" y="785284"/>
              <a:ext cx="1758815" cy="502958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sub>
                      <m:sup>
                        <m:r>
                          <m:rPr>
                            <m:sty m:val="p"/>
                          </m:rPr>
                          <a:rPr lang="en-GB" sz="1100" b="0" i="0">
                            <a:latin typeface="Cambria Math" panose="02040503050406030204" pitchFamily="18" charset="0"/>
                          </a:rPr>
                          <m:t>longi</m:t>
                        </m:r>
                      </m:sup>
                    </m:sSubSup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4</m:t>
                        </m:r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𝜖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𝑉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𝐴</m:t>
                            </m:r>
                          </m:sub>
                        </m:sSub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𝑒</m:t>
                        </m:r>
                        <m:sSubSup>
                          <m:sSub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𝑅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sub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  <m:d>
                          <m:d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1+2</m:t>
                            </m:r>
                            <m:func>
                              <m:func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n-GB" sz="1100" b="0" i="0">
                                    <a:latin typeface="Cambria Math" panose="02040503050406030204" pitchFamily="18" charset="0"/>
                                  </a:rPr>
                                  <m:t>ln</m:t>
                                </m:r>
                              </m:fName>
                              <m:e>
                                <m:d>
                                  <m:dPr>
                                    <m:ctrlPr>
                                      <a:rPr lang="en-GB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f>
                                      <m:fPr>
                                        <m:ctrlPr>
                                          <a:rPr lang="en-GB" sz="11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fPr>
                                      <m:num>
                                        <m:sSub>
                                          <m:sSubPr>
                                            <m:ctrlPr>
                                              <a:rPr lang="en-GB" sz="1100" b="0" i="1">
                                                <a:latin typeface="Cambria Math" panose="02040503050406030204" pitchFamily="18" charset="0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GB" sz="1100" b="0" i="1">
                                                <a:latin typeface="Cambria Math" panose="02040503050406030204" pitchFamily="18" charset="0"/>
                                              </a:rPr>
                                              <m:t>𝑅</m:t>
                                            </m:r>
                                          </m:e>
                                          <m:sub>
                                            <m:r>
                                              <a:rPr lang="en-GB" sz="1100" b="0" i="1">
                                                <a:latin typeface="Cambria Math" panose="02040503050406030204" pitchFamily="18" charset="0"/>
                                              </a:rPr>
                                              <m:t>𝐴</m:t>
                                            </m:r>
                                          </m:sub>
                                        </m:sSub>
                                      </m:num>
                                      <m:den>
                                        <m:sSub>
                                          <m:sSubPr>
                                            <m:ctrlPr>
                                              <a:rPr lang="en-GB" sz="1100" b="0" i="1">
                                                <a:latin typeface="Cambria Math" panose="02040503050406030204" pitchFamily="18" charset="0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GB" sz="1100" b="0" i="1">
                                                <a:latin typeface="Cambria Math" panose="02040503050406030204" pitchFamily="18" charset="0"/>
                                              </a:rPr>
                                              <m:t>𝑅</m:t>
                                            </m:r>
                                          </m:e>
                                          <m:sub>
                                            <m:r>
                                              <a:rPr lang="en-GB" sz="1100" b="0" i="1">
                                                <a:latin typeface="Cambria Math" panose="02040503050406030204" pitchFamily="18" charset="0"/>
                                              </a:rPr>
                                              <m:t>𝑝</m:t>
                                            </m:r>
                                          </m:sub>
                                        </m:sSub>
                                      </m:den>
                                    </m:f>
                                  </m:e>
                                </m:d>
                              </m:e>
                            </m:func>
                          </m:e>
                        </m:d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BCF1D1E4-28D9-C2D7-1FB8-2754356A24DB}"/>
                </a:ext>
              </a:extLst>
            </xdr:cNvPr>
            <xdr:cNvSpPr txBox="1"/>
          </xdr:nvSpPr>
          <xdr:spPr>
            <a:xfrm>
              <a:off x="10490199" y="785284"/>
              <a:ext cx="1758815" cy="502958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𝑛_𝑒^longi=(4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𝜖_</a:t>
              </a:r>
              <a:r>
                <a:rPr lang="en-GB" sz="1100" b="0" i="0">
                  <a:latin typeface="Cambria Math" panose="02040503050406030204" pitchFamily="18" charset="0"/>
                </a:rPr>
                <a:t>0 𝑉_𝐴)/(𝑒𝑅_𝑝^2 (1+2 ln⁡(𝑅_𝐴/𝑅_𝑝 ) ) 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9</xdr:col>
      <xdr:colOff>503767</xdr:colOff>
      <xdr:row>37</xdr:row>
      <xdr:rowOff>118534</xdr:rowOff>
    </xdr:from>
    <xdr:ext cx="862416" cy="36740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34EDDFF1-A672-86ED-C31E-A8ABC8DEDEC1}"/>
                </a:ext>
              </a:extLst>
            </xdr:cNvPr>
            <xdr:cNvSpPr txBox="1"/>
          </xdr:nvSpPr>
          <xdr:spPr>
            <a:xfrm>
              <a:off x="9495367" y="821267"/>
              <a:ext cx="862416" cy="367408"/>
            </a:xfrm>
            <a:prstGeom prst="rect">
              <a:avLst/>
            </a:prstGeom>
            <a:solidFill>
              <a:schemeClr val="accent2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sub>
                      <m:sup>
                        <m:r>
                          <m:rPr>
                            <m:sty m:val="p"/>
                          </m:rPr>
                          <a:rPr lang="en-GB" sz="1100" b="0" i="0">
                            <a:latin typeface="Cambria Math" panose="02040503050406030204" pitchFamily="18" charset="0"/>
                          </a:rPr>
                          <m:t>trans</m:t>
                        </m:r>
                      </m:sup>
                    </m:sSubSup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𝜖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  <m:sSubSup>
                          <m:sSub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𝐵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𝑧</m:t>
                            </m:r>
                          </m:sub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2</m:t>
                        </m:r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34EDDFF1-A672-86ED-C31E-A8ABC8DEDEC1}"/>
                </a:ext>
              </a:extLst>
            </xdr:cNvPr>
            <xdr:cNvSpPr txBox="1"/>
          </xdr:nvSpPr>
          <xdr:spPr>
            <a:xfrm>
              <a:off x="9495367" y="821267"/>
              <a:ext cx="862416" cy="367408"/>
            </a:xfrm>
            <a:prstGeom prst="rect">
              <a:avLst/>
            </a:prstGeom>
            <a:solidFill>
              <a:schemeClr val="accent2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𝑛_𝑒^trans=(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𝜖_</a:t>
              </a:r>
              <a:r>
                <a:rPr lang="en-GB" sz="1100" b="0" i="0">
                  <a:latin typeface="Cambria Math" panose="02040503050406030204" pitchFamily="18" charset="0"/>
                </a:rPr>
                <a:t>0 𝐵_𝑧^2)/(2𝑚_𝑒 )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C9CAF-347D-914C-A112-6F8981E6D7C0}">
  <dimension ref="A3:Q68"/>
  <sheetViews>
    <sheetView tabSelected="1" topLeftCell="A3" zoomScale="125" zoomScaleNormal="125" workbookViewId="0">
      <selection activeCell="H14" sqref="H14"/>
    </sheetView>
  </sheetViews>
  <sheetFormatPr baseColWidth="10" defaultColWidth="11.1640625" defaultRowHeight="16" x14ac:dyDescent="0.2"/>
  <cols>
    <col min="1" max="1" width="21.83203125" style="1" bestFit="1" customWidth="1"/>
    <col min="2" max="2" width="12.1640625" bestFit="1" customWidth="1"/>
    <col min="3" max="3" width="12.83203125" bestFit="1" customWidth="1"/>
    <col min="4" max="4" width="18.83203125" bestFit="1" customWidth="1"/>
    <col min="5" max="5" width="11" customWidth="1"/>
    <col min="7" max="7" width="12.1640625" bestFit="1" customWidth="1"/>
    <col min="11" max="11" width="12.1640625" bestFit="1" customWidth="1"/>
  </cols>
  <sheetData>
    <row r="3" spans="1:9" ht="21" x14ac:dyDescent="0.25">
      <c r="A3" s="66" t="s">
        <v>67</v>
      </c>
      <c r="B3" s="67"/>
      <c r="C3" s="67"/>
      <c r="D3" s="67"/>
      <c r="E3" s="67"/>
      <c r="F3" s="67"/>
      <c r="G3" s="67"/>
      <c r="H3" s="67"/>
      <c r="I3" s="68"/>
    </row>
    <row r="4" spans="1:9" x14ac:dyDescent="0.2">
      <c r="A4" s="71" t="s">
        <v>27</v>
      </c>
      <c r="B4" s="69"/>
      <c r="C4" s="70"/>
      <c r="D4" s="69" t="s">
        <v>68</v>
      </c>
      <c r="E4" s="69"/>
      <c r="F4" s="70"/>
      <c r="G4" s="75" t="s">
        <v>3</v>
      </c>
      <c r="H4" s="76"/>
      <c r="I4" s="77"/>
    </row>
    <row r="5" spans="1:9" ht="18" x14ac:dyDescent="0.25">
      <c r="A5" s="8" t="s">
        <v>20</v>
      </c>
      <c r="B5">
        <f>H11</f>
        <v>1</v>
      </c>
      <c r="C5" s="4"/>
      <c r="D5" s="1" t="s">
        <v>72</v>
      </c>
      <c r="E5">
        <v>4</v>
      </c>
      <c r="F5" t="s">
        <v>73</v>
      </c>
      <c r="G5" s="8" t="s">
        <v>4</v>
      </c>
      <c r="H5" s="9">
        <v>20</v>
      </c>
      <c r="I5" s="4" t="s">
        <v>0</v>
      </c>
    </row>
    <row r="6" spans="1:9" ht="18" x14ac:dyDescent="0.25">
      <c r="A6" s="8" t="s">
        <v>9</v>
      </c>
      <c r="B6" s="12">
        <f>H11*B7</f>
        <v>1.6021766339999999E-19</v>
      </c>
      <c r="C6" s="4" t="s">
        <v>12</v>
      </c>
      <c r="D6" s="1" t="s">
        <v>74</v>
      </c>
      <c r="E6">
        <v>200</v>
      </c>
      <c r="F6" t="s">
        <v>75</v>
      </c>
      <c r="G6" s="3" t="s">
        <v>5</v>
      </c>
      <c r="H6" s="9">
        <f>B14+H5</f>
        <v>958.27208815999995</v>
      </c>
      <c r="I6" s="4" t="s">
        <v>0</v>
      </c>
    </row>
    <row r="7" spans="1:9" ht="18" x14ac:dyDescent="0.25">
      <c r="A7" s="8" t="s">
        <v>10</v>
      </c>
      <c r="B7" s="12">
        <v>1.6021766339999999E-19</v>
      </c>
      <c r="C7" s="4" t="s">
        <v>12</v>
      </c>
      <c r="G7" s="8" t="s">
        <v>6</v>
      </c>
      <c r="H7" s="9">
        <f>SQRT(H6^2 -B14^ 2)</f>
        <v>194.75852619692921</v>
      </c>
      <c r="I7" s="4" t="s">
        <v>0</v>
      </c>
    </row>
    <row r="8" spans="1:9" ht="18" x14ac:dyDescent="0.25">
      <c r="A8" s="10" t="s">
        <v>21</v>
      </c>
      <c r="B8" s="15">
        <v>299792458</v>
      </c>
      <c r="C8" s="4" t="s">
        <v>22</v>
      </c>
      <c r="G8" s="10" t="s">
        <v>7</v>
      </c>
      <c r="H8">
        <f>H7/B14</f>
        <v>0.20757148022900346</v>
      </c>
      <c r="I8" s="4"/>
    </row>
    <row r="9" spans="1:9" ht="18" x14ac:dyDescent="0.25">
      <c r="G9" s="10" t="s">
        <v>15</v>
      </c>
      <c r="H9">
        <f>H7/H6</f>
        <v>0.20323927682260837</v>
      </c>
      <c r="I9" s="4"/>
    </row>
    <row r="10" spans="1:9" ht="18" x14ac:dyDescent="0.25">
      <c r="G10" s="10" t="s">
        <v>14</v>
      </c>
      <c r="H10">
        <f>H6/B14</f>
        <v>1.0213157784957891</v>
      </c>
      <c r="I10" s="4"/>
    </row>
    <row r="11" spans="1:9" x14ac:dyDescent="0.2">
      <c r="G11" s="3" t="s">
        <v>2</v>
      </c>
      <c r="H11">
        <v>1</v>
      </c>
      <c r="I11" s="4"/>
    </row>
    <row r="12" spans="1:9" x14ac:dyDescent="0.2">
      <c r="G12" s="11"/>
      <c r="H12" s="5"/>
      <c r="I12" s="6"/>
    </row>
    <row r="13" spans="1:9" x14ac:dyDescent="0.2">
      <c r="A13" s="72" t="s">
        <v>28</v>
      </c>
      <c r="B13" s="78"/>
      <c r="C13" s="74"/>
      <c r="D13" s="72" t="s">
        <v>71</v>
      </c>
      <c r="E13" s="78"/>
      <c r="F13" s="74"/>
    </row>
    <row r="14" spans="1:9" ht="18" x14ac:dyDescent="0.25">
      <c r="A14" s="8" t="s">
        <v>1</v>
      </c>
      <c r="B14">
        <v>938.27208815999995</v>
      </c>
      <c r="C14" s="4" t="s">
        <v>0</v>
      </c>
      <c r="D14" s="1" t="s">
        <v>76</v>
      </c>
      <c r="E14">
        <f>(2*PI()*E6*10^6)/B8</f>
        <v>4.191690043903364</v>
      </c>
      <c r="F14" t="s">
        <v>77</v>
      </c>
      <c r="H14" s="15"/>
    </row>
    <row r="15" spans="1:9" x14ac:dyDescent="0.2">
      <c r="D15" s="1" t="s">
        <v>78</v>
      </c>
      <c r="E15">
        <f>2.4048/E14</f>
        <v>0.57370654194664983</v>
      </c>
      <c r="F15" t="s">
        <v>24</v>
      </c>
    </row>
    <row r="20" spans="4:5" x14ac:dyDescent="0.2">
      <c r="D20" t="s">
        <v>69</v>
      </c>
    </row>
    <row r="21" spans="4:5" x14ac:dyDescent="0.2">
      <c r="D21" s="1" t="s">
        <v>70</v>
      </c>
      <c r="E21">
        <f>E5/H7</f>
        <v>2.0538253590784612E-2</v>
      </c>
    </row>
    <row r="35" spans="1:17" ht="24" x14ac:dyDescent="0.3">
      <c r="A35" s="66" t="s">
        <v>8</v>
      </c>
      <c r="B35" s="67"/>
      <c r="C35" s="67"/>
      <c r="D35" s="67"/>
      <c r="E35" s="67"/>
      <c r="F35" s="67"/>
      <c r="G35" s="67"/>
      <c r="H35" s="67"/>
      <c r="I35" s="68"/>
      <c r="O35" s="59" t="s">
        <v>56</v>
      </c>
      <c r="P35" s="60"/>
      <c r="Q35" s="61"/>
    </row>
    <row r="36" spans="1:17" ht="18" x14ac:dyDescent="0.25">
      <c r="A36" s="71" t="s">
        <v>27</v>
      </c>
      <c r="B36" s="69"/>
      <c r="C36" s="70"/>
      <c r="D36" s="69" t="s">
        <v>8</v>
      </c>
      <c r="E36" s="69"/>
      <c r="F36" s="70"/>
      <c r="G36" s="75" t="s">
        <v>3</v>
      </c>
      <c r="H36" s="76"/>
      <c r="I36" s="77"/>
      <c r="O36" s="54" t="s">
        <v>57</v>
      </c>
      <c r="P36" s="55">
        <v>1.4</v>
      </c>
      <c r="Q36" s="56" t="s">
        <v>45</v>
      </c>
    </row>
    <row r="37" spans="1:17" ht="18" x14ac:dyDescent="0.25">
      <c r="A37" s="8" t="s">
        <v>20</v>
      </c>
      <c r="B37">
        <f>H43</f>
        <v>1</v>
      </c>
      <c r="C37" s="4"/>
      <c r="D37" s="20" t="s">
        <v>44</v>
      </c>
      <c r="E37" s="22">
        <v>0.2</v>
      </c>
      <c r="F37" s="52" t="s">
        <v>45</v>
      </c>
      <c r="G37" s="8" t="s">
        <v>4</v>
      </c>
      <c r="H37" s="9">
        <v>20</v>
      </c>
      <c r="I37" s="4" t="s">
        <v>0</v>
      </c>
      <c r="K37" s="65" t="s">
        <v>55</v>
      </c>
      <c r="L37" s="65"/>
      <c r="O37" s="57"/>
      <c r="Q37" s="4"/>
    </row>
    <row r="38" spans="1:17" ht="18" x14ac:dyDescent="0.25">
      <c r="A38" s="8" t="s">
        <v>9</v>
      </c>
      <c r="B38" s="12">
        <f>H43*B39</f>
        <v>1.6021766339999999E-19</v>
      </c>
      <c r="C38" s="4" t="s">
        <v>12</v>
      </c>
      <c r="D38" s="23" t="s">
        <v>47</v>
      </c>
      <c r="E38" s="53">
        <v>65000</v>
      </c>
      <c r="F38" s="52" t="s">
        <v>46</v>
      </c>
      <c r="G38" s="3" t="s">
        <v>5</v>
      </c>
      <c r="H38" s="9">
        <f>B46+H37</f>
        <v>958.27208815999995</v>
      </c>
      <c r="I38" s="4" t="s">
        <v>0</v>
      </c>
      <c r="O38" s="11" t="s">
        <v>58</v>
      </c>
      <c r="P38" s="19">
        <f>B42/(2*B41*H42)*P36^2</f>
        <v>5079453457989577</v>
      </c>
      <c r="Q38" s="6" t="s">
        <v>59</v>
      </c>
    </row>
    <row r="39" spans="1:17" ht="18" x14ac:dyDescent="0.25">
      <c r="A39" s="8" t="s">
        <v>10</v>
      </c>
      <c r="B39" s="12">
        <v>1.6021766339999999E-19</v>
      </c>
      <c r="C39" s="4" t="s">
        <v>12</v>
      </c>
      <c r="D39" s="20" t="s">
        <v>48</v>
      </c>
      <c r="E39" s="22">
        <v>0.06</v>
      </c>
      <c r="F39" s="52" t="s">
        <v>24</v>
      </c>
      <c r="G39" s="8" t="s">
        <v>6</v>
      </c>
      <c r="H39" s="9">
        <f>SQRT(H38^2 -B46^ 2)</f>
        <v>194.75852619692921</v>
      </c>
      <c r="I39" s="4" t="s">
        <v>0</v>
      </c>
    </row>
    <row r="40" spans="1:17" ht="18" x14ac:dyDescent="0.25">
      <c r="A40" s="8" t="s">
        <v>52</v>
      </c>
      <c r="B40" s="12">
        <v>9.1093837015000008E-31</v>
      </c>
      <c r="C40" s="4" t="s">
        <v>23</v>
      </c>
      <c r="D40" s="20" t="s">
        <v>49</v>
      </c>
      <c r="E40" s="22">
        <v>0.05</v>
      </c>
      <c r="F40" s="52" t="s">
        <v>24</v>
      </c>
      <c r="G40" s="10" t="s">
        <v>7</v>
      </c>
      <c r="H40">
        <f>H39/B46</f>
        <v>0.20757148022900346</v>
      </c>
      <c r="I40" s="4"/>
      <c r="O40" t="s">
        <v>60</v>
      </c>
      <c r="P40" s="58">
        <v>2.491695</v>
      </c>
      <c r="Q40" t="s">
        <v>61</v>
      </c>
    </row>
    <row r="41" spans="1:17" ht="18" x14ac:dyDescent="0.25">
      <c r="A41" s="8" t="s">
        <v>1</v>
      </c>
      <c r="B41" s="12">
        <v>1.6726219E-27</v>
      </c>
      <c r="C41" s="4" t="s">
        <v>23</v>
      </c>
      <c r="D41" s="23" t="s">
        <v>29</v>
      </c>
      <c r="E41" s="22">
        <v>0.5</v>
      </c>
      <c r="F41" s="21" t="s">
        <v>24</v>
      </c>
      <c r="G41" s="10" t="s">
        <v>15</v>
      </c>
      <c r="H41">
        <f>H39/H38</f>
        <v>0.20323927682260837</v>
      </c>
      <c r="I41" s="4"/>
      <c r="O41" t="s">
        <v>66</v>
      </c>
      <c r="P41">
        <f>2*P50*P40</f>
        <v>3.2374319832439378</v>
      </c>
    </row>
    <row r="42" spans="1:17" ht="18" x14ac:dyDescent="0.25">
      <c r="A42" s="10" t="s">
        <v>11</v>
      </c>
      <c r="B42" s="12">
        <v>8.8541878128000006E-12</v>
      </c>
      <c r="C42" s="4" t="s">
        <v>13</v>
      </c>
      <c r="D42" s="1"/>
      <c r="F42" s="4"/>
      <c r="G42" s="10" t="s">
        <v>14</v>
      </c>
      <c r="H42">
        <f>H38/B46</f>
        <v>1.0213157784957891</v>
      </c>
      <c r="I42" s="4"/>
    </row>
    <row r="43" spans="1:17" ht="20" x14ac:dyDescent="0.25">
      <c r="A43" s="10" t="s">
        <v>21</v>
      </c>
      <c r="B43" s="15">
        <v>299792458</v>
      </c>
      <c r="C43" s="4" t="s">
        <v>22</v>
      </c>
      <c r="D43" s="16" t="s">
        <v>50</v>
      </c>
      <c r="E43" s="12">
        <f>(B42*E37^2)/(2*B40)</f>
        <v>1.9439707674937491E+17</v>
      </c>
      <c r="F43" t="s">
        <v>17</v>
      </c>
      <c r="G43" s="3" t="s">
        <v>2</v>
      </c>
      <c r="H43">
        <v>1</v>
      </c>
      <c r="I43" s="4"/>
    </row>
    <row r="44" spans="1:17" ht="20" x14ac:dyDescent="0.25">
      <c r="A44" s="47" t="s">
        <v>39</v>
      </c>
      <c r="B44" s="48">
        <v>197.3269804</v>
      </c>
      <c r="C44" s="4" t="s">
        <v>40</v>
      </c>
      <c r="D44" s="16" t="s">
        <v>51</v>
      </c>
      <c r="E44">
        <f>(4*B42*E38)/(B39*E40^2*(1+2*LN(E39/E40)))</f>
        <v>4211653050641471.5</v>
      </c>
      <c r="F44" t="s">
        <v>17</v>
      </c>
      <c r="G44" s="11"/>
      <c r="H44" s="5"/>
      <c r="I44" s="6"/>
      <c r="O44" s="7" t="s">
        <v>21</v>
      </c>
      <c r="P44" s="50">
        <v>299792458</v>
      </c>
      <c r="Q44" s="2" t="s">
        <v>22</v>
      </c>
    </row>
    <row r="45" spans="1:17" ht="20" x14ac:dyDescent="0.25">
      <c r="A45" s="72" t="s">
        <v>28</v>
      </c>
      <c r="B45" s="73"/>
      <c r="C45" s="74"/>
      <c r="D45" s="16" t="s">
        <v>16</v>
      </c>
      <c r="E45" s="12">
        <f>MIN(E43:E44)</f>
        <v>4211653050641471.5</v>
      </c>
      <c r="F45" s="4" t="s">
        <v>17</v>
      </c>
      <c r="G45" s="1"/>
      <c r="L45" s="12"/>
      <c r="M45" s="12"/>
      <c r="N45" s="12"/>
      <c r="O45" s="3" t="s">
        <v>62</v>
      </c>
      <c r="P45">
        <f>1/P44</f>
        <v>3.3356409519815204E-9</v>
      </c>
      <c r="Q45" s="4" t="s">
        <v>63</v>
      </c>
    </row>
    <row r="46" spans="1:17" ht="18" x14ac:dyDescent="0.25">
      <c r="A46" s="8" t="s">
        <v>1</v>
      </c>
      <c r="B46">
        <v>938.27208815999995</v>
      </c>
      <c r="C46" s="4" t="s">
        <v>0</v>
      </c>
      <c r="F46" s="4"/>
      <c r="O46" s="25" t="s">
        <v>64</v>
      </c>
      <c r="P46" s="5">
        <f>P45*1000000000</f>
        <v>3.3356409519815204</v>
      </c>
      <c r="Q46" s="6" t="s">
        <v>63</v>
      </c>
    </row>
    <row r="47" spans="1:17" ht="19" x14ac:dyDescent="0.2">
      <c r="A47" s="17" t="s">
        <v>19</v>
      </c>
      <c r="B47" s="44">
        <v>7.2973525693000004E-3</v>
      </c>
      <c r="C47" s="4"/>
      <c r="D47" s="16" t="s">
        <v>18</v>
      </c>
      <c r="E47" s="13">
        <f>(B37*B39^2/2/B42)/(H41^2*B43^2*H42*B41)*E45</f>
        <v>0.96267599271437188</v>
      </c>
      <c r="F47" s="4" t="s">
        <v>54</v>
      </c>
    </row>
    <row r="48" spans="1:17" ht="19" x14ac:dyDescent="0.2">
      <c r="A48" s="8" t="s">
        <v>10</v>
      </c>
      <c r="B48">
        <f>SQRT(4*PI()*B47)</f>
        <v>0.30282212087208876</v>
      </c>
      <c r="C48" s="4"/>
      <c r="E48" s="14">
        <f>(B37*B39^2/2/B42)*(B46*H42/H39^2*B51)*E45</f>
        <v>0.96267597900905066</v>
      </c>
      <c r="F48" s="4" t="s">
        <v>54</v>
      </c>
      <c r="J48" s="12"/>
    </row>
    <row r="49" spans="1:16" ht="20" x14ac:dyDescent="0.25">
      <c r="A49" s="10" t="s">
        <v>11</v>
      </c>
      <c r="B49">
        <v>1</v>
      </c>
      <c r="C49" s="4"/>
      <c r="E49" s="46">
        <f>B37*B48^2*H42*B46/(2*B49*H39^2)*E45/B52</f>
        <v>0.96267597879370392</v>
      </c>
      <c r="F49" s="4" t="s">
        <v>54</v>
      </c>
      <c r="J49" s="12"/>
    </row>
    <row r="50" spans="1:16" x14ac:dyDescent="0.2">
      <c r="A50" s="47" t="s">
        <v>39</v>
      </c>
      <c r="B50">
        <v>1</v>
      </c>
      <c r="C50" s="4"/>
      <c r="D50" s="16" t="s">
        <v>26</v>
      </c>
      <c r="E50" s="9">
        <f>1/(E47*E41)</f>
        <v>2.0775422002171031</v>
      </c>
      <c r="F50" s="4" t="s">
        <v>24</v>
      </c>
      <c r="H50" s="7" t="s">
        <v>31</v>
      </c>
      <c r="I50" s="2">
        <f>SIN(E51*E41)</f>
        <v>0.47113779737923661</v>
      </c>
      <c r="J50" s="12"/>
      <c r="O50" t="s">
        <v>65</v>
      </c>
      <c r="P50">
        <f>H39*P46/1000</f>
        <v>0.64964451573004278</v>
      </c>
    </row>
    <row r="51" spans="1:16" ht="19" x14ac:dyDescent="0.2">
      <c r="A51" s="10" t="s">
        <v>25</v>
      </c>
      <c r="B51" s="12">
        <v>6241509074000</v>
      </c>
      <c r="C51" s="4"/>
      <c r="D51" s="24" t="s">
        <v>30</v>
      </c>
      <c r="E51">
        <f>SQRT(E47)</f>
        <v>0.9811605336102609</v>
      </c>
      <c r="F51" s="4" t="s">
        <v>53</v>
      </c>
      <c r="H51" s="25" t="s">
        <v>32</v>
      </c>
      <c r="I51" s="6">
        <f>COS(E51*E41)</f>
        <v>0.88205962149995365</v>
      </c>
      <c r="O51" t="s">
        <v>60</v>
      </c>
      <c r="P51">
        <f>P36/(2*P50)</f>
        <v>1.0775123672265128</v>
      </c>
    </row>
    <row r="52" spans="1:16" ht="19" x14ac:dyDescent="0.2">
      <c r="A52" s="18" t="s">
        <v>38</v>
      </c>
      <c r="B52" s="19">
        <f>C57</f>
        <v>5067730717679.3955</v>
      </c>
      <c r="C52" s="6"/>
      <c r="D52" s="5"/>
      <c r="E52" s="5"/>
      <c r="F52" s="6"/>
      <c r="H52" s="16"/>
    </row>
    <row r="53" spans="1:16" x14ac:dyDescent="0.2">
      <c r="A53" s="45"/>
      <c r="B53" s="12"/>
      <c r="O53" t="s">
        <v>66</v>
      </c>
      <c r="P53">
        <f>2*P50*P51</f>
        <v>1.4</v>
      </c>
    </row>
    <row r="54" spans="1:16" ht="19" x14ac:dyDescent="0.2">
      <c r="A54" s="49">
        <v>1</v>
      </c>
      <c r="B54" s="50" t="s">
        <v>41</v>
      </c>
      <c r="C54" s="50">
        <f>1/B44</f>
        <v>5.0677307176793954E-3</v>
      </c>
      <c r="D54" s="2" t="s">
        <v>43</v>
      </c>
    </row>
    <row r="55" spans="1:16" ht="19" x14ac:dyDescent="0.2">
      <c r="A55" s="51">
        <v>1E-13</v>
      </c>
      <c r="B55" t="s">
        <v>42</v>
      </c>
      <c r="C55">
        <f>C54</f>
        <v>5.0677307176793954E-3</v>
      </c>
      <c r="D55" s="4" t="s">
        <v>43</v>
      </c>
    </row>
    <row r="56" spans="1:16" ht="19" x14ac:dyDescent="0.2">
      <c r="A56" s="51">
        <f>A55/100</f>
        <v>1.0000000000000001E-15</v>
      </c>
      <c r="B56" t="s">
        <v>24</v>
      </c>
      <c r="C56">
        <f>C55</f>
        <v>5.0677307176793954E-3</v>
      </c>
      <c r="D56" s="4" t="s">
        <v>43</v>
      </c>
    </row>
    <row r="57" spans="1:16" ht="19" x14ac:dyDescent="0.2">
      <c r="A57" s="18">
        <v>1</v>
      </c>
      <c r="B57" s="19" t="s">
        <v>24</v>
      </c>
      <c r="C57" s="5">
        <f>C56*1000000000000000</f>
        <v>5067730717679.3955</v>
      </c>
      <c r="D57" s="6" t="s">
        <v>43</v>
      </c>
    </row>
    <row r="58" spans="1:16" x14ac:dyDescent="0.2">
      <c r="A58" s="45"/>
      <c r="B58" s="12"/>
    </row>
    <row r="59" spans="1:16" x14ac:dyDescent="0.2">
      <c r="A59"/>
      <c r="C59" s="62" t="s">
        <v>33</v>
      </c>
      <c r="D59" s="63"/>
      <c r="E59" s="63"/>
      <c r="F59" s="64"/>
    </row>
    <row r="60" spans="1:16" x14ac:dyDescent="0.2">
      <c r="A60"/>
      <c r="C60" s="26">
        <f>I51</f>
        <v>0.88205962149995365</v>
      </c>
      <c r="D60" s="27">
        <f>I50/E51</f>
        <v>0.48018421169637382</v>
      </c>
      <c r="E60" s="27">
        <v>0</v>
      </c>
      <c r="F60" s="28">
        <v>0</v>
      </c>
    </row>
    <row r="61" spans="1:16" x14ac:dyDescent="0.2">
      <c r="A61"/>
      <c r="C61" s="29">
        <f>-E51*I50</f>
        <v>-0.46226181268057476</v>
      </c>
      <c r="D61" s="30">
        <f>I51</f>
        <v>0.88205962149995365</v>
      </c>
      <c r="E61" s="30">
        <v>0</v>
      </c>
      <c r="F61" s="31">
        <v>0</v>
      </c>
    </row>
    <row r="62" spans="1:16" x14ac:dyDescent="0.2">
      <c r="A62" s="36"/>
      <c r="B62" s="37"/>
      <c r="C62" s="29">
        <v>0</v>
      </c>
      <c r="D62" s="30">
        <v>0</v>
      </c>
      <c r="E62" s="30">
        <f>I51</f>
        <v>0.88205962149995365</v>
      </c>
      <c r="F62" s="31">
        <f>I50/E51</f>
        <v>0.48018421169637382</v>
      </c>
    </row>
    <row r="63" spans="1:16" x14ac:dyDescent="0.2">
      <c r="A63"/>
      <c r="C63" s="32">
        <v>0</v>
      </c>
      <c r="D63" s="33">
        <v>0</v>
      </c>
      <c r="E63" s="33">
        <f>-E51*I50</f>
        <v>-0.46226181268057476</v>
      </c>
      <c r="F63" s="34">
        <f>I51</f>
        <v>0.88205962149995365</v>
      </c>
    </row>
    <row r="64" spans="1:16" x14ac:dyDescent="0.2">
      <c r="A64"/>
    </row>
    <row r="65" spans="1:11" x14ac:dyDescent="0.2">
      <c r="A65" s="35" t="s">
        <v>36</v>
      </c>
      <c r="B65" s="38">
        <v>0.5</v>
      </c>
      <c r="D65" s="35" t="s">
        <v>34</v>
      </c>
      <c r="E65" s="38">
        <f t="array" ref="E65:E68">MMULT(C60:F63,B65:B68)</f>
        <v>0.48904823191961422</v>
      </c>
      <c r="G65" s="35" t="s">
        <v>35</v>
      </c>
      <c r="H65" s="41">
        <f>B$65*C60+B$66*D60+B$67*E60+B$68*F60</f>
        <v>0.48904823191961422</v>
      </c>
      <c r="J65" s="35" t="s">
        <v>37</v>
      </c>
      <c r="K65" s="41">
        <f>E65-H65</f>
        <v>0</v>
      </c>
    </row>
    <row r="66" spans="1:11" x14ac:dyDescent="0.2">
      <c r="B66" s="39">
        <v>0.1</v>
      </c>
      <c r="E66" s="39">
        <v>-0.142924944190292</v>
      </c>
      <c r="H66" s="42">
        <f>B$65*C61+B$66*D61+B$67*E61+B$68*F61</f>
        <v>-0.142924944190292</v>
      </c>
      <c r="K66" s="42">
        <f>E66-H66</f>
        <v>0</v>
      </c>
    </row>
    <row r="67" spans="1:11" x14ac:dyDescent="0.2">
      <c r="A67" s="35"/>
      <c r="B67" s="39">
        <v>-0.3</v>
      </c>
      <c r="E67" s="39">
        <v>-0.36065472878926086</v>
      </c>
      <c r="H67" s="42">
        <f>B$65*C62+B$66*D62+B$67*E62+B$68*F62</f>
        <v>-0.36065472878926086</v>
      </c>
      <c r="K67" s="42">
        <f>E67-H67</f>
        <v>0</v>
      </c>
    </row>
    <row r="68" spans="1:11" x14ac:dyDescent="0.2">
      <c r="B68" s="40">
        <v>-0.2</v>
      </c>
      <c r="E68" s="40">
        <v>-3.7733380495818342E-2</v>
      </c>
      <c r="H68" s="43">
        <f>B$65*C63+B$66*D63+B$67*E63+B$68*F63</f>
        <v>-3.7733380495818342E-2</v>
      </c>
      <c r="K68" s="43">
        <f>E68-H68</f>
        <v>0</v>
      </c>
    </row>
  </sheetData>
  <mergeCells count="14">
    <mergeCell ref="A3:I3"/>
    <mergeCell ref="A4:C4"/>
    <mergeCell ref="G4:I4"/>
    <mergeCell ref="A13:C13"/>
    <mergeCell ref="D4:F4"/>
    <mergeCell ref="D13:F13"/>
    <mergeCell ref="O35:Q35"/>
    <mergeCell ref="C59:F59"/>
    <mergeCell ref="K37:L37"/>
    <mergeCell ref="A35:I35"/>
    <mergeCell ref="D36:F36"/>
    <mergeCell ref="A36:C36"/>
    <mergeCell ref="A45:C45"/>
    <mergeCell ref="G36:I3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Kenneth R</dc:creator>
  <cp:lastModifiedBy>Kenneth Long</cp:lastModifiedBy>
  <dcterms:created xsi:type="dcterms:W3CDTF">2023-08-07T07:21:12Z</dcterms:created>
  <dcterms:modified xsi:type="dcterms:W3CDTF">2024-02-10T16:16:23Z</dcterms:modified>
</cp:coreProperties>
</file>