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F69A98C2-4458-6747-8EA4-A5A5357BE06D}" xr6:coauthVersionLast="47" xr6:coauthVersionMax="47" xr10:uidLastSave="{00000000-0000-0000-0000-000000000000}"/>
  <bookViews>
    <workbookView xWindow="0" yWindow="640" windowWidth="30240" windowHeight="190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/>
  <c r="P19" i="1"/>
  <c r="P17" i="1"/>
  <c r="P16" i="1"/>
  <c r="P11" i="1"/>
  <c r="P12" i="1" s="1"/>
  <c r="P4" i="1" l="1"/>
  <c r="E9" i="1"/>
  <c r="E10" i="1"/>
  <c r="A22" i="1"/>
  <c r="C20" i="1"/>
  <c r="C21" i="1" s="1"/>
  <c r="C22" i="1" s="1"/>
  <c r="C23" i="1" s="1"/>
  <c r="B18" i="1" s="1"/>
  <c r="B14" i="1"/>
  <c r="E11" i="1" l="1"/>
  <c r="B4" i="1"/>
  <c r="B3" i="1"/>
  <c r="H4" i="1"/>
  <c r="H8" i="1" s="1"/>
  <c r="H5" i="1" l="1"/>
  <c r="H6" i="1" l="1"/>
  <c r="H7" i="1"/>
  <c r="E13" i="1" s="1"/>
  <c r="E14" i="1"/>
  <c r="E15" i="1"/>
  <c r="E17" i="1" l="1"/>
  <c r="I17" i="1" s="1"/>
  <c r="E16" i="1"/>
  <c r="I16" i="1" l="1"/>
  <c r="C27" i="1" s="1"/>
  <c r="C26" i="1"/>
  <c r="D27" i="1"/>
  <c r="F29" i="1"/>
  <c r="E28" i="1"/>
  <c r="H32" i="1" l="1"/>
  <c r="F28" i="1"/>
  <c r="H33" i="1" s="1"/>
  <c r="E29" i="1"/>
  <c r="H34" i="1" s="1"/>
  <c r="D26" i="1"/>
  <c r="H31" i="1" s="1"/>
  <c r="E31" i="1" l="1" a="1"/>
  <c r="E32" i="1" s="1"/>
  <c r="K32" i="1" s="1"/>
  <c r="E31" i="1" l="1"/>
  <c r="K31" i="1" s="1"/>
  <c r="E34" i="1"/>
  <c r="K34" i="1" s="1"/>
  <c r="E33" i="1"/>
  <c r="K33" i="1" s="1"/>
</calcChain>
</file>

<file path=xl/sharedStrings.xml><?xml version="1.0" encoding="utf-8"?>
<sst xmlns="http://schemas.openxmlformats.org/spreadsheetml/2006/main" count="95" uniqueCount="67">
  <si>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</si>
  <si>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</si>
  <si>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</si>
  <si>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</si>
  <si>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</si>
  <si>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</si>
  <si>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</si>
  <si>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</si>
  <si>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Gabor lens</t>
  </si>
  <si>
    <t>q</t>
  </si>
  <si>
    <t>e</t>
  </si>
  <si>
    <r>
      <rPr>
        <sz val="12"/>
        <color theme="1"/>
        <rFont val="Symbol"/>
        <charset val="2"/>
      </rPr>
      <t>e</t>
    </r>
    <r>
      <rPr>
        <vertAlign val="subscript"/>
        <sz val="12"/>
        <color theme="1"/>
        <rFont val="Calibri (Body)"/>
      </rPr>
      <t>0</t>
    </r>
  </si>
  <si>
    <t>C</t>
  </si>
  <si>
    <t>F/m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</si>
  <si>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</si>
  <si>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</si>
  <si>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t>n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</si>
  <si>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-3</t>
    </r>
  </si>
  <si>
    <t>k</t>
  </si>
  <si>
    <t>a</t>
  </si>
  <si>
    <t>Z</t>
  </si>
  <si>
    <t>c</t>
  </si>
  <si>
    <t>m/s</t>
  </si>
  <si>
    <t>kg</t>
  </si>
  <si>
    <t>m</t>
  </si>
  <si>
    <t>J-MeV relationship</t>
  </si>
  <si>
    <t>f</t>
  </si>
  <si>
    <t>SI units</t>
  </si>
  <si>
    <t>Natural units</t>
  </si>
  <si>
    <r>
      <t>Length (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</si>
  <si>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w</t>
  </si>
  <si>
    <r>
      <t>sin(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</si>
  <si>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r>
      <t>cos(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</si>
  <si>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Transfer matrix</t>
  </si>
  <si>
    <t>Rprime</t>
  </si>
  <si>
    <t>Check</t>
  </si>
  <si>
    <t>R</t>
  </si>
  <si>
    <t>Difference</t>
  </si>
  <si>
    <r>
      <t>m-(MeV</t>
    </r>
    <r>
      <rPr>
        <vertAlign val="superscript"/>
        <sz val="12"/>
        <color theme="1"/>
        <rFont val="Calibri"/>
        <family val="2"/>
      </rPr>
      <t>-1</t>
    </r>
    <r>
      <rPr>
        <sz val="12"/>
        <color theme="1"/>
        <rFont val="Calibri"/>
        <family val="2"/>
        <charset val="2"/>
      </rPr>
      <t>) relationship</t>
    </r>
  </si>
  <si>
    <t>h(bar)c</t>
  </si>
  <si>
    <t>MeV fm</t>
  </si>
  <si>
    <t>fm</t>
  </si>
  <si>
    <t>cm</t>
  </si>
  <si>
    <r>
      <t>MeV</t>
    </r>
    <r>
      <rPr>
        <vertAlign val="superscript"/>
        <sz val="12"/>
        <color theme="1"/>
        <rFont val="Calibri (Body)"/>
      </rPr>
      <t>-1</t>
    </r>
  </si>
  <si>
    <r>
      <t>B</t>
    </r>
    <r>
      <rPr>
        <i/>
        <vertAlign val="subscript"/>
        <sz val="12"/>
        <color theme="1"/>
        <rFont val="Calibri (Body)"/>
      </rPr>
      <t>z</t>
    </r>
  </si>
  <si>
    <t>T</t>
  </si>
  <si>
    <t>V</t>
  </si>
  <si>
    <r>
      <t>V</t>
    </r>
    <r>
      <rPr>
        <i/>
        <vertAlign val="subscript"/>
        <sz val="12"/>
        <color theme="1"/>
        <rFont val="Calibri (Body)"/>
      </rPr>
      <t>A</t>
    </r>
  </si>
  <si>
    <r>
      <t>R</t>
    </r>
    <r>
      <rPr>
        <i/>
        <vertAlign val="subscript"/>
        <sz val="12"/>
        <color theme="1"/>
        <rFont val="Calibri (Body)"/>
      </rPr>
      <t>A</t>
    </r>
  </si>
  <si>
    <r>
      <t>R</t>
    </r>
    <r>
      <rPr>
        <i/>
        <vertAlign val="subscript"/>
        <sz val="12"/>
        <color theme="1"/>
        <rFont val="Calibri (Body)"/>
      </rPr>
      <t>p</t>
    </r>
  </si>
  <si>
    <r>
      <t>n</t>
    </r>
    <r>
      <rPr>
        <i/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(trans)</t>
    </r>
  </si>
  <si>
    <r>
      <t>n</t>
    </r>
    <r>
      <rPr>
        <i/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(longi)</t>
    </r>
  </si>
  <si>
    <r>
      <t>m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</si>
  <si>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-1</t>
    </r>
  </si>
  <si>
    <r>
      <t>m</t>
    </r>
    <r>
      <rPr>
        <vertAlign val="superscript"/>
        <sz val="12"/>
        <color theme="1"/>
        <rFont val="Calibri (Body)"/>
      </rPr>
      <t>-2</t>
    </r>
  </si>
  <si>
    <t>B/l element i/p parameters</t>
  </si>
  <si>
    <t>Solenoid equivalent</t>
  </si>
  <si>
    <r>
      <t>Strength (B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)</t>
    </r>
  </si>
  <si>
    <t>ne</t>
  </si>
  <si>
    <t>m-3</t>
  </si>
  <si>
    <t>ks</t>
  </si>
  <si>
    <t>rad/m</t>
  </si>
  <si>
    <t>1/c</t>
  </si>
  <si>
    <t>s/m</t>
  </si>
  <si>
    <t>1/c*10^9</t>
  </si>
  <si>
    <t>Brho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</si>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</sst>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"/>
  </numFmts>
  <fonts count="1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7" fillId="0" borderId="7" xfId="0" applyFont="1" applyBorder="1" applyAlignment="1">
      <alignment horizontal="right"/>
    </xf>
    <xf numFmtId="164" fontId="0" fillId="0" borderId="0" xfId="0" applyNumberFormat="1"/>
    <xf numFmtId="0" fontId="6" fillId="0" borderId="7" xfId="0" applyFont="1" applyBorder="1" applyAlignment="1">
      <alignment horizontal="right"/>
    </xf>
    <xf numFmtId="0" fontId="0" fillId="0" borderId="9" xfId="0" applyBorder="1"/>
    <xf numFmtId="11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" fontId="0" fillId="0" borderId="0" xfId="0" applyNumberFormat="1"/>
    <xf numFmtId="0" fontId="7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11" fontId="0" fillId="0" borderId="10" xfId="0" applyNumberFormat="1" applyBorder="1"/>
    <xf numFmtId="0" fontId="7" fillId="6" borderId="0" xfId="0" applyFont="1" applyFill="1" applyAlignment="1">
      <alignment horizontal="right"/>
    </xf>
    <xf numFmtId="0" fontId="0" fillId="6" borderId="8" xfId="0" applyFill="1" applyBorder="1"/>
    <xf numFmtId="0" fontId="0" fillId="6" borderId="0" xfId="0" applyFill="1"/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165" fontId="0" fillId="0" borderId="0" xfId="0" applyNumberFormat="1"/>
    <xf numFmtId="0" fontId="6" fillId="0" borderId="0" xfId="0" applyFont="1" applyAlignment="1">
      <alignment horizontal="right"/>
    </xf>
    <xf numFmtId="164" fontId="0" fillId="2" borderId="0" xfId="0" applyNumberFormat="1" applyFill="1"/>
    <xf numFmtId="0" fontId="11" fillId="0" borderId="7" xfId="0" applyFont="1" applyBorder="1" applyAlignment="1">
      <alignment horizontal="right"/>
    </xf>
    <xf numFmtId="166" fontId="0" fillId="0" borderId="0" xfId="0" applyNumberFormat="1"/>
    <xf numFmtId="0" fontId="0" fillId="0" borderId="4" xfId="0" applyBorder="1"/>
    <xf numFmtId="0" fontId="0" fillId="0" borderId="5" xfId="0" applyBorder="1"/>
    <xf numFmtId="11" fontId="0" fillId="0" borderId="7" xfId="0" applyNumberFormat="1" applyBorder="1"/>
    <xf numFmtId="0" fontId="0" fillId="6" borderId="8" xfId="0" applyFill="1" applyBorder="1" applyAlignment="1">
      <alignment horizontal="left"/>
    </xf>
    <xf numFmtId="11" fontId="0" fillId="6" borderId="0" xfId="0" applyNumberFormat="1" applyFill="1"/>
    <xf numFmtId="0" fontId="0" fillId="3" borderId="4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319616</xdr:colOff>
      <xdr:row>11</xdr:row>
      <xdr:rowOff>16510</xdr:rowOff>
    </xdr:from>
    <xdr:ext cx="1907638" cy="392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9218083" y="2624243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[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SI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units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9218083" y="2624243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 1/(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GB" sz="1100" b="0" i="0">
                  <a:latin typeface="Cambria Math" panose="02040503050406030204" pitchFamily="18" charset="0"/>
                </a:rPr>
                <a:t>𝑟^2 𝑐^2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</a:t>
              </a:r>
              <a:r>
                <a:rPr lang="en-GB" sz="1100" b="0" i="0">
                  <a:latin typeface="Cambria Math" panose="02040503050406030204" pitchFamily="18" charset="0"/>
                </a:rPr>
                <a:t>𝑟 𝑚_𝑝 ) 𝑛_𝑒  [SI units]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309457</xdr:colOff>
      <xdr:row>13</xdr:row>
      <xdr:rowOff>20744</xdr:rowOff>
    </xdr:from>
    <xdr:ext cx="2865272" cy="378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9207924" y="3060277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J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–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MeV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9207924" y="3060277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GB" sz="1100" b="0" i="0">
                  <a:latin typeface="Cambria Math" panose="02040503050406030204" pitchFamily="18" charset="0"/>
                </a:rPr>
                <a:t>(J–MeV relationship)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284057</xdr:colOff>
      <xdr:row>15</xdr:row>
      <xdr:rowOff>33444</xdr:rowOff>
    </xdr:from>
    <xdr:ext cx="3207545" cy="378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EFE474-AF12-D345-84EE-32449BDA93BD}"/>
                </a:ext>
              </a:extLst>
            </xdr:cNvPr>
            <xdr:cNvSpPr txBox="1"/>
          </xdr:nvSpPr>
          <xdr:spPr>
            <a:xfrm>
              <a:off x="9182524" y="3504777"/>
              <a:ext cx="3207545" cy="378245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MeV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EFE474-AF12-D345-84EE-32449BDA93BD}"/>
                </a:ext>
              </a:extLst>
            </xdr:cNvPr>
            <xdr:cNvSpPr txBox="1"/>
          </xdr:nvSpPr>
          <xdr:spPr>
            <a:xfrm>
              <a:off x="9182524" y="3504777"/>
              <a:ext cx="3207545" cy="378245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GB" sz="1100" b="0" i="0">
                  <a:latin typeface="Cambria Math" panose="02040503050406030204" pitchFamily="18" charset="0"/>
                </a:rPr>
                <a:t>(m−〖"MeV" 〗^(−1)) relationship)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10</xdr:col>
      <xdr:colOff>643466</xdr:colOff>
      <xdr:row>3</xdr:row>
      <xdr:rowOff>82551</xdr:rowOff>
    </xdr:from>
    <xdr:ext cx="1758815" cy="5029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F1D1E4-28D9-C2D7-1FB8-2754356A24DB}"/>
                </a:ext>
              </a:extLst>
            </xdr:cNvPr>
            <xdr:cNvSpPr txBox="1"/>
          </xdr:nvSpPr>
          <xdr:spPr>
            <a:xfrm>
              <a:off x="10490199" y="785284"/>
              <a:ext cx="1758815" cy="50295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longi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1+2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ln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𝐴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𝑝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F1D1E4-28D9-C2D7-1FB8-2754356A24DB}"/>
                </a:ext>
              </a:extLst>
            </xdr:cNvPr>
            <xdr:cNvSpPr txBox="1"/>
          </xdr:nvSpPr>
          <xdr:spPr>
            <a:xfrm>
              <a:off x="10490199" y="785284"/>
              <a:ext cx="1758815" cy="50295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𝑛_𝑒^longi=(4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n-GB" sz="1100" b="0" i="0">
                  <a:latin typeface="Cambria Math" panose="02040503050406030204" pitchFamily="18" charset="0"/>
                </a:rPr>
                <a:t>0 𝑉_𝐴)/(𝑒𝑅_𝑝^2 (1+2 ln⁡(𝑅_𝐴/𝑅_𝑝 ) )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503767</xdr:colOff>
      <xdr:row>3</xdr:row>
      <xdr:rowOff>118534</xdr:rowOff>
    </xdr:from>
    <xdr:ext cx="862416" cy="3674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4EDDFF1-A672-86ED-C31E-A8ABC8DEDEC1}"/>
                </a:ext>
              </a:extLst>
            </xdr:cNvPr>
            <xdr:cNvSpPr txBox="1"/>
          </xdr:nvSpPr>
          <xdr:spPr>
            <a:xfrm>
              <a:off x="9495367" y="821267"/>
              <a:ext cx="862416" cy="367408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trans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4EDDFF1-A672-86ED-C31E-A8ABC8DEDEC1}"/>
                </a:ext>
              </a:extLst>
            </xdr:cNvPr>
            <xdr:cNvSpPr txBox="1"/>
          </xdr:nvSpPr>
          <xdr:spPr>
            <a:xfrm>
              <a:off x="9495367" y="821267"/>
              <a:ext cx="862416" cy="367408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𝑛_𝑒^trans=(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n-GB" sz="1100" b="0" i="0">
                  <a:latin typeface="Cambria Math" panose="02040503050406030204" pitchFamily="18" charset="0"/>
                </a:rPr>
                <a:t>0 𝐵_𝑧^2)/(2𝑚_𝑒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Q41"/>
  <sheetViews>
    <sheetView tabSelected="1" zoomScaleNormal="100" workbookViewId="0">
      <selection activeCell="O11" sqref="O11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4" width="12.83203125" bestFit="1" customWidth="1"/>
    <col min="5" max="5" width="11" customWidth="1"/>
    <col min="7" max="7" width="12.1640625" bestFit="1" customWidth="1"/>
    <col min="11" max="11" width="12.1640625" bestFit="1" customWidth="1"/>
  </cols>
  <sheetData>
    <row r="1" spans="1:17" ht="24" x14ac:dyDescent="0.3">
      <c r="A1" s="65" t="s">
        <v>8</v>
      </c>
      <c r="B1" s="66"/>
      <c r="C1" s="66"/>
      <c r="D1" s="66"/>
      <c r="E1" s="66"/>
      <c r="F1" s="66"/>
      <c r="G1" s="66"/>
      <c r="H1" s="66"/>
      <c r="I1" s="67"/>
      <c r="O1" s="58" t="s">
        <v>56</v>
      </c>
      <c r="P1" s="59"/>
      <c r="Q1" s="60"/>
    </row>
    <row r="2" spans="1:17" ht="18" x14ac:dyDescent="0.25">
      <c r="A2" s="70" t="s">
        <v>27</v>
      </c>
      <c r="B2" s="68"/>
      <c r="C2" s="69"/>
      <c r="D2" s="68" t="s">
        <v>8</v>
      </c>
      <c r="E2" s="68"/>
      <c r="F2" s="69"/>
      <c r="G2" s="74" t="s">
        <v>3</v>
      </c>
      <c r="H2" s="75"/>
      <c r="I2" s="76"/>
      <c r="O2" s="54" t="s">
        <v>57</v>
      </c>
      <c r="P2" s="55">
        <v>1.4</v>
      </c>
      <c r="Q2" s="56" t="s">
        <v>45</v>
      </c>
    </row>
    <row r="3" spans="1:17" ht="18" x14ac:dyDescent="0.25">
      <c r="A3" s="8" t="s">
        <v>20</v>
      </c>
      <c r="B3">
        <f>H9</f>
        <v>1</v>
      </c>
      <c r="C3" s="4"/>
      <c r="D3" s="20" t="s">
        <v>44</v>
      </c>
      <c r="E3" s="22">
        <v>0.2</v>
      </c>
      <c r="F3" s="52" t="s">
        <v>45</v>
      </c>
      <c r="G3" s="8" t="s">
        <v>4</v>
      </c>
      <c r="H3" s="9">
        <v>20</v>
      </c>
      <c r="I3" s="4" t="s">
        <v>0</v>
      </c>
      <c r="K3" s="64" t="s">
        <v>55</v>
      </c>
      <c r="L3" s="64"/>
      <c r="O3" s="57"/>
      <c r="Q3" s="4"/>
    </row>
    <row r="4" spans="1:17" ht="18" x14ac:dyDescent="0.25">
      <c r="A4" s="8" t="s">
        <v>9</v>
      </c>
      <c r="B4" s="12">
        <f>H9*B5</f>
        <v>1.6021766339999999E-19</v>
      </c>
      <c r="C4" s="4" t="s">
        <v>12</v>
      </c>
      <c r="D4" s="23" t="s">
        <v>47</v>
      </c>
      <c r="E4" s="53">
        <v>65000</v>
      </c>
      <c r="F4" s="52" t="s">
        <v>46</v>
      </c>
      <c r="G4" s="3" t="s">
        <v>5</v>
      </c>
      <c r="H4" s="9">
        <f>B12+H3</f>
        <v>958.27208815999995</v>
      </c>
      <c r="I4" s="4" t="s">
        <v>0</v>
      </c>
      <c r="O4" s="11" t="s">
        <v>58</v>
      </c>
      <c r="P4" s="19">
        <f>B8/(2*B7*H8)*P2^2</f>
        <v>5079453457989577</v>
      </c>
      <c r="Q4" s="6" t="s">
        <v>59</v>
      </c>
    </row>
    <row r="5" spans="1:17" ht="18" x14ac:dyDescent="0.25">
      <c r="A5" s="8" t="s">
        <v>10</v>
      </c>
      <c r="B5" s="12">
        <v>1.6021766339999999E-19</v>
      </c>
      <c r="C5" s="4" t="s">
        <v>12</v>
      </c>
      <c r="D5" s="20" t="s">
        <v>48</v>
      </c>
      <c r="E5" s="22">
        <v>0.06</v>
      </c>
      <c r="F5" s="52" t="s">
        <v>24</v>
      </c>
      <c r="G5" s="8" t="s">
        <v>6</v>
      </c>
      <c r="H5" s="9">
        <f>SQRT(H4^2 -B12^ 2)</f>
        <v>194.75852619692921</v>
      </c>
      <c r="I5" s="4" t="s">
        <v>0</v>
      </c>
    </row>
    <row r="6" spans="1:17" ht="18" x14ac:dyDescent="0.25">
      <c r="A6" s="8" t="s">
        <v>52</v>
      </c>
      <c r="B6" s="12">
        <v>9.1093837015000008E-31</v>
      </c>
      <c r="C6" s="4" t="s">
        <v>23</v>
      </c>
      <c r="D6" s="20" t="s">
        <v>49</v>
      </c>
      <c r="E6" s="22">
        <v>0.05</v>
      </c>
      <c r="F6" s="52" t="s">
        <v>24</v>
      </c>
      <c r="G6" s="10" t="s">
        <v>7</v>
      </c>
      <c r="H6">
        <f>H5/B12</f>
        <v>0.20757148022900346</v>
      </c>
      <c r="I6" s="4"/>
      <c r="O6" t="s">
        <v>60</v>
      </c>
      <c r="P6" s="77">
        <v>2.491695</v>
      </c>
      <c r="Q6" t="s">
        <v>61</v>
      </c>
    </row>
    <row r="7" spans="1:17" ht="18" x14ac:dyDescent="0.25">
      <c r="A7" s="8" t="s">
        <v>1</v>
      </c>
      <c r="B7" s="12">
        <v>1.6726219E-27</v>
      </c>
      <c r="C7" s="4" t="s">
        <v>23</v>
      </c>
      <c r="D7" s="23" t="s">
        <v>29</v>
      </c>
      <c r="E7" s="22">
        <v>0.5</v>
      </c>
      <c r="F7" s="21" t="s">
        <v>24</v>
      </c>
      <c r="G7" s="10" t="s">
        <v>15</v>
      </c>
      <c r="H7">
        <f>H5/H4</f>
        <v>0.20323927682260837</v>
      </c>
      <c r="I7" s="4"/>
      <c r="O7" t="s">
        <v>66</v>
      </c>
      <c r="P7">
        <f>2*P16*P6</f>
        <v>3.2374319832439378</v>
      </c>
    </row>
    <row r="8" spans="1:17" ht="18" x14ac:dyDescent="0.25">
      <c r="A8" s="10" t="s">
        <v>11</v>
      </c>
      <c r="B8" s="12">
        <v>8.8541878128000006E-12</v>
      </c>
      <c r="C8" s="4" t="s">
        <v>13</v>
      </c>
      <c r="D8" s="1"/>
      <c r="F8" s="4"/>
      <c r="G8" s="10" t="s">
        <v>14</v>
      </c>
      <c r="H8">
        <f>H4/B12</f>
        <v>1.0213157784957891</v>
      </c>
      <c r="I8" s="4"/>
    </row>
    <row r="9" spans="1:17" ht="20" x14ac:dyDescent="0.25">
      <c r="A9" s="10" t="s">
        <v>21</v>
      </c>
      <c r="B9" s="15">
        <v>299792458</v>
      </c>
      <c r="C9" s="4" t="s">
        <v>22</v>
      </c>
      <c r="D9" s="16" t="s">
        <v>50</v>
      </c>
      <c r="E9" s="12">
        <f>(B8*E3^2)/(2*B6)</f>
        <v>1.9439707674937491E+17</v>
      </c>
      <c r="F9" t="s">
        <v>17</v>
      </c>
      <c r="G9" s="3" t="s">
        <v>2</v>
      </c>
      <c r="H9">
        <v>1</v>
      </c>
      <c r="I9" s="4"/>
    </row>
    <row r="10" spans="1:17" ht="20" x14ac:dyDescent="0.25">
      <c r="A10" s="47" t="s">
        <v>39</v>
      </c>
      <c r="B10" s="48">
        <v>197.3269804</v>
      </c>
      <c r="C10" s="4" t="s">
        <v>40</v>
      </c>
      <c r="D10" s="16" t="s">
        <v>51</v>
      </c>
      <c r="E10">
        <f>(4*B8*E4)/(B5*E6^2*(1+2*LN(E5/E6)))</f>
        <v>4211653050641471.5</v>
      </c>
      <c r="F10" t="s">
        <v>17</v>
      </c>
      <c r="G10" s="11"/>
      <c r="H10" s="5"/>
      <c r="I10" s="6"/>
      <c r="O10" s="7" t="s">
        <v>21</v>
      </c>
      <c r="P10" s="50">
        <v>299792458</v>
      </c>
      <c r="Q10" s="2" t="s">
        <v>22</v>
      </c>
    </row>
    <row r="11" spans="1:17" ht="20" x14ac:dyDescent="0.25">
      <c r="A11" s="71" t="s">
        <v>28</v>
      </c>
      <c r="B11" s="72"/>
      <c r="C11" s="73"/>
      <c r="D11" s="16" t="s">
        <v>16</v>
      </c>
      <c r="E11" s="12">
        <f>MIN(E9:E10)</f>
        <v>4211653050641471.5</v>
      </c>
      <c r="F11" s="4" t="s">
        <v>17</v>
      </c>
      <c r="G11" s="1"/>
      <c r="L11" s="12"/>
      <c r="M11" s="12"/>
      <c r="N11" s="12"/>
      <c r="O11" s="3" t="s">
        <v>62</v>
      </c>
      <c r="P11">
        <f>1/P10</f>
        <v>3.3356409519815204E-9</v>
      </c>
      <c r="Q11" s="4" t="s">
        <v>63</v>
      </c>
    </row>
    <row r="12" spans="1:17" ht="18" x14ac:dyDescent="0.25">
      <c r="A12" s="8" t="s">
        <v>1</v>
      </c>
      <c r="B12">
        <v>938.27208815999995</v>
      </c>
      <c r="C12" s="4" t="s">
        <v>0</v>
      </c>
      <c r="F12" s="4"/>
      <c r="O12" s="25" t="s">
        <v>64</v>
      </c>
      <c r="P12" s="5">
        <f>P11*1000000000</f>
        <v>3.3356409519815204</v>
      </c>
      <c r="Q12" s="6" t="s">
        <v>63</v>
      </c>
    </row>
    <row r="13" spans="1:17" ht="19" x14ac:dyDescent="0.2">
      <c r="A13" s="17" t="s">
        <v>19</v>
      </c>
      <c r="B13" s="44">
        <v>7.2973525693000004E-3</v>
      </c>
      <c r="C13" s="4"/>
      <c r="D13" s="16" t="s">
        <v>18</v>
      </c>
      <c r="E13" s="13">
        <f>(B3*B5^2/2/B8)/(H7^2*B9^2*H8*B7)*E11</f>
        <v>0.96267599271437188</v>
      </c>
      <c r="F13" s="4" t="s">
        <v>54</v>
      </c>
    </row>
    <row r="14" spans="1:17" ht="19" x14ac:dyDescent="0.2">
      <c r="A14" s="8" t="s">
        <v>10</v>
      </c>
      <c r="B14">
        <f>SQRT(4*PI()*B13)</f>
        <v>0.30282212087208876</v>
      </c>
      <c r="C14" s="4"/>
      <c r="E14" s="14">
        <f>(B3*B5^2/2/B8)*(B12*H8/H5^2*B17)*E11</f>
        <v>0.96267597900905066</v>
      </c>
      <c r="F14" s="4" t="s">
        <v>54</v>
      </c>
      <c r="J14" s="12"/>
    </row>
    <row r="15" spans="1:17" ht="20" x14ac:dyDescent="0.25">
      <c r="A15" s="10" t="s">
        <v>11</v>
      </c>
      <c r="B15">
        <v>1</v>
      </c>
      <c r="C15" s="4"/>
      <c r="E15" s="46">
        <f>B3*B14^2*H8*B12/(2*B15*H5^2)*E11/B18</f>
        <v>0.96267597879370392</v>
      </c>
      <c r="F15" s="4" t="s">
        <v>54</v>
      </c>
      <c r="J15" s="12"/>
    </row>
    <row r="16" spans="1:17" x14ac:dyDescent="0.2">
      <c r="A16" s="47" t="s">
        <v>39</v>
      </c>
      <c r="B16">
        <v>1</v>
      </c>
      <c r="C16" s="4"/>
      <c r="D16" s="16" t="s">
        <v>26</v>
      </c>
      <c r="E16" s="9">
        <f>1/(E13*E7)</f>
        <v>2.0775422002171031</v>
      </c>
      <c r="F16" s="4" t="s">
        <v>24</v>
      </c>
      <c r="H16" s="7" t="s">
        <v>31</v>
      </c>
      <c r="I16" s="2">
        <f>SIN(E17*E7)</f>
        <v>0.47113779737923661</v>
      </c>
      <c r="J16" s="12"/>
      <c r="O16" t="s">
        <v>65</v>
      </c>
      <c r="P16">
        <f>H5*P12/1000</f>
        <v>0.64964451573004278</v>
      </c>
    </row>
    <row r="17" spans="1:16" ht="19" x14ac:dyDescent="0.2">
      <c r="A17" s="10" t="s">
        <v>25</v>
      </c>
      <c r="B17" s="12">
        <v>6241509074000</v>
      </c>
      <c r="C17" s="4"/>
      <c r="D17" s="24" t="s">
        <v>30</v>
      </c>
      <c r="E17">
        <f>SQRT(E13)</f>
        <v>0.9811605336102609</v>
      </c>
      <c r="F17" s="4" t="s">
        <v>53</v>
      </c>
      <c r="H17" s="25" t="s">
        <v>32</v>
      </c>
      <c r="I17" s="6">
        <f>COS(E17*E7)</f>
        <v>0.88205962149995365</v>
      </c>
      <c r="O17" t="s">
        <v>60</v>
      </c>
      <c r="P17">
        <f>P2/(2*P16)</f>
        <v>1.0775123672265128</v>
      </c>
    </row>
    <row r="18" spans="1:16" ht="19" x14ac:dyDescent="0.2">
      <c r="A18" s="18" t="s">
        <v>38</v>
      </c>
      <c r="B18" s="19">
        <f>C23</f>
        <v>5067730717679.3955</v>
      </c>
      <c r="C18" s="6"/>
      <c r="D18" s="5"/>
      <c r="E18" s="5"/>
      <c r="F18" s="6"/>
      <c r="H18" s="16"/>
    </row>
    <row r="19" spans="1:16" x14ac:dyDescent="0.2">
      <c r="A19" s="45"/>
      <c r="B19" s="12"/>
      <c r="O19" t="s">
        <v>66</v>
      </c>
      <c r="P19">
        <f>2*P16*P17</f>
        <v>1.4</v>
      </c>
    </row>
    <row r="20" spans="1:16" ht="19" x14ac:dyDescent="0.2">
      <c r="A20" s="49">
        <v>1</v>
      </c>
      <c r="B20" s="50" t="s">
        <v>41</v>
      </c>
      <c r="C20" s="50">
        <f>1/B10</f>
        <v>5.0677307176793954E-3</v>
      </c>
      <c r="D20" s="2" t="s">
        <v>43</v>
      </c>
    </row>
    <row r="21" spans="1:16" ht="19" x14ac:dyDescent="0.2">
      <c r="A21" s="51">
        <v>1E-13</v>
      </c>
      <c r="B21" t="s">
        <v>42</v>
      </c>
      <c r="C21">
        <f>C20</f>
        <v>5.0677307176793954E-3</v>
      </c>
      <c r="D21" s="4" t="s">
        <v>43</v>
      </c>
    </row>
    <row r="22" spans="1:16" ht="19" x14ac:dyDescent="0.2">
      <c r="A22" s="51">
        <f>A21/100</f>
        <v>1.0000000000000001E-15</v>
      </c>
      <c r="B22" t="s">
        <v>24</v>
      </c>
      <c r="C22">
        <f>C21</f>
        <v>5.0677307176793954E-3</v>
      </c>
      <c r="D22" s="4" t="s">
        <v>43</v>
      </c>
    </row>
    <row r="23" spans="1:16" ht="19" x14ac:dyDescent="0.2">
      <c r="A23" s="18">
        <v>1</v>
      </c>
      <c r="B23" s="19" t="s">
        <v>24</v>
      </c>
      <c r="C23" s="5">
        <f>C22*1000000000000000</f>
        <v>5067730717679.3955</v>
      </c>
      <c r="D23" s="6" t="s">
        <v>43</v>
      </c>
    </row>
    <row r="24" spans="1:16" x14ac:dyDescent="0.2">
      <c r="A24" s="45"/>
      <c r="B24" s="12"/>
    </row>
    <row r="25" spans="1:16" x14ac:dyDescent="0.2">
      <c r="A25"/>
      <c r="C25" s="61" t="s">
        <v>33</v>
      </c>
      <c r="D25" s="62"/>
      <c r="E25" s="62"/>
      <c r="F25" s="63"/>
    </row>
    <row r="26" spans="1:16" x14ac:dyDescent="0.2">
      <c r="A26"/>
      <c r="C26" s="26">
        <f>I17</f>
        <v>0.88205962149995365</v>
      </c>
      <c r="D26" s="27">
        <f>I16/E17</f>
        <v>0.48018421169637382</v>
      </c>
      <c r="E26" s="27">
        <v>0</v>
      </c>
      <c r="F26" s="28">
        <v>0</v>
      </c>
    </row>
    <row r="27" spans="1:16" x14ac:dyDescent="0.2">
      <c r="A27"/>
      <c r="C27" s="29">
        <f>-E17*I16</f>
        <v>-0.46226181268057476</v>
      </c>
      <c r="D27" s="30">
        <f>I17</f>
        <v>0.88205962149995365</v>
      </c>
      <c r="E27" s="30">
        <v>0</v>
      </c>
      <c r="F27" s="31">
        <v>0</v>
      </c>
    </row>
    <row r="28" spans="1:16" x14ac:dyDescent="0.2">
      <c r="A28" s="36"/>
      <c r="B28" s="37"/>
      <c r="C28" s="29">
        <v>0</v>
      </c>
      <c r="D28" s="30">
        <v>0</v>
      </c>
      <c r="E28" s="30">
        <f>I17</f>
        <v>0.88205962149995365</v>
      </c>
      <c r="F28" s="31">
        <f>I16/E17</f>
        <v>0.48018421169637382</v>
      </c>
    </row>
    <row r="29" spans="1:16" x14ac:dyDescent="0.2">
      <c r="A29"/>
      <c r="C29" s="32">
        <v>0</v>
      </c>
      <c r="D29" s="33">
        <v>0</v>
      </c>
      <c r="E29" s="33">
        <f>-E17*I16</f>
        <v>-0.46226181268057476</v>
      </c>
      <c r="F29" s="34">
        <f>I17</f>
        <v>0.88205962149995365</v>
      </c>
    </row>
    <row r="30" spans="1:16" x14ac:dyDescent="0.2">
      <c r="A30"/>
    </row>
    <row r="31" spans="1:16" x14ac:dyDescent="0.2">
      <c r="A31" s="35" t="s">
        <v>36</v>
      </c>
      <c r="B31" s="38">
        <v>0.5</v>
      </c>
      <c r="D31" s="35" t="s">
        <v>34</v>
      </c>
      <c r="E31" s="38">
        <f t="array" ref="E31:E34">MMULT(C26:F29,B31:B34)</f>
        <v>0.48904823191961422</v>
      </c>
      <c r="G31" s="35" t="s">
        <v>35</v>
      </c>
      <c r="H31" s="41">
        <f>B$31*C26+B$32*D26+B$33*E26+B$34*F26</f>
        <v>0.48904823191961422</v>
      </c>
      <c r="J31" s="35" t="s">
        <v>37</v>
      </c>
      <c r="K31" s="41">
        <f>E31-H31</f>
        <v>0</v>
      </c>
    </row>
    <row r="32" spans="1:16" x14ac:dyDescent="0.2">
      <c r="B32" s="39">
        <v>0.1</v>
      </c>
      <c r="E32" s="39">
        <v>-0.142924944190292</v>
      </c>
      <c r="H32" s="42">
        <f>B$31*C27+B$32*D27+B$33*E27+B$34*F27</f>
        <v>-0.142924944190292</v>
      </c>
      <c r="K32" s="42">
        <f>E32-H32</f>
        <v>0</v>
      </c>
    </row>
    <row r="33" spans="1:11" x14ac:dyDescent="0.2">
      <c r="A33" s="35"/>
      <c r="B33" s="39">
        <v>-0.3</v>
      </c>
      <c r="E33" s="39">
        <v>-0.36065472878926086</v>
      </c>
      <c r="H33" s="42">
        <f>B$31*C28+B$32*D28+B$33*E28+B$34*F28</f>
        <v>-0.36065472878926086</v>
      </c>
      <c r="K33" s="42">
        <f>E33-H33</f>
        <v>0</v>
      </c>
    </row>
    <row r="34" spans="1:11" x14ac:dyDescent="0.2">
      <c r="B34" s="40">
        <v>-0.2</v>
      </c>
      <c r="E34" s="40">
        <v>-3.7733380495818342E-2</v>
      </c>
      <c r="H34" s="43">
        <f>B$31*C29+B$32*D29+B$33*E29+B$34*F29</f>
        <v>-3.7733380495818342E-2</v>
      </c>
      <c r="K34" s="43">
        <f>E34-H34</f>
        <v>0</v>
      </c>
    </row>
    <row r="38" spans="1:11" x14ac:dyDescent="0.2">
      <c r="A38"/>
    </row>
    <row r="39" spans="1:11" x14ac:dyDescent="0.2">
      <c r="A39"/>
    </row>
    <row r="40" spans="1:11" x14ac:dyDescent="0.2">
      <c r="A40"/>
    </row>
    <row r="41" spans="1:11" x14ac:dyDescent="0.2">
      <c r="A41"/>
    </row>
  </sheetData>
  <mergeCells count="8">
    <mergeCell ref="O1:Q1"/>
    <mergeCell ref="C25:F25"/>
    <mergeCell ref="K3:L3"/>
    <mergeCell ref="A1:I1"/>
    <mergeCell ref="D2:F2"/>
    <mergeCell ref="A2:C2"/>
    <mergeCell ref="A11:C11"/>
    <mergeCell ref="G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2023-12-28T18:09:37Z</dcterms:modified>
</cp:coreProperties>
</file>