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CubMac-LT/CCAP/18-LhARA/22-LION/01-LinOpt/21-Spreads4Tests/"/>
    </mc:Choice>
  </mc:AlternateContent>
  <xr:revisionPtr revIDLastSave="0" documentId="13_ncr:1_{4933DFB3-476F-7D4C-8E52-E334BAA17909}" xr6:coauthVersionLast="47" xr6:coauthVersionMax="47" xr10:uidLastSave="{00000000-0000-0000-0000-000000000000}"/>
  <bookViews>
    <workbookView xWindow="11080" yWindow="660" windowWidth="30240" windowHeight="18900" xr2:uid="{029D54F8-D7CF-F141-A780-410743706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3" i="1" l="1"/>
  <c r="O51" i="1"/>
  <c r="Q43" i="1"/>
  <c r="O41" i="1"/>
  <c r="Y42" i="1"/>
  <c r="Y47" i="1" s="1"/>
  <c r="AB52" i="1" s="1"/>
  <c r="T34" i="1"/>
  <c r="V23" i="1" s="1"/>
  <c r="V24" i="1" s="1"/>
  <c r="P46" i="1"/>
  <c r="Q46" i="1"/>
  <c r="P47" i="1"/>
  <c r="Q47" i="1"/>
  <c r="O48" i="1"/>
  <c r="O49" i="1"/>
  <c r="N48" i="1"/>
  <c r="N49" i="1"/>
  <c r="P37" i="1"/>
  <c r="Q37" i="1"/>
  <c r="N38" i="1"/>
  <c r="O38" i="1"/>
  <c r="N39" i="1"/>
  <c r="O39" i="1"/>
  <c r="P36" i="1"/>
  <c r="Q36" i="1"/>
  <c r="Y24" i="1"/>
  <c r="Y23" i="1"/>
  <c r="Y5" i="1"/>
  <c r="Y4" i="1"/>
  <c r="L26" i="1" a="1"/>
  <c r="L26" i="1" s="1"/>
  <c r="R31" i="1" s="1" a="1"/>
  <c r="R31" i="1" s="1"/>
  <c r="L31" i="1" s="1" a="1"/>
  <c r="L31" i="1" s="1"/>
  <c r="R36" i="1" s="1" a="1"/>
  <c r="R36" i="1" s="1"/>
  <c r="AB53" i="1"/>
  <c r="AB51" i="1"/>
  <c r="AC24" i="1"/>
  <c r="AC25" i="1" s="1"/>
  <c r="W45" i="1" l="1"/>
  <c r="AB50" i="1" s="1"/>
  <c r="V4" i="1"/>
  <c r="Y26" i="1"/>
  <c r="Y27" i="1" s="1"/>
  <c r="Y28" i="1" s="1"/>
  <c r="X33" i="1" l="1"/>
  <c r="P49" i="1" s="1"/>
  <c r="Y32" i="1"/>
  <c r="Q48" i="1" s="1"/>
  <c r="X32" i="1"/>
  <c r="W31" i="1"/>
  <c r="O47" i="1" s="1"/>
  <c r="V31" i="1"/>
  <c r="W30" i="1"/>
  <c r="O46" i="1" s="1"/>
  <c r="V30" i="1"/>
  <c r="N46" i="1" s="1"/>
  <c r="Y33" i="1"/>
  <c r="Y50" i="1" a="1"/>
  <c r="AB38" i="1" l="1"/>
  <c r="Q49" i="1"/>
  <c r="AB36" i="1"/>
  <c r="N47" i="1"/>
  <c r="AB37" i="1"/>
  <c r="P48" i="1"/>
  <c r="AB35" i="1"/>
  <c r="Y35" i="1" a="1"/>
  <c r="Y38" i="1" s="1"/>
  <c r="Y53" i="1"/>
  <c r="Y51" i="1"/>
  <c r="Y50" i="1"/>
  <c r="Y52" i="1"/>
  <c r="AC5" i="1"/>
  <c r="AC6" i="1" s="1"/>
  <c r="Q9" i="1"/>
  <c r="V5" i="1" l="1"/>
  <c r="Y7" i="1" s="1"/>
  <c r="Y8" i="1" s="1"/>
  <c r="Y35" i="1"/>
  <c r="Y36" i="1"/>
  <c r="Y37" i="1"/>
  <c r="Y9" i="1" l="1"/>
  <c r="X14" i="1"/>
  <c r="P39" i="1" s="1"/>
  <c r="W11" i="1" l="1"/>
  <c r="O36" i="1" s="1"/>
  <c r="Y13" i="1"/>
  <c r="Q38" i="1" s="1"/>
  <c r="X13" i="1"/>
  <c r="Y14" i="1"/>
  <c r="Q39" i="1" s="1"/>
  <c r="W12" i="1"/>
  <c r="O37" i="1" s="1"/>
  <c r="V11" i="1"/>
  <c r="V12" i="1"/>
  <c r="P38" i="1" l="1"/>
  <c r="AB18" i="1"/>
  <c r="AB19" i="1"/>
  <c r="AB17" i="1"/>
  <c r="N37" i="1"/>
  <c r="AB16" i="1"/>
  <c r="N36" i="1"/>
  <c r="L36" i="1" s="1" a="1"/>
  <c r="L36" i="1" s="1"/>
  <c r="R41" i="1" s="1" a="1"/>
  <c r="R41" i="1" s="1"/>
  <c r="L41" i="1" s="1" a="1"/>
  <c r="L41" i="1" s="1"/>
  <c r="R46" i="1" s="1" a="1"/>
  <c r="R46" i="1" s="1"/>
  <c r="L46" i="1" s="1" a="1"/>
  <c r="L46" i="1" s="1"/>
  <c r="R51" i="1" s="1" a="1"/>
  <c r="R51" i="1" s="1"/>
  <c r="L51" i="1" s="1" a="1"/>
  <c r="L51" i="1" s="1"/>
  <c r="Y16" i="1" a="1"/>
  <c r="Y17" i="1" l="1"/>
  <c r="Y19" i="1"/>
  <c r="Y16" i="1"/>
  <c r="Y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<sst xmlns="http://schemas.openxmlformats.org/spreadsheetml/2006/main" count="216" uniqueCount="99">
  <si>
    <t>LION beam line calculator</t>
  </si>
  <si>
    <t>Stage</t>
  </si>
  <si>
    <t>Section</t>
  </si>
  <si>
    <t>Element</t>
  </si>
  <si>
    <t>Parameter</t>
  </si>
  <si>
    <t>Name</t>
  </si>
  <si>
    <t>Value</t>
  </si>
  <si>
    <t>Unit</t>
  </si>
  <si>
    <t>Comment</t>
  </si>
  <si>
    <t>Source</t>
  </si>
  <si>
    <t>Mode</t>
  </si>
  <si>
    <t>SourceMode</t>
  </si>
  <si>
    <t>Gaussian kinetic energy</t>
  </si>
  <si>
    <t>Sigma x</t>
  </si>
  <si>
    <t>SigmaX</t>
  </si>
  <si>
    <t>m</t>
  </si>
  <si>
    <t>Gaussian width, x</t>
  </si>
  <si>
    <t>Sigma y</t>
  </si>
  <si>
    <t>SigmaY</t>
  </si>
  <si>
    <t>Gaussian width, y</t>
  </si>
  <si>
    <t>Minimum energy</t>
  </si>
  <si>
    <t>Emin</t>
  </si>
  <si>
    <t>MeV</t>
  </si>
  <si>
    <t>Minimum of energy distribution</t>
  </si>
  <si>
    <t>Maximum energy</t>
  </si>
  <si>
    <t>Emax</t>
  </si>
  <si>
    <t>Number of points</t>
  </si>
  <si>
    <t>nPnts</t>
  </si>
  <si>
    <t>Number of points to sample for integration of PDF</t>
  </si>
  <si>
    <t>Minimum cos theta</t>
  </si>
  <si>
    <t>MinCTheta</t>
  </si>
  <si>
    <t>Maximum theta for flat cos theta</t>
  </si>
  <si>
    <t>Capture</t>
  </si>
  <si>
    <t>Drift</t>
  </si>
  <si>
    <t>Length</t>
  </si>
  <si>
    <t>DriftLength1</t>
  </si>
  <si>
    <t>Length of first drift</t>
  </si>
  <si>
    <t>Aperture</t>
  </si>
  <si>
    <t>Elliptical</t>
  </si>
  <si>
    <t>RadiusX</t>
  </si>
  <si>
    <t>Half aperture in x of elliptical colimator</t>
  </si>
  <si>
    <t>RadiusY</t>
  </si>
  <si>
    <t>Half aperture in y of ellipseof elliptical colimator</t>
  </si>
  <si>
    <t>DriftLength2</t>
  </si>
  <si>
    <t>Gap between colimator and first quad</t>
  </si>
  <si>
    <t>Fquad</t>
  </si>
  <si>
    <t>FQuadLength</t>
  </si>
  <si>
    <t>Length of focusing quad</t>
  </si>
  <si>
    <t>Strength</t>
  </si>
  <si>
    <t>FQuadStrength</t>
  </si>
  <si>
    <t>T/m</t>
  </si>
  <si>
    <t>Strength of focusing quad</t>
  </si>
  <si>
    <t>Circular</t>
  </si>
  <si>
    <t>FQuadRadius</t>
  </si>
  <si>
    <t>Aperture of quad</t>
  </si>
  <si>
    <t>DriftLength3</t>
  </si>
  <si>
    <t>Gap between colimator first (F)quad and second (D)quad</t>
  </si>
  <si>
    <t>Dquad</t>
  </si>
  <si>
    <t>DQuadLength</t>
  </si>
  <si>
    <t>Length of defocusing quad</t>
  </si>
  <si>
    <t>DQuadStrength</t>
  </si>
  <si>
    <t>Strength of defocusing quad</t>
  </si>
  <si>
    <t>DQuadRadius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</si>
  <si>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</si>
  <si>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</si>
  <si>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</si>
  <si>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</si>
  <si>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</si>
  <si>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</si>
  <si>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Focus quad:</t>
  </si>
  <si>
    <t>Particle</t>
  </si>
  <si>
    <t>Quad</t>
  </si>
  <si>
    <t>p</t>
  </si>
  <si>
    <t>c</t>
  </si>
  <si>
    <t>m/s</t>
  </si>
  <si>
    <t>Brho</t>
  </si>
  <si>
    <t>Tm</t>
  </si>
  <si>
    <t>1/c</t>
  </si>
  <si>
    <t>s/m</t>
  </si>
  <si>
    <t>1/c*10^9</t>
  </si>
  <si>
    <t>k</t>
  </si>
  <si>
    <r>
      <t>m</t>
    </r>
    <r>
      <rPr>
        <vertAlign val="superscript"/>
        <sz val="12"/>
        <color theme="1"/>
        <rFont val="Calibri (Body)"/>
      </rPr>
      <t>-2</t>
    </r>
  </si>
  <si>
    <t>sqrt(k)</t>
  </si>
  <si>
    <r>
      <t>m</t>
    </r>
    <r>
      <rPr>
        <vertAlign val="superscript"/>
        <sz val="12"/>
        <color theme="1"/>
        <rFont val="Calibri (Body)"/>
      </rPr>
      <t>-1</t>
    </r>
  </si>
  <si>
    <t>l*sqrt(k)</t>
  </si>
  <si>
    <t>Transfer matrix</t>
  </si>
  <si>
    <t>R</t>
  </si>
  <si>
    <t>Rprime</t>
  </si>
  <si>
    <t>Check</t>
  </si>
  <si>
    <t>Defocus quad:</t>
  </si>
  <si>
    <t>Input phase space</t>
  </si>
  <si>
    <t>=</t>
  </si>
  <si>
    <t>After drift</t>
  </si>
  <si>
    <t>Energy</t>
  </si>
  <si>
    <t>After QF</t>
  </si>
  <si>
    <t>After drifts</t>
  </si>
  <si>
    <t>After QD</t>
  </si>
  <si>
    <t>Momentum</t>
  </si>
  <si>
    <t>m_p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</si>
</sst>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thin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0" xfId="0" applyFill="1"/>
    <xf numFmtId="0" fontId="0" fillId="0" borderId="7" xfId="0" applyBorder="1"/>
    <xf numFmtId="0" fontId="0" fillId="0" borderId="11" xfId="0" applyBorder="1" applyAlignment="1">
      <alignment horizontal="right"/>
    </xf>
    <xf numFmtId="0" fontId="4" fillId="0" borderId="12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0" xfId="0" applyAlignment="1">
      <alignment horizontal="right"/>
    </xf>
    <xf numFmtId="0" fontId="0" fillId="0" borderId="14" xfId="0" applyBorder="1"/>
    <xf numFmtId="0" fontId="0" fillId="0" borderId="18" xfId="0" applyBorder="1"/>
    <xf numFmtId="0" fontId="4" fillId="0" borderId="0" xfId="0" applyFont="1" applyAlignment="1">
      <alignment horizontal="right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4" fillId="0" borderId="0" xfId="0" applyFont="1"/>
    <xf numFmtId="0" fontId="0" fillId="0" borderId="28" xfId="0" applyBorder="1"/>
    <xf numFmtId="0" fontId="0" fillId="0" borderId="12" xfId="0" applyBorder="1" applyAlignment="1">
      <alignment horizontal="right"/>
    </xf>
    <xf numFmtId="0" fontId="0" fillId="0" borderId="16" xfId="0" applyBorder="1"/>
    <xf numFmtId="0" fontId="0" fillId="0" borderId="0" xfId="0" quotePrefix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4" fillId="4" borderId="8" xfId="0" applyFont="1" applyFill="1" applyBorder="1" applyAlignment="1">
      <alignment horizontal="right"/>
    </xf>
    <xf numFmtId="0" fontId="4" fillId="4" borderId="10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right" vertic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11" fontId="0" fillId="0" borderId="32" xfId="0" applyNumberFormat="1" applyBorder="1"/>
    <xf numFmtId="11" fontId="0" fillId="0" borderId="33" xfId="0" applyNumberFormat="1" applyBorder="1"/>
    <xf numFmtId="11" fontId="0" fillId="0" borderId="34" xfId="0" applyNumberFormat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96EF-C06C-7848-B9E7-E09F6AFE848E}">
  <dimension ref="A1:AD54"/>
  <sheetViews>
    <sheetView tabSelected="1" topLeftCell="H19" workbookViewId="0">
      <selection activeCell="K57" sqref="K57"/>
    </sheetView>
  </sheetViews>
  <sheetFormatPr baseColWidth="10" defaultRowHeight="16" x14ac:dyDescent="0.2"/>
  <cols>
    <col min="12" max="12" width="9.1640625" bestFit="1" customWidth="1"/>
    <col min="13" max="13" width="7.6640625" bestFit="1" customWidth="1"/>
    <col min="14" max="14" width="12.83203125" bestFit="1" customWidth="1"/>
    <col min="15" max="15" width="17.33203125" bestFit="1" customWidth="1"/>
    <col min="16" max="16" width="13.6640625" bestFit="1" customWidth="1"/>
    <col min="17" max="17" width="12.1640625" bestFit="1" customWidth="1"/>
    <col min="18" max="18" width="9.1640625" bestFit="1" customWidth="1"/>
    <col min="19" max="19" width="49" bestFit="1" customWidth="1"/>
    <col min="20" max="20" width="7.83203125" bestFit="1" customWidth="1"/>
    <col min="21" max="21" width="14.6640625" bestFit="1" customWidth="1"/>
    <col min="22" max="23" width="12.83203125" bestFit="1" customWidth="1"/>
    <col min="24" max="24" width="12.1640625" bestFit="1" customWidth="1"/>
    <col min="25" max="25" width="12.83203125" bestFit="1" customWidth="1"/>
    <col min="26" max="26" width="4.6640625" bestFit="1" customWidth="1"/>
    <col min="28" max="28" width="12.83203125" bestFit="1" customWidth="1"/>
    <col min="29" max="29" width="12.1640625" bestFit="1" customWidth="1"/>
    <col min="30" max="30" width="4.5" bestFit="1" customWidth="1"/>
  </cols>
  <sheetData>
    <row r="1" spans="1:30" ht="21" x14ac:dyDescent="0.25">
      <c r="A1" s="1" t="s">
        <v>0</v>
      </c>
    </row>
    <row r="2" spans="1:30" ht="21" x14ac:dyDescent="0.25">
      <c r="L2" s="2" t="s">
        <v>1</v>
      </c>
      <c r="M2" s="2" t="s">
        <v>2</v>
      </c>
      <c r="N2" s="2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U2" s="58" t="s">
        <v>69</v>
      </c>
      <c r="V2" s="59"/>
      <c r="W2" s="59"/>
      <c r="X2" s="59"/>
      <c r="Y2" s="59"/>
      <c r="Z2" s="60"/>
    </row>
    <row r="3" spans="1:30" x14ac:dyDescent="0.2">
      <c r="L3" s="4">
        <v>1</v>
      </c>
      <c r="M3" s="4" t="s">
        <v>9</v>
      </c>
      <c r="N3" s="4" t="s">
        <v>9</v>
      </c>
      <c r="O3" s="4" t="s">
        <v>10</v>
      </c>
      <c r="P3" s="4" t="s">
        <v>11</v>
      </c>
      <c r="Q3" s="4">
        <v>0</v>
      </c>
      <c r="R3" s="4"/>
      <c r="S3" s="4" t="s">
        <v>12</v>
      </c>
      <c r="U3" s="12"/>
      <c r="V3" s="13" t="s">
        <v>70</v>
      </c>
      <c r="W3" s="14"/>
      <c r="X3" s="15"/>
      <c r="Y3" s="13" t="s">
        <v>71</v>
      </c>
      <c r="Z3" s="16"/>
    </row>
    <row r="4" spans="1:30" x14ac:dyDescent="0.2">
      <c r="L4" s="5">
        <v>1</v>
      </c>
      <c r="M4" s="5" t="s">
        <v>9</v>
      </c>
      <c r="N4" s="5" t="s">
        <v>9</v>
      </c>
      <c r="O4" s="5" t="s">
        <v>13</v>
      </c>
      <c r="P4" s="5" t="s">
        <v>14</v>
      </c>
      <c r="Q4" s="5">
        <v>3.9999999999999998E-6</v>
      </c>
      <c r="R4" s="5" t="s">
        <v>15</v>
      </c>
      <c r="S4" s="5" t="s">
        <v>16</v>
      </c>
      <c r="U4" s="17" t="s">
        <v>72</v>
      </c>
      <c r="V4">
        <f>T34</f>
        <v>183.86902915004777</v>
      </c>
      <c r="W4" t="s">
        <v>22</v>
      </c>
      <c r="X4" s="17" t="s">
        <v>34</v>
      </c>
      <c r="Y4">
        <f>Q14</f>
        <v>0.04</v>
      </c>
      <c r="Z4" s="18" t="s">
        <v>15</v>
      </c>
      <c r="AB4" s="12" t="s">
        <v>73</v>
      </c>
      <c r="AC4" s="14">
        <v>299792458</v>
      </c>
      <c r="AD4" s="16" t="s">
        <v>74</v>
      </c>
    </row>
    <row r="5" spans="1:30" x14ac:dyDescent="0.2">
      <c r="L5" s="5">
        <v>1</v>
      </c>
      <c r="M5" s="5" t="s">
        <v>9</v>
      </c>
      <c r="N5" s="5" t="s">
        <v>9</v>
      </c>
      <c r="O5" s="5" t="s">
        <v>17</v>
      </c>
      <c r="P5" s="5" t="s">
        <v>18</v>
      </c>
      <c r="Q5" s="5">
        <v>3.9999999999999998E-6</v>
      </c>
      <c r="R5" s="5" t="s">
        <v>15</v>
      </c>
      <c r="S5" s="5" t="s">
        <v>19</v>
      </c>
      <c r="U5" s="19" t="s">
        <v>75</v>
      </c>
      <c r="V5" s="20">
        <f>AC6*V4/1000</f>
        <v>0.61332106343398318</v>
      </c>
      <c r="W5" s="20" t="s">
        <v>76</v>
      </c>
      <c r="X5" s="17" t="s">
        <v>48</v>
      </c>
      <c r="Y5">
        <f>Q15</f>
        <v>332</v>
      </c>
      <c r="Z5" s="18" t="s">
        <v>50</v>
      </c>
      <c r="AB5" s="17" t="s">
        <v>77</v>
      </c>
      <c r="AC5">
        <f>1/AC4</f>
        <v>3.3356409519815204E-9</v>
      </c>
      <c r="AD5" s="18" t="s">
        <v>78</v>
      </c>
    </row>
    <row r="6" spans="1:30" x14ac:dyDescent="0.2">
      <c r="L6" s="5">
        <v>1</v>
      </c>
      <c r="M6" s="5" t="s">
        <v>9</v>
      </c>
      <c r="N6" s="5" t="s">
        <v>9</v>
      </c>
      <c r="O6" s="5" t="s">
        <v>20</v>
      </c>
      <c r="P6" s="5" t="s">
        <v>21</v>
      </c>
      <c r="Q6" s="5">
        <v>18</v>
      </c>
      <c r="R6" s="5" t="s">
        <v>22</v>
      </c>
      <c r="S6" s="5" t="s">
        <v>23</v>
      </c>
      <c r="U6" s="21"/>
      <c r="X6" s="22"/>
      <c r="Z6" s="18"/>
      <c r="AB6" s="19" t="s">
        <v>79</v>
      </c>
      <c r="AC6" s="20">
        <f>AC5*1000000000</f>
        <v>3.3356409519815204</v>
      </c>
      <c r="AD6" s="23" t="s">
        <v>78</v>
      </c>
    </row>
    <row r="7" spans="1:30" ht="19" x14ac:dyDescent="0.2">
      <c r="L7" s="6">
        <v>1</v>
      </c>
      <c r="M7" s="6" t="s">
        <v>9</v>
      </c>
      <c r="N7" s="6" t="s">
        <v>9</v>
      </c>
      <c r="O7" s="6" t="s">
        <v>24</v>
      </c>
      <c r="P7" s="6" t="s">
        <v>25</v>
      </c>
      <c r="Q7" s="6">
        <v>22</v>
      </c>
      <c r="R7" s="6" t="s">
        <v>22</v>
      </c>
      <c r="S7" s="6" t="s">
        <v>23</v>
      </c>
      <c r="U7" s="21"/>
      <c r="X7" s="17" t="s">
        <v>80</v>
      </c>
      <c r="Y7">
        <f>Y5/V5</f>
        <v>541.31517698272546</v>
      </c>
      <c r="Z7" s="18" t="s">
        <v>81</v>
      </c>
    </row>
    <row r="8" spans="1:30" ht="19" x14ac:dyDescent="0.2">
      <c r="L8" s="7">
        <v>1</v>
      </c>
      <c r="M8" s="7" t="s">
        <v>9</v>
      </c>
      <c r="N8" s="7" t="s">
        <v>9</v>
      </c>
      <c r="O8" s="7" t="s">
        <v>26</v>
      </c>
      <c r="P8" s="7" t="s">
        <v>27</v>
      </c>
      <c r="Q8" s="7">
        <v>1000</v>
      </c>
      <c r="R8" s="7"/>
      <c r="S8" s="7" t="s">
        <v>28</v>
      </c>
      <c r="U8" s="21"/>
      <c r="X8" s="17" t="s">
        <v>82</v>
      </c>
      <c r="Y8">
        <f>SQRT(Y7)</f>
        <v>23.266180971159091</v>
      </c>
      <c r="Z8" s="18" t="s">
        <v>83</v>
      </c>
    </row>
    <row r="9" spans="1:30" x14ac:dyDescent="0.2">
      <c r="L9" s="8">
        <v>1</v>
      </c>
      <c r="M9" s="8" t="s">
        <v>9</v>
      </c>
      <c r="N9" s="8" t="s">
        <v>9</v>
      </c>
      <c r="O9" s="8" t="s">
        <v>29</v>
      </c>
      <c r="P9" s="8" t="s">
        <v>30</v>
      </c>
      <c r="Q9" s="8">
        <f>Q10/SQRT(Q10^2+Q11^2)</f>
        <v>0.9996911549252151</v>
      </c>
      <c r="R9" s="8"/>
      <c r="S9" s="8" t="s">
        <v>31</v>
      </c>
      <c r="U9" s="21"/>
      <c r="X9" s="19" t="s">
        <v>84</v>
      </c>
      <c r="Y9" s="20">
        <f>Y8*Y4</f>
        <v>0.93064723884636369</v>
      </c>
      <c r="Z9" s="23"/>
    </row>
    <row r="10" spans="1:30" x14ac:dyDescent="0.2">
      <c r="L10" s="7">
        <v>1</v>
      </c>
      <c r="M10" s="7" t="s">
        <v>32</v>
      </c>
      <c r="N10" s="7" t="s">
        <v>33</v>
      </c>
      <c r="O10" s="7" t="s">
        <v>34</v>
      </c>
      <c r="P10" s="7" t="s">
        <v>35</v>
      </c>
      <c r="Q10" s="7">
        <v>6.0339999999999998E-2</v>
      </c>
      <c r="R10" s="7" t="s">
        <v>15</v>
      </c>
      <c r="S10" s="7" t="s">
        <v>36</v>
      </c>
      <c r="U10" s="21"/>
    </row>
    <row r="11" spans="1:30" x14ac:dyDescent="0.2">
      <c r="L11" s="7">
        <v>1</v>
      </c>
      <c r="M11" s="7" t="s">
        <v>32</v>
      </c>
      <c r="N11" s="7" t="s">
        <v>37</v>
      </c>
      <c r="O11" s="7" t="s">
        <v>38</v>
      </c>
      <c r="P11" s="7" t="s">
        <v>39</v>
      </c>
      <c r="Q11" s="7">
        <v>1.5E-3</v>
      </c>
      <c r="R11" s="7" t="s">
        <v>15</v>
      </c>
      <c r="S11" s="7" t="s">
        <v>40</v>
      </c>
      <c r="U11" s="24" t="s">
        <v>85</v>
      </c>
      <c r="V11" s="25">
        <f>COS(Y9)</f>
        <v>0.5973150175360229</v>
      </c>
      <c r="W11" s="26">
        <f>SIN(Y9)/Y8</f>
        <v>3.4470922207705305E-2</v>
      </c>
      <c r="X11" s="26">
        <v>0</v>
      </c>
      <c r="Y11" s="27">
        <v>0</v>
      </c>
    </row>
    <row r="12" spans="1:30" x14ac:dyDescent="0.2">
      <c r="L12" s="7">
        <v>1</v>
      </c>
      <c r="M12" s="7" t="s">
        <v>32</v>
      </c>
      <c r="N12" s="7" t="s">
        <v>37</v>
      </c>
      <c r="O12" s="7" t="s">
        <v>38</v>
      </c>
      <c r="P12" s="7" t="s">
        <v>41</v>
      </c>
      <c r="Q12" s="7">
        <v>7.5000000000000002E-4</v>
      </c>
      <c r="R12" s="7" t="s">
        <v>15</v>
      </c>
      <c r="S12" s="7" t="s">
        <v>42</v>
      </c>
      <c r="U12" s="21"/>
      <c r="V12" s="28">
        <f>-SIN(Y9)*Y8</f>
        <v>-18.659633355621757</v>
      </c>
      <c r="W12" s="29">
        <f>COS(Y9)</f>
        <v>0.5973150175360229</v>
      </c>
      <c r="X12" s="29">
        <v>0</v>
      </c>
      <c r="Y12" s="30">
        <v>0</v>
      </c>
    </row>
    <row r="13" spans="1:30" x14ac:dyDescent="0.2">
      <c r="L13" s="9">
        <v>1</v>
      </c>
      <c r="M13" s="9" t="s">
        <v>32</v>
      </c>
      <c r="N13" s="9" t="s">
        <v>33</v>
      </c>
      <c r="O13" s="9" t="s">
        <v>34</v>
      </c>
      <c r="P13" s="9" t="s">
        <v>43</v>
      </c>
      <c r="Q13" s="10">
        <v>0.01</v>
      </c>
      <c r="R13" s="9" t="s">
        <v>15</v>
      </c>
      <c r="S13" s="9" t="s">
        <v>44</v>
      </c>
      <c r="U13" s="21"/>
      <c r="V13" s="28">
        <v>0</v>
      </c>
      <c r="W13" s="29">
        <v>0</v>
      </c>
      <c r="X13" s="29">
        <f>COSH(Y9)</f>
        <v>1.4652242819564187</v>
      </c>
      <c r="Y13" s="30">
        <f>SINH(Y9)/Y8</f>
        <v>4.6029292937059603E-2</v>
      </c>
    </row>
    <row r="14" spans="1:30" x14ac:dyDescent="0.2">
      <c r="L14" s="9">
        <v>1</v>
      </c>
      <c r="M14" s="9" t="s">
        <v>32</v>
      </c>
      <c r="N14" s="9" t="s">
        <v>45</v>
      </c>
      <c r="O14" s="9" t="s">
        <v>34</v>
      </c>
      <c r="P14" s="9" t="s">
        <v>46</v>
      </c>
      <c r="Q14" s="10">
        <v>0.04</v>
      </c>
      <c r="R14" s="9" t="s">
        <v>15</v>
      </c>
      <c r="S14" s="9" t="s">
        <v>47</v>
      </c>
      <c r="U14" s="21"/>
      <c r="V14" s="31">
        <v>0</v>
      </c>
      <c r="W14" s="32">
        <v>0</v>
      </c>
      <c r="X14" s="30">
        <f>Y8*SINH(Y9)</f>
        <v>24.916354852614131</v>
      </c>
      <c r="Y14" s="33">
        <f>COSH(Y9)</f>
        <v>1.4652242819564187</v>
      </c>
    </row>
    <row r="15" spans="1:30" x14ac:dyDescent="0.2">
      <c r="L15" s="7">
        <v>1</v>
      </c>
      <c r="M15" s="7" t="s">
        <v>32</v>
      </c>
      <c r="N15" s="7" t="s">
        <v>45</v>
      </c>
      <c r="O15" s="7" t="s">
        <v>48</v>
      </c>
      <c r="P15" s="7" t="s">
        <v>49</v>
      </c>
      <c r="Q15">
        <v>332</v>
      </c>
      <c r="R15" s="7" t="s">
        <v>50</v>
      </c>
      <c r="S15" s="7" t="s">
        <v>51</v>
      </c>
      <c r="U15" s="21"/>
    </row>
    <row r="16" spans="1:30" x14ac:dyDescent="0.2">
      <c r="L16" s="7">
        <v>1</v>
      </c>
      <c r="M16" s="7" t="s">
        <v>32</v>
      </c>
      <c r="N16" s="7" t="s">
        <v>37</v>
      </c>
      <c r="O16" s="7" t="s">
        <v>52</v>
      </c>
      <c r="P16" s="7" t="s">
        <v>53</v>
      </c>
      <c r="Q16" s="7">
        <v>5.0000000000000001E-3</v>
      </c>
      <c r="R16" s="7" t="s">
        <v>15</v>
      </c>
      <c r="S16" s="7" t="s">
        <v>54</v>
      </c>
      <c r="U16" s="24" t="s">
        <v>86</v>
      </c>
      <c r="V16" s="4">
        <v>0.5</v>
      </c>
      <c r="X16" s="34" t="s">
        <v>87</v>
      </c>
      <c r="Y16" s="4">
        <f t="array" ref="Y16:Y19">MMULT(V11:Y14,V16:V19)</f>
        <v>0.302104600988782</v>
      </c>
      <c r="AA16" s="34" t="s">
        <v>88</v>
      </c>
      <c r="AB16" s="4">
        <f>V16*V11+V17*W11+V18*X11+V19*Y11</f>
        <v>0.302104600988782</v>
      </c>
    </row>
    <row r="17" spans="11:30" x14ac:dyDescent="0.2">
      <c r="L17" s="9">
        <v>1</v>
      </c>
      <c r="M17" s="9" t="s">
        <v>32</v>
      </c>
      <c r="N17" s="9" t="s">
        <v>33</v>
      </c>
      <c r="O17" s="9" t="s">
        <v>34</v>
      </c>
      <c r="P17" s="9" t="s">
        <v>55</v>
      </c>
      <c r="Q17" s="10">
        <v>0.01</v>
      </c>
      <c r="R17" s="9" t="s">
        <v>15</v>
      </c>
      <c r="S17" s="9" t="s">
        <v>56</v>
      </c>
      <c r="U17" s="21"/>
      <c r="V17" s="5">
        <v>0.1</v>
      </c>
      <c r="Y17" s="5">
        <v>-9.2700851760572771</v>
      </c>
      <c r="AB17" s="5">
        <f>V16*V12+V17*W12+V18*X12+V19*Y12</f>
        <v>-9.2700851760572771</v>
      </c>
    </row>
    <row r="18" spans="11:30" x14ac:dyDescent="0.2">
      <c r="L18" s="9">
        <v>1</v>
      </c>
      <c r="M18" s="9" t="s">
        <v>32</v>
      </c>
      <c r="N18" s="9" t="s">
        <v>57</v>
      </c>
      <c r="O18" s="9" t="s">
        <v>34</v>
      </c>
      <c r="P18" s="9" t="s">
        <v>58</v>
      </c>
      <c r="Q18" s="10">
        <v>0.02</v>
      </c>
      <c r="R18" s="9" t="s">
        <v>15</v>
      </c>
      <c r="S18" s="9" t="s">
        <v>59</v>
      </c>
      <c r="U18" s="21"/>
      <c r="V18" s="5">
        <v>-0.3</v>
      </c>
      <c r="Y18" s="5">
        <v>-0.44877314317433753</v>
      </c>
      <c r="AB18" s="5">
        <f>V16*V13+V17*W13+V18*X13+V19*Y13</f>
        <v>-0.44877314317433753</v>
      </c>
    </row>
    <row r="19" spans="11:30" x14ac:dyDescent="0.2">
      <c r="L19" s="7">
        <v>1</v>
      </c>
      <c r="M19" s="7" t="s">
        <v>32</v>
      </c>
      <c r="N19" s="7" t="s">
        <v>57</v>
      </c>
      <c r="O19" s="7" t="s">
        <v>48</v>
      </c>
      <c r="P19" s="7" t="s">
        <v>60</v>
      </c>
      <c r="Q19" s="7">
        <v>318.5</v>
      </c>
      <c r="R19" s="7" t="s">
        <v>50</v>
      </c>
      <c r="S19" s="7" t="s">
        <v>61</v>
      </c>
      <c r="U19" s="21"/>
      <c r="V19" s="35">
        <v>-0.2</v>
      </c>
      <c r="Y19" s="35">
        <v>-7.7679513121755228</v>
      </c>
      <c r="AB19" s="35">
        <f>V16*V14+V17*W14+V18*X14+V19*Y14</f>
        <v>-7.7679513121755228</v>
      </c>
    </row>
    <row r="20" spans="11:30" x14ac:dyDescent="0.2">
      <c r="L20" s="8">
        <v>1</v>
      </c>
      <c r="M20" s="8" t="s">
        <v>32</v>
      </c>
      <c r="N20" s="8" t="s">
        <v>37</v>
      </c>
      <c r="O20" s="8" t="s">
        <v>52</v>
      </c>
      <c r="P20" s="8" t="s">
        <v>62</v>
      </c>
      <c r="Q20" s="8">
        <v>5.0000000000000001E-3</v>
      </c>
      <c r="R20" s="8" t="s">
        <v>15</v>
      </c>
      <c r="S20" s="8" t="s">
        <v>54</v>
      </c>
    </row>
    <row r="21" spans="11:30" ht="21" x14ac:dyDescent="0.25">
      <c r="L21" s="11">
        <v>1</v>
      </c>
      <c r="M21" s="11" t="s">
        <v>63</v>
      </c>
      <c r="N21" s="11" t="s">
        <v>33</v>
      </c>
      <c r="O21" s="11" t="s">
        <v>34</v>
      </c>
      <c r="P21" s="11" t="s">
        <v>35</v>
      </c>
      <c r="Q21" s="11">
        <v>1.7285900000000001</v>
      </c>
      <c r="R21" s="11" t="s">
        <v>15</v>
      </c>
      <c r="S21" s="11" t="s">
        <v>64</v>
      </c>
      <c r="U21" s="58" t="s">
        <v>89</v>
      </c>
      <c r="V21" s="59"/>
      <c r="W21" s="59"/>
      <c r="X21" s="59"/>
      <c r="Y21" s="59"/>
      <c r="Z21" s="60"/>
    </row>
    <row r="22" spans="11:30" x14ac:dyDescent="0.2">
      <c r="L22" s="7">
        <v>1</v>
      </c>
      <c r="M22" s="7" t="s">
        <v>63</v>
      </c>
      <c r="N22" s="7" t="s">
        <v>33</v>
      </c>
      <c r="O22" s="7" t="s">
        <v>34</v>
      </c>
      <c r="P22" s="7" t="s">
        <v>43</v>
      </c>
      <c r="Q22" s="7">
        <v>0.01</v>
      </c>
      <c r="R22" s="7" t="s">
        <v>15</v>
      </c>
      <c r="S22" s="7" t="s">
        <v>65</v>
      </c>
      <c r="U22" s="12"/>
      <c r="V22" s="13" t="s">
        <v>70</v>
      </c>
      <c r="W22" s="14"/>
      <c r="X22" s="15"/>
      <c r="Y22" s="13" t="s">
        <v>71</v>
      </c>
      <c r="Z22" s="16"/>
    </row>
    <row r="23" spans="11:30" x14ac:dyDescent="0.2">
      <c r="L23" s="7">
        <v>1</v>
      </c>
      <c r="M23" s="7" t="s">
        <v>63</v>
      </c>
      <c r="N23" s="7" t="s">
        <v>37</v>
      </c>
      <c r="O23" s="7" t="s">
        <v>52</v>
      </c>
      <c r="P23" s="7" t="s">
        <v>66</v>
      </c>
      <c r="Q23" s="7">
        <v>1.5E-3</v>
      </c>
      <c r="R23" s="7" t="s">
        <v>15</v>
      </c>
      <c r="S23" s="7" t="s">
        <v>67</v>
      </c>
      <c r="U23" s="17" t="s">
        <v>72</v>
      </c>
      <c r="V23">
        <f>T34</f>
        <v>183.86902915004777</v>
      </c>
      <c r="W23" t="s">
        <v>22</v>
      </c>
      <c r="X23" s="17" t="s">
        <v>34</v>
      </c>
      <c r="Y23">
        <f>Q18</f>
        <v>0.02</v>
      </c>
      <c r="Z23" s="18" t="s">
        <v>15</v>
      </c>
      <c r="AB23" s="12" t="s">
        <v>73</v>
      </c>
      <c r="AC23" s="14">
        <v>299792458</v>
      </c>
      <c r="AD23" s="16" t="s">
        <v>74</v>
      </c>
    </row>
    <row r="24" spans="11:30" x14ac:dyDescent="0.2">
      <c r="L24" s="8">
        <v>1</v>
      </c>
      <c r="M24" s="8" t="s">
        <v>63</v>
      </c>
      <c r="N24" s="8" t="s">
        <v>33</v>
      </c>
      <c r="O24" s="8" t="s">
        <v>34</v>
      </c>
      <c r="P24" s="8" t="s">
        <v>55</v>
      </c>
      <c r="Q24" s="8">
        <v>0.02</v>
      </c>
      <c r="R24" s="8" t="s">
        <v>15</v>
      </c>
      <c r="S24" s="8" t="s">
        <v>68</v>
      </c>
      <c r="U24" s="19" t="s">
        <v>75</v>
      </c>
      <c r="V24" s="20">
        <f>AC25*V23/1000</f>
        <v>0.61332106343398318</v>
      </c>
      <c r="W24" s="20" t="s">
        <v>76</v>
      </c>
      <c r="X24" s="17" t="s">
        <v>48</v>
      </c>
      <c r="Y24">
        <f>Q19</f>
        <v>318.5</v>
      </c>
      <c r="Z24" s="18" t="s">
        <v>50</v>
      </c>
      <c r="AB24" s="17" t="s">
        <v>77</v>
      </c>
      <c r="AC24">
        <f>1/AC23</f>
        <v>3.3356409519815204E-9</v>
      </c>
      <c r="AD24" s="18" t="s">
        <v>78</v>
      </c>
    </row>
    <row r="25" spans="11:30" x14ac:dyDescent="0.2">
      <c r="U25" s="21"/>
      <c r="X25" s="22"/>
      <c r="Z25" s="18"/>
      <c r="AB25" s="19" t="s">
        <v>79</v>
      </c>
      <c r="AC25" s="20">
        <f>AC24*1000000000</f>
        <v>3.3356409519815204</v>
      </c>
      <c r="AD25" s="23" t="s">
        <v>78</v>
      </c>
    </row>
    <row r="26" spans="11:30" ht="19" x14ac:dyDescent="0.2">
      <c r="K26" t="s">
        <v>92</v>
      </c>
      <c r="L26" s="39" cm="1">
        <f t="array" ref="L26:L29">MMULT(N26:Q29,R26:R29)</f>
        <v>-1.139703956E-3</v>
      </c>
      <c r="M26" s="38" t="s">
        <v>91</v>
      </c>
      <c r="N26" s="15">
        <v>1</v>
      </c>
      <c r="O26" s="14">
        <v>6.0339999999999998E-2</v>
      </c>
      <c r="P26" s="14">
        <v>0</v>
      </c>
      <c r="Q26" s="14">
        <v>0</v>
      </c>
      <c r="R26" s="55">
        <v>-3.8999999999999999E-6</v>
      </c>
      <c r="S26" s="34" t="s">
        <v>90</v>
      </c>
      <c r="U26" s="21"/>
      <c r="X26" s="17" t="s">
        <v>80</v>
      </c>
      <c r="Y26">
        <f>Y24/V24</f>
        <v>519.30386707529533</v>
      </c>
      <c r="Z26" s="18" t="s">
        <v>81</v>
      </c>
    </row>
    <row r="27" spans="11:30" ht="19" x14ac:dyDescent="0.2">
      <c r="L27" s="40">
        <v>-1.8823400000000001E-2</v>
      </c>
      <c r="N27" s="22">
        <v>0</v>
      </c>
      <c r="O27">
        <v>1</v>
      </c>
      <c r="P27">
        <v>0</v>
      </c>
      <c r="Q27">
        <v>0</v>
      </c>
      <c r="R27" s="56">
        <v>-1.8823400000000001E-2</v>
      </c>
      <c r="U27" s="21"/>
      <c r="X27" s="17" t="s">
        <v>82</v>
      </c>
      <c r="Y27">
        <f>SQRT(Y26)</f>
        <v>22.788239666005257</v>
      </c>
      <c r="Z27" s="18" t="s">
        <v>83</v>
      </c>
    </row>
    <row r="28" spans="11:30" x14ac:dyDescent="0.2">
      <c r="L28" s="40">
        <v>1.2719279999999997E-5</v>
      </c>
      <c r="N28" s="22">
        <v>0</v>
      </c>
      <c r="O28">
        <v>0</v>
      </c>
      <c r="P28">
        <v>1</v>
      </c>
      <c r="Q28">
        <v>6.0339999999999998E-2</v>
      </c>
      <c r="R28" s="56">
        <v>-4.8999999999999997E-6</v>
      </c>
      <c r="U28" s="21"/>
      <c r="X28" s="19" t="s">
        <v>84</v>
      </c>
      <c r="Y28" s="20">
        <f>Y27*Y23</f>
        <v>0.45576479332010517</v>
      </c>
      <c r="Z28" s="23"/>
    </row>
    <row r="29" spans="11:30" x14ac:dyDescent="0.2">
      <c r="L29" s="41">
        <v>2.92E-4</v>
      </c>
      <c r="N29" s="37">
        <v>0</v>
      </c>
      <c r="O29" s="20">
        <v>0</v>
      </c>
      <c r="P29" s="20">
        <v>0</v>
      </c>
      <c r="Q29" s="20">
        <v>1</v>
      </c>
      <c r="R29" s="57">
        <v>2.92E-4</v>
      </c>
      <c r="U29" s="21"/>
    </row>
    <row r="30" spans="11:30" x14ac:dyDescent="0.2">
      <c r="U30" s="24" t="s">
        <v>85</v>
      </c>
      <c r="V30" s="25">
        <f>COSH(Y28)</f>
        <v>1.1056711114326292</v>
      </c>
      <c r="W30" s="26">
        <f>SINH(Y28)/Y27</f>
        <v>2.069963219915168E-2</v>
      </c>
      <c r="X30" s="26">
        <v>0</v>
      </c>
      <c r="Y30" s="27">
        <v>0</v>
      </c>
    </row>
    <row r="31" spans="11:30" x14ac:dyDescent="0.2">
      <c r="K31" t="s">
        <v>92</v>
      </c>
      <c r="L31" s="39" cm="1">
        <f t="array" ref="L31:L34">MMULT(N31:Q34,R31:R34)</f>
        <v>-1.327937956E-3</v>
      </c>
      <c r="M31" s="38" t="s">
        <v>91</v>
      </c>
      <c r="N31" s="15">
        <v>1</v>
      </c>
      <c r="O31" s="14">
        <v>0.01</v>
      </c>
      <c r="P31" s="14">
        <v>0</v>
      </c>
      <c r="Q31" s="14">
        <v>0</v>
      </c>
      <c r="R31" s="42" cm="1">
        <f t="array" ref="R31:R34">L26:L29</f>
        <v>-1.139703956E-3</v>
      </c>
      <c r="U31" s="21"/>
      <c r="V31" s="28">
        <f>SINH(Y28)*Y27</f>
        <v>10.749399048055768</v>
      </c>
      <c r="W31" s="29">
        <f>COSH(Y28)</f>
        <v>1.1056711114326292</v>
      </c>
      <c r="X31" s="29">
        <v>0</v>
      </c>
      <c r="Y31" s="30">
        <v>0</v>
      </c>
    </row>
    <row r="32" spans="11:30" x14ac:dyDescent="0.2">
      <c r="L32" s="40">
        <v>-1.8823400000000001E-2</v>
      </c>
      <c r="N32" s="22">
        <v>0</v>
      </c>
      <c r="O32">
        <v>1</v>
      </c>
      <c r="P32">
        <v>0</v>
      </c>
      <c r="Q32">
        <v>0</v>
      </c>
      <c r="R32" s="43">
        <v>-1.8823400000000001E-2</v>
      </c>
      <c r="U32" s="21"/>
      <c r="V32" s="28">
        <v>0</v>
      </c>
      <c r="W32" s="29">
        <v>0</v>
      </c>
      <c r="X32" s="29">
        <f>COS(Y28)</f>
        <v>0.89792466766890155</v>
      </c>
      <c r="Y32" s="30">
        <f>SIN(Y28)/Y27</f>
        <v>1.9314750753076312E-2</v>
      </c>
    </row>
    <row r="33" spans="11:28" x14ac:dyDescent="0.2">
      <c r="L33" s="40">
        <v>1.5639279999999996E-5</v>
      </c>
      <c r="N33" s="22">
        <v>0</v>
      </c>
      <c r="O33">
        <v>0</v>
      </c>
      <c r="P33">
        <v>1</v>
      </c>
      <c r="Q33">
        <v>0.01</v>
      </c>
      <c r="R33" s="43">
        <v>1.2719279999999997E-5</v>
      </c>
      <c r="S33" s="46" t="s">
        <v>93</v>
      </c>
      <c r="T33" s="48">
        <v>18.015999999999998</v>
      </c>
      <c r="U33" s="47" t="s">
        <v>22</v>
      </c>
      <c r="V33" s="31">
        <v>0</v>
      </c>
      <c r="W33" s="32">
        <v>0</v>
      </c>
      <c r="X33" s="32">
        <f>-SIN(Y28)*Y27</f>
        <v>-10.030224757668003</v>
      </c>
      <c r="Y33" s="33">
        <f>COS(Y28)</f>
        <v>0.89792466766890155</v>
      </c>
    </row>
    <row r="34" spans="11:28" x14ac:dyDescent="0.2">
      <c r="L34" s="41">
        <v>2.92E-4</v>
      </c>
      <c r="N34" s="37">
        <v>0</v>
      </c>
      <c r="O34" s="20">
        <v>0</v>
      </c>
      <c r="P34" s="20">
        <v>0</v>
      </c>
      <c r="Q34" s="20">
        <v>1</v>
      </c>
      <c r="R34" s="45">
        <v>2.92E-4</v>
      </c>
      <c r="S34" s="46" t="s">
        <v>97</v>
      </c>
      <c r="T34" s="48">
        <f>SQRT(2*T36*T33)</f>
        <v>183.86902915004777</v>
      </c>
      <c r="U34" s="47" t="s">
        <v>22</v>
      </c>
    </row>
    <row r="35" spans="11:28" x14ac:dyDescent="0.2">
      <c r="U35" s="24" t="s">
        <v>86</v>
      </c>
      <c r="V35" s="4">
        <v>0.5</v>
      </c>
      <c r="X35" s="34" t="s">
        <v>87</v>
      </c>
      <c r="Y35" s="4">
        <f t="array" ref="Y35:Y38">MMULT(V30:Y33,V35:V38)</f>
        <v>0.55490551893622975</v>
      </c>
      <c r="AA35" s="34" t="s">
        <v>88</v>
      </c>
      <c r="AB35" s="4">
        <f>V35*V30+V36*W30+V37*X30+V38*Y30</f>
        <v>0.55490551893622975</v>
      </c>
    </row>
    <row r="36" spans="11:28" x14ac:dyDescent="0.2">
      <c r="K36" t="s">
        <v>94</v>
      </c>
      <c r="L36" s="39" cm="1">
        <f t="array" ref="L36:L39">MMULT(N36:Q39,R36:R39)</f>
        <v>-1.4420572405594106E-3</v>
      </c>
      <c r="M36" s="38" t="s">
        <v>91</v>
      </c>
      <c r="N36" s="15">
        <f>V11</f>
        <v>0.5973150175360229</v>
      </c>
      <c r="O36" s="14">
        <f t="shared" ref="O36:Q36" si="0">W11</f>
        <v>3.4470922207705305E-2</v>
      </c>
      <c r="P36" s="14">
        <f t="shared" si="0"/>
        <v>0</v>
      </c>
      <c r="Q36" s="53">
        <f t="shared" si="0"/>
        <v>0</v>
      </c>
      <c r="R36" s="42" cm="1">
        <f t="array" ref="R36:R39">L31:L34</f>
        <v>-1.327937956E-3</v>
      </c>
      <c r="S36" s="21" t="s">
        <v>98</v>
      </c>
      <c r="T36">
        <v>938.27208815999995</v>
      </c>
      <c r="U36" s="21" t="s">
        <v>22</v>
      </c>
      <c r="V36" s="5">
        <v>0.1</v>
      </c>
      <c r="Y36" s="5">
        <v>5.485266635171147</v>
      </c>
      <c r="AB36" s="5">
        <f>V35*V31+V36*W31+V37*X31+V38*Y31</f>
        <v>5.485266635171147</v>
      </c>
    </row>
    <row r="37" spans="11:28" x14ac:dyDescent="0.2">
      <c r="L37" s="40">
        <v>1.3535335876886207E-2</v>
      </c>
      <c r="N37" s="22">
        <f t="shared" ref="N37:N39" si="1">V12</f>
        <v>-18.659633355621757</v>
      </c>
      <c r="O37">
        <f t="shared" ref="O37:O39" si="2">W12</f>
        <v>0.5973150175360229</v>
      </c>
      <c r="P37">
        <f t="shared" ref="P37:P39" si="3">X12</f>
        <v>0</v>
      </c>
      <c r="Q37" s="49">
        <f t="shared" ref="Q37:Q39" si="4">Y12</f>
        <v>0</v>
      </c>
      <c r="R37" s="43">
        <v>-1.8823400000000001E-2</v>
      </c>
      <c r="U37" s="21"/>
      <c r="V37" s="5">
        <v>-0.3</v>
      </c>
      <c r="Y37" s="5">
        <v>-0.27324035045128575</v>
      </c>
      <c r="AB37" s="5">
        <f>V35*V32+V36*W32+V37*X32+V38*Y32</f>
        <v>-0.27324035045128575</v>
      </c>
    </row>
    <row r="38" spans="11:28" x14ac:dyDescent="0.2">
      <c r="L38" s="40">
        <v>3.6355606345936778E-5</v>
      </c>
      <c r="N38" s="22">
        <f t="shared" si="1"/>
        <v>0</v>
      </c>
      <c r="O38">
        <f t="shared" si="2"/>
        <v>0</v>
      </c>
      <c r="P38">
        <f t="shared" si="3"/>
        <v>1.4652242819564187</v>
      </c>
      <c r="Q38" s="49">
        <f t="shared" si="4"/>
        <v>4.6029292937059603E-2</v>
      </c>
      <c r="R38" s="43">
        <v>1.5639279999999996E-5</v>
      </c>
      <c r="U38" s="21"/>
      <c r="V38" s="35">
        <v>-0.2</v>
      </c>
      <c r="Y38" s="35">
        <v>2.8294824937666205</v>
      </c>
      <c r="AB38" s="35">
        <f>V35*V33+V36*W33+V37*X33+V38*Y33</f>
        <v>2.8294824937666205</v>
      </c>
    </row>
    <row r="39" spans="11:28" x14ac:dyDescent="0.2">
      <c r="L39" s="41">
        <v>8.1751934045066533E-4</v>
      </c>
      <c r="N39" s="37">
        <f t="shared" si="1"/>
        <v>0</v>
      </c>
      <c r="O39" s="20">
        <f t="shared" si="2"/>
        <v>0</v>
      </c>
      <c r="P39" s="20">
        <f t="shared" si="3"/>
        <v>24.916354852614131</v>
      </c>
      <c r="Q39" s="54">
        <f t="shared" si="4"/>
        <v>1.4652242819564187</v>
      </c>
      <c r="R39" s="44">
        <v>2.92E-4</v>
      </c>
    </row>
    <row r="40" spans="11:28" ht="21" x14ac:dyDescent="0.25">
      <c r="U40" s="58" t="s">
        <v>33</v>
      </c>
      <c r="V40" s="59"/>
      <c r="W40" s="59"/>
      <c r="X40" s="59"/>
      <c r="Y40" s="59"/>
      <c r="Z40" s="60"/>
    </row>
    <row r="41" spans="11:28" x14ac:dyDescent="0.2">
      <c r="K41" t="s">
        <v>92</v>
      </c>
      <c r="L41" s="39" cm="1">
        <f t="array" ref="L41:L44">MMULT(N41:Q44,R41:R44)</f>
        <v>-1.3067038817905486E-3</v>
      </c>
      <c r="M41" s="38" t="s">
        <v>91</v>
      </c>
      <c r="N41" s="25">
        <v>1</v>
      </c>
      <c r="O41" s="26">
        <f>Q13</f>
        <v>0.01</v>
      </c>
      <c r="P41" s="26">
        <v>0</v>
      </c>
      <c r="Q41" s="50">
        <v>0</v>
      </c>
      <c r="R41" s="42" cm="1">
        <f t="array" ref="R41:R44">L36:L39</f>
        <v>-1.4420572405594106E-3</v>
      </c>
      <c r="U41" s="36"/>
      <c r="V41" s="13"/>
      <c r="W41" s="16"/>
      <c r="X41" s="15"/>
      <c r="Y41" s="13" t="s">
        <v>33</v>
      </c>
      <c r="Z41" s="16"/>
    </row>
    <row r="42" spans="11:28" x14ac:dyDescent="0.2">
      <c r="L42" s="40">
        <v>1.3535335876886207E-2</v>
      </c>
      <c r="N42" s="28">
        <v>0</v>
      </c>
      <c r="O42" s="29">
        <v>1</v>
      </c>
      <c r="P42" s="29">
        <v>0</v>
      </c>
      <c r="Q42" s="51">
        <v>0</v>
      </c>
      <c r="R42" s="43">
        <v>1.3535335876886207E-2</v>
      </c>
      <c r="U42" s="21"/>
      <c r="W42" s="18"/>
      <c r="X42" s="17" t="s">
        <v>34</v>
      </c>
      <c r="Y42">
        <f>Q13</f>
        <v>0.01</v>
      </c>
      <c r="Z42" s="18" t="s">
        <v>15</v>
      </c>
    </row>
    <row r="43" spans="11:28" x14ac:dyDescent="0.2">
      <c r="L43" s="40">
        <v>4.453079975044343E-5</v>
      </c>
      <c r="N43" s="28">
        <v>0</v>
      </c>
      <c r="O43" s="29">
        <v>0</v>
      </c>
      <c r="P43" s="29">
        <v>1</v>
      </c>
      <c r="Q43" s="51">
        <f>Q13</f>
        <v>0.01</v>
      </c>
      <c r="R43" s="43">
        <v>3.6355606345936778E-5</v>
      </c>
      <c r="U43" s="21"/>
      <c r="W43" s="18"/>
      <c r="X43" s="19"/>
      <c r="Y43" s="20"/>
      <c r="Z43" s="23"/>
    </row>
    <row r="44" spans="11:28" x14ac:dyDescent="0.2">
      <c r="L44" s="41">
        <v>8.1751934045066533E-4</v>
      </c>
      <c r="N44" s="31">
        <v>0</v>
      </c>
      <c r="O44" s="32">
        <v>0</v>
      </c>
      <c r="P44" s="32">
        <v>0</v>
      </c>
      <c r="Q44" s="52">
        <v>1</v>
      </c>
      <c r="R44" s="44">
        <v>8.1751934045066533E-4</v>
      </c>
      <c r="U44" s="21"/>
    </row>
    <row r="45" spans="11:28" x14ac:dyDescent="0.2">
      <c r="U45" s="24" t="s">
        <v>85</v>
      </c>
      <c r="V45" s="25">
        <v>1</v>
      </c>
      <c r="W45" s="26">
        <f>Y42</f>
        <v>0.01</v>
      </c>
      <c r="X45" s="26">
        <v>0</v>
      </c>
      <c r="Y45" s="27">
        <v>0</v>
      </c>
    </row>
    <row r="46" spans="11:28" x14ac:dyDescent="0.2">
      <c r="K46" t="s">
        <v>96</v>
      </c>
      <c r="L46" s="39" cm="1">
        <f t="array" ref="L46:L49">MMULT(N46:Q49,R46:R49)</f>
        <v>-1.16460825894916E-3</v>
      </c>
      <c r="M46" s="38" t="s">
        <v>91</v>
      </c>
      <c r="N46" s="15">
        <f>V30</f>
        <v>1.1056711114326292</v>
      </c>
      <c r="O46" s="14">
        <f t="shared" ref="O46:Q49" si="5">W30</f>
        <v>2.069963219915168E-2</v>
      </c>
      <c r="P46" s="14">
        <f t="shared" si="5"/>
        <v>0</v>
      </c>
      <c r="Q46" s="53">
        <f t="shared" si="5"/>
        <v>0</v>
      </c>
      <c r="R46" s="42" cm="1">
        <f t="array" ref="R46:R49">L41:L44</f>
        <v>-1.3067038817905486E-3</v>
      </c>
      <c r="U46" s="21"/>
      <c r="V46" s="28">
        <v>0</v>
      </c>
      <c r="W46" s="29">
        <v>1</v>
      </c>
      <c r="X46" s="29">
        <v>0</v>
      </c>
      <c r="Y46" s="30">
        <v>0</v>
      </c>
    </row>
    <row r="47" spans="11:28" x14ac:dyDescent="0.2">
      <c r="L47" s="40">
        <v>9.193483996006134E-4</v>
      </c>
      <c r="N47" s="22">
        <f t="shared" ref="N47:N49" si="6">V31</f>
        <v>10.749399048055768</v>
      </c>
      <c r="O47">
        <f t="shared" si="5"/>
        <v>1.1056711114326292</v>
      </c>
      <c r="P47">
        <f t="shared" si="5"/>
        <v>0</v>
      </c>
      <c r="Q47" s="49">
        <f t="shared" si="5"/>
        <v>0</v>
      </c>
      <c r="R47" s="43">
        <v>1.3535335876886207E-2</v>
      </c>
      <c r="U47" s="21"/>
      <c r="V47" s="28">
        <v>0</v>
      </c>
      <c r="W47" s="29">
        <v>0</v>
      </c>
      <c r="X47" s="29">
        <v>1</v>
      </c>
      <c r="Y47" s="30">
        <f>Y42</f>
        <v>0.01</v>
      </c>
    </row>
    <row r="48" spans="11:28" x14ac:dyDescent="0.2">
      <c r="L48" s="40">
        <v>5.5775485863571259E-5</v>
      </c>
      <c r="N48" s="22">
        <f t="shared" si="6"/>
        <v>0</v>
      </c>
      <c r="O48">
        <f t="shared" si="5"/>
        <v>0</v>
      </c>
      <c r="P48">
        <f t="shared" si="5"/>
        <v>0.89792466766890155</v>
      </c>
      <c r="Q48" s="49">
        <f t="shared" si="5"/>
        <v>1.9314750753076312E-2</v>
      </c>
      <c r="R48" s="43">
        <v>4.453079975044343E-5</v>
      </c>
      <c r="U48" s="21"/>
      <c r="V48" s="31">
        <v>0</v>
      </c>
      <c r="W48" s="32">
        <v>0</v>
      </c>
      <c r="X48" s="32">
        <v>0</v>
      </c>
      <c r="Y48" s="33">
        <v>1</v>
      </c>
    </row>
    <row r="49" spans="11:28" x14ac:dyDescent="0.2">
      <c r="L49" s="41">
        <v>2.874168519514094E-4</v>
      </c>
      <c r="N49" s="37">
        <f t="shared" si="6"/>
        <v>0</v>
      </c>
      <c r="O49" s="20">
        <f t="shared" si="5"/>
        <v>0</v>
      </c>
      <c r="P49" s="20">
        <f t="shared" si="5"/>
        <v>-10.030224757668003</v>
      </c>
      <c r="Q49" s="54">
        <f t="shared" si="5"/>
        <v>0.89792466766890155</v>
      </c>
      <c r="R49" s="44">
        <v>8.1751934045066533E-4</v>
      </c>
      <c r="U49" s="21"/>
    </row>
    <row r="50" spans="11:28" x14ac:dyDescent="0.2">
      <c r="U50" s="24" t="s">
        <v>86</v>
      </c>
      <c r="V50" s="4">
        <v>0.5</v>
      </c>
      <c r="X50" s="34" t="s">
        <v>87</v>
      </c>
      <c r="Y50" s="4">
        <f t="array" ref="Y50:Y53">MMULT(V45:Y48,V50:V53)</f>
        <v>0.501</v>
      </c>
      <c r="AA50" s="34" t="s">
        <v>88</v>
      </c>
      <c r="AB50" s="4">
        <f>V50*V45+V51*W45+V52*X45+V53*Y45</f>
        <v>0.501</v>
      </c>
    </row>
    <row r="51" spans="11:28" x14ac:dyDescent="0.2">
      <c r="K51" t="s">
        <v>95</v>
      </c>
      <c r="L51" s="39" cm="1">
        <f t="array" ref="L51:L54">MMULT(N51:Q54,R51:R54)</f>
        <v>4.5214864310448273E-4</v>
      </c>
      <c r="N51" s="25">
        <v>1</v>
      </c>
      <c r="O51" s="26">
        <f>SUM(Q21,Q22,Q24)</f>
        <v>1.7585900000000001</v>
      </c>
      <c r="P51" s="26">
        <v>0</v>
      </c>
      <c r="Q51" s="50">
        <v>0</v>
      </c>
      <c r="R51" s="42" cm="1">
        <f t="array" ref="R51:R54">L46:L49</f>
        <v>-1.16460825894916E-3</v>
      </c>
      <c r="U51" s="21"/>
      <c r="V51" s="5">
        <v>0.1</v>
      </c>
      <c r="Y51" s="5">
        <v>0.1</v>
      </c>
      <c r="AB51" s="5">
        <f>V50*V46+V51*W46+V52*X46+V53*Y46</f>
        <v>0.1</v>
      </c>
    </row>
    <row r="52" spans="11:28" x14ac:dyDescent="0.2">
      <c r="L52" s="40">
        <v>9.193483996006134E-4</v>
      </c>
      <c r="N52" s="28">
        <v>0</v>
      </c>
      <c r="O52" s="29">
        <v>1</v>
      </c>
      <c r="P52" s="29">
        <v>0</v>
      </c>
      <c r="Q52" s="51">
        <v>0</v>
      </c>
      <c r="R52" s="43">
        <v>9.193483996006134E-4</v>
      </c>
      <c r="U52" s="21"/>
      <c r="V52" s="5">
        <v>-0.3</v>
      </c>
      <c r="Y52" s="5">
        <v>-0.30199999999999999</v>
      </c>
      <c r="AB52" s="5">
        <f>V50*V47+V51*W47+V52*X47+V53*Y47</f>
        <v>-0.30199999999999999</v>
      </c>
    </row>
    <row r="53" spans="11:28" x14ac:dyDescent="0.2">
      <c r="L53" s="40">
        <v>5.6122388753680036E-4</v>
      </c>
      <c r="N53" s="28">
        <v>0</v>
      </c>
      <c r="O53" s="29">
        <v>0</v>
      </c>
      <c r="P53" s="29">
        <v>1</v>
      </c>
      <c r="Q53" s="51">
        <f>SUM(Q21,Q22,Q24)</f>
        <v>1.7585900000000001</v>
      </c>
      <c r="R53" s="43">
        <v>5.5775485863571259E-5</v>
      </c>
      <c r="U53" s="21"/>
      <c r="V53" s="35">
        <v>-0.2</v>
      </c>
      <c r="Y53" s="35">
        <v>-0.2</v>
      </c>
      <c r="AB53" s="35">
        <f>V50*V48+V51*W48+V52*X48+V53*Y48</f>
        <v>-0.2</v>
      </c>
    </row>
    <row r="54" spans="11:28" x14ac:dyDescent="0.2">
      <c r="L54" s="41">
        <v>2.874168519514094E-4</v>
      </c>
      <c r="N54" s="31">
        <v>0</v>
      </c>
      <c r="O54" s="32">
        <v>0</v>
      </c>
      <c r="P54" s="32">
        <v>0</v>
      </c>
      <c r="Q54" s="52">
        <v>1</v>
      </c>
      <c r="R54" s="44">
        <v>2.874168519514094E-4</v>
      </c>
    </row>
  </sheetData>
  <mergeCells count="3">
    <mergeCell ref="U2:Z2"/>
    <mergeCell ref="U21:Z21"/>
    <mergeCell ref="U40:Z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2023-08-10T07:10:55Z</dcterms:created>
  <dcterms:modified xsi:type="dcterms:W3CDTF">2023-08-11T14:39:06Z</dcterms:modified>
</cp:coreProperties>
</file>