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21-Spreads4Tests/"/>
    </mc:Choice>
  </mc:AlternateContent>
  <xr:revisionPtr revIDLastSave="0" documentId="13_ncr:1_{EC5B0248-6666-2145-A143-36E4A919EFA6}" xr6:coauthVersionLast="47" xr6:coauthVersionMax="47" xr10:uidLastSave="{00000000-0000-0000-0000-000000000000}"/>
  <bookViews>
    <workbookView xWindow="12420" yWindow="500" windowWidth="45180" windowHeight="28620" activeTab="1" xr2:uid="{008B2FEE-BD6E-8742-A59F-ADD463C42F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8" i="2" l="1"/>
  <c r="U49" i="2"/>
  <c r="U50" i="2"/>
  <c r="U51" i="2"/>
  <c r="U52" i="2"/>
  <c r="U47" i="2"/>
  <c r="S47" i="2" a="1"/>
  <c r="S47" i="2" s="1"/>
  <c r="J48" i="2"/>
  <c r="J49" i="2"/>
  <c r="J50" i="2"/>
  <c r="J51" i="2"/>
  <c r="J52" i="2"/>
  <c r="J47" i="2"/>
  <c r="H47" i="2" a="1"/>
  <c r="H47" i="2" s="1"/>
  <c r="V8" i="2"/>
  <c r="V3" i="2"/>
  <c r="N8" i="2"/>
  <c r="N3" i="2"/>
  <c r="Q20" i="2"/>
  <c r="O19" i="2"/>
  <c r="O18" i="2"/>
  <c r="N18" i="2"/>
  <c r="S48" i="2" l="1"/>
  <c r="S52" i="2"/>
  <c r="W52" i="2" s="1"/>
  <c r="S51" i="2"/>
  <c r="S50" i="2"/>
  <c r="S49" i="2"/>
  <c r="W47" i="2"/>
  <c r="W50" i="2"/>
  <c r="W48" i="2"/>
  <c r="W49" i="2"/>
  <c r="W51" i="2"/>
  <c r="H48" i="2"/>
  <c r="H52" i="2"/>
  <c r="H51" i="2"/>
  <c r="H50" i="2"/>
  <c r="H49" i="2"/>
  <c r="F4" i="2" l="1"/>
  <c r="B4" i="2"/>
  <c r="B5" i="2" s="1"/>
  <c r="E21" i="1"/>
  <c r="C19" i="1"/>
  <c r="B5" i="1"/>
  <c r="N4" i="2" l="1"/>
  <c r="V4" i="2"/>
  <c r="F5" i="2"/>
  <c r="L4" i="1"/>
  <c r="L5" i="1" s="1"/>
  <c r="V5" i="2" l="1"/>
  <c r="N5" i="2"/>
  <c r="F7" i="2"/>
  <c r="F6" i="2"/>
  <c r="F11" i="2"/>
  <c r="B6" i="1"/>
  <c r="F12" i="2" l="1"/>
  <c r="V11" i="2"/>
  <c r="N11" i="2"/>
  <c r="K22" i="2"/>
  <c r="N6" i="2"/>
  <c r="S22" i="2" s="1"/>
  <c r="V6" i="2"/>
  <c r="AA22" i="2" s="1"/>
  <c r="N7" i="2"/>
  <c r="V7" i="2"/>
  <c r="H6" i="1"/>
  <c r="E6" i="1"/>
  <c r="E10" i="1" s="1"/>
  <c r="E7" i="1"/>
  <c r="E8" i="1" s="1"/>
  <c r="S19" i="2" l="1"/>
  <c r="O22" i="2"/>
  <c r="N22" i="2"/>
  <c r="S18" i="2"/>
  <c r="I6" i="2"/>
  <c r="I7" i="2" s="1"/>
  <c r="I12" i="2" s="1"/>
  <c r="V12" i="2"/>
  <c r="Y6" i="2" s="1"/>
  <c r="Y7" i="2" s="1"/>
  <c r="Y12" i="2" s="1"/>
  <c r="N12" i="2"/>
  <c r="E11" i="1"/>
  <c r="H7" i="1"/>
  <c r="H8" i="1" s="1"/>
  <c r="H10" i="1"/>
  <c r="H11" i="1" s="1"/>
  <c r="I14" i="2" l="1"/>
  <c r="I13" i="2"/>
  <c r="Y14" i="2"/>
  <c r="Y13" i="2"/>
  <c r="C20" i="1"/>
  <c r="E22" i="1"/>
  <c r="B19" i="1"/>
  <c r="D21" i="1"/>
  <c r="H26" i="1" s="1"/>
  <c r="E16" i="1"/>
  <c r="H16" i="1"/>
  <c r="Y21" i="2" l="1"/>
  <c r="Y20" i="2"/>
  <c r="X20" i="2"/>
  <c r="V18" i="2"/>
  <c r="X21" i="2"/>
  <c r="V19" i="2"/>
  <c r="W18" i="2"/>
  <c r="W19" i="2"/>
  <c r="F19" i="2"/>
  <c r="G19" i="2"/>
  <c r="F18" i="2"/>
  <c r="I20" i="2"/>
  <c r="H21" i="2"/>
  <c r="I21" i="2"/>
  <c r="G18" i="2"/>
  <c r="H20" i="2"/>
  <c r="D22" i="1"/>
  <c r="H27" i="1" s="1"/>
  <c r="H17" i="1"/>
  <c r="B20" i="1"/>
  <c r="H25" i="1" s="1"/>
  <c r="E17" i="1"/>
  <c r="H24" i="1"/>
  <c r="R28" i="2" l="1" a="1"/>
  <c r="R28" i="2" s="1"/>
  <c r="R38" i="2" s="1" a="1"/>
  <c r="R38" i="2" s="1"/>
  <c r="G28" i="2" a="1"/>
  <c r="G28" i="2" s="1"/>
  <c r="G38" i="2" s="1" a="1"/>
  <c r="G38" i="2" s="1"/>
  <c r="E24" i="1" a="1"/>
  <c r="E24" i="1" s="1"/>
  <c r="K24" i="1" s="1"/>
  <c r="L49" i="2" l="1"/>
  <c r="L52" i="2"/>
  <c r="L50" i="2"/>
  <c r="L48" i="2"/>
  <c r="L47" i="2"/>
  <c r="L51" i="2"/>
  <c r="E25" i="1"/>
  <c r="K25" i="1" s="1"/>
  <c r="E26" i="1"/>
  <c r="K26" i="1" s="1"/>
  <c r="E27" i="1"/>
  <c r="K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<sst xmlns="http://schemas.openxmlformats.org/spreadsheetml/2006/main" count="157" uniqueCount="69">
  <si>
    <t>p</t>
  </si>
  <si>
    <t>MeV</t>
  </si>
  <si>
    <t>Brho</t>
  </si>
  <si>
    <t>Tm</t>
  </si>
  <si>
    <t>Transfer matrix</t>
  </si>
  <si>
    <t>Particle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</si>
  <si>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</si>
  <si>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</si>
  <si>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</si>
  <si>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</si>
  <si>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</si>
  <si>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</si>
  <si>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</si>
  <si>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</si>
  <si>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</si>
  <si>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m/s</t>
  </si>
  <si>
    <t>1/c</t>
  </si>
  <si>
    <t>s/m</t>
  </si>
  <si>
    <t>K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</si>
  <si>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</si>
  <si>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</si>
  <si>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Focusing strength</t>
  </si>
  <si>
    <t>Gap</t>
  </si>
  <si>
    <t>f*</t>
  </si>
  <si>
    <r>
      <t>f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-1</t>
    </r>
  </si>
  <si>
    <r>
      <t>f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</si>
  <si>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1</t>
    </r>
  </si>
  <si>
    <r>
      <t>sqrt(k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</si>
  <si>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sqrt(k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</si>
  <si>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k</t>
    </r>
    <r>
      <rPr>
        <vertAlign val="subscript"/>
        <sz val="12"/>
        <color theme="1"/>
        <rFont val="Calibri (Body)"/>
      </rPr>
      <t>2</t>
    </r>
  </si>
  <si>
    <t>Fquad</t>
  </si>
  <si>
    <t>Dquad</t>
  </si>
  <si>
    <r>
      <t>l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*sqrt(k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</si>
  <si>
    <r>
      <t>l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*sqrt(k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</si>
  <si>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l</t>
    </r>
    <r>
      <rPr>
        <vertAlign val="subscript"/>
        <sz val="12"/>
        <color theme="1"/>
        <rFont val="Calibri (Body)"/>
      </rPr>
      <t>2</t>
    </r>
  </si>
  <si>
    <r>
      <t>l</t>
    </r>
    <r>
      <rPr>
        <vertAlign val="subscript"/>
        <sz val="12"/>
        <color theme="1"/>
        <rFont val="Calibri (Body)"/>
      </rPr>
      <t>1</t>
    </r>
  </si>
  <si>
    <r>
      <t>1/c*10</t>
    </r>
    <r>
      <rPr>
        <vertAlign val="superscript"/>
        <sz val="12"/>
        <color theme="1"/>
        <rFont val="Calibri (Body)"/>
      </rPr>
      <t>9</t>
    </r>
  </si>
  <si>
    <r>
      <t>f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-1</t>
    </r>
  </si>
  <si>
    <r>
      <t>f</t>
    </r>
    <r>
      <rPr>
        <vertAlign val="subscript"/>
        <sz val="12"/>
        <color theme="1"/>
        <rFont val="Calibri (Body)"/>
      </rPr>
      <t>2</t>
    </r>
  </si>
  <si>
    <r>
      <t>f*</t>
    </r>
    <r>
      <rPr>
        <vertAlign val="superscript"/>
        <sz val="12"/>
        <color theme="1"/>
        <rFont val="Calibri (Body)"/>
      </rPr>
      <t>-1</t>
    </r>
  </si>
  <si>
    <t>FD doublet</t>
  </si>
  <si>
    <t>DF doublet</t>
  </si>
  <si>
    <t>Difference</t>
  </si>
  <si>
    <t>Reference particle</t>
  </si>
  <si>
    <t>Quadrupole</t>
  </si>
  <si>
    <t>Length</t>
  </si>
  <si>
    <r>
      <t>K</t>
    </r>
    <r>
      <rPr>
        <i/>
        <vertAlign val="subscript"/>
        <sz val="12"/>
        <color theme="1"/>
        <rFont val="Calibri (Body)"/>
      </rPr>
      <t>r</t>
    </r>
  </si>
  <si>
    <t>kFQ</t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</si>
  <si>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</si>
  <si>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</si>
  <si>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</si>
  <si>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</si>
  <si>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</si>
  <si>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Derived parameters</t>
  </si>
  <si>
    <t>E</t>
  </si>
  <si>
    <t>D</t>
  </si>
  <si>
    <t>sqrt(k/D)</t>
  </si>
  <si>
    <t>1/c*10^9</t>
  </si>
  <si>
    <t>l*sqrt(k/D)</t>
  </si>
  <si>
    <t>D*sqrt(k/D)</t>
  </si>
  <si>
    <t>Diff</t>
  </si>
  <si>
    <t>Focus quad</t>
  </si>
  <si>
    <t>Deficus quad</t>
  </si>
  <si>
    <t>Drift test sheet:</t>
  </si>
  <si>
    <t>Drift</t>
  </si>
  <si>
    <t>D*DQ</t>
  </si>
  <si>
    <t>D*FQ</t>
  </si>
  <si>
    <t>DQ*D*FQ</t>
  </si>
  <si>
    <t>FQ*D*DQ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</si>
</sst>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right"/>
    </xf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164" fontId="0" fillId="0" borderId="0" xfId="0" applyNumberFormat="1"/>
    <xf numFmtId="2" fontId="0" fillId="0" borderId="10" xfId="0" applyNumberFormat="1" applyBorder="1"/>
    <xf numFmtId="0" fontId="8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3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7" xfId="0" applyFill="1" applyBorder="1"/>
    <xf numFmtId="0" fontId="3" fillId="3" borderId="0" xfId="0" applyFont="1" applyFill="1" applyBorder="1" applyAlignment="1">
      <alignment horizontal="center"/>
    </xf>
    <xf numFmtId="0" fontId="0" fillId="3" borderId="8" xfId="0" applyFill="1" applyBorder="1"/>
    <xf numFmtId="0" fontId="1" fillId="0" borderId="7" xfId="0" applyFont="1" applyFill="1" applyBorder="1" applyAlignment="1"/>
    <xf numFmtId="0" fontId="10" fillId="0" borderId="4" xfId="0" applyFont="1" applyBorder="1" applyAlignment="1">
      <alignment horizontal="right"/>
    </xf>
    <xf numFmtId="165" fontId="0" fillId="0" borderId="0" xfId="0" applyNumberFormat="1"/>
    <xf numFmtId="164" fontId="0" fillId="0" borderId="10" xfId="0" applyNumberFormat="1" applyBorder="1"/>
    <xf numFmtId="0" fontId="10" fillId="0" borderId="0" xfId="0" applyFont="1" applyAlignment="1">
      <alignment horizontal="right"/>
    </xf>
    <xf numFmtId="0" fontId="0" fillId="0" borderId="0" xfId="0" applyBorder="1"/>
    <xf numFmtId="1" fontId="0" fillId="0" borderId="10" xfId="0" applyNumberFormat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M27"/>
  <sheetViews>
    <sheetView zoomScale="125" zoomScaleNormal="125" workbookViewId="0">
      <selection activeCell="I4" sqref="I4"/>
    </sheetView>
  </sheetViews>
  <sheetFormatPr baseColWidth="10" defaultRowHeight="16" x14ac:dyDescent="0.2"/>
  <cols>
    <col min="1" max="1" width="17.33203125" style="1" customWidth="1"/>
  </cols>
  <sheetData>
    <row r="1" spans="1:13" ht="21" x14ac:dyDescent="0.25">
      <c r="A1" s="23" t="s">
        <v>21</v>
      </c>
      <c r="B1" s="24"/>
      <c r="C1" s="24"/>
      <c r="D1" s="24"/>
      <c r="E1" s="24"/>
      <c r="F1" s="24"/>
      <c r="G1" s="24"/>
      <c r="H1" s="24"/>
      <c r="I1" s="25"/>
    </row>
    <row r="2" spans="1:13" ht="20" x14ac:dyDescent="0.25">
      <c r="A2" s="10"/>
      <c r="B2" s="3" t="s">
        <v>5</v>
      </c>
      <c r="C2" s="11"/>
      <c r="D2" s="2"/>
      <c r="E2" s="3" t="s">
        <v>30</v>
      </c>
      <c r="F2" s="11"/>
      <c r="G2" s="11"/>
      <c r="H2" s="3" t="s">
        <v>31</v>
      </c>
      <c r="I2" s="4"/>
      <c r="K2" s="10" t="s">
        <v>19</v>
      </c>
      <c r="L2" s="11">
        <v>938.27208815999995</v>
      </c>
      <c r="M2" s="4" t="s">
        <v>20</v>
      </c>
    </row>
    <row r="3" spans="1:13" ht="18" x14ac:dyDescent="0.25">
      <c r="A3" s="5" t="s">
        <v>18</v>
      </c>
      <c r="B3" s="1">
        <v>12</v>
      </c>
      <c r="C3" t="s">
        <v>1</v>
      </c>
      <c r="D3" s="5" t="s">
        <v>35</v>
      </c>
      <c r="E3">
        <v>0.03</v>
      </c>
      <c r="F3" t="s">
        <v>6</v>
      </c>
      <c r="G3" s="1" t="s">
        <v>34</v>
      </c>
      <c r="H3">
        <v>0.03</v>
      </c>
      <c r="I3" s="6" t="s">
        <v>6</v>
      </c>
      <c r="K3" s="5" t="s">
        <v>14</v>
      </c>
      <c r="L3">
        <v>299792458</v>
      </c>
      <c r="M3" s="6" t="s">
        <v>15</v>
      </c>
    </row>
    <row r="4" spans="1:13" x14ac:dyDescent="0.2">
      <c r="A4" s="5"/>
      <c r="B4" s="17"/>
      <c r="D4" s="5" t="s">
        <v>7</v>
      </c>
      <c r="E4">
        <v>325</v>
      </c>
      <c r="F4" t="s">
        <v>8</v>
      </c>
      <c r="G4" s="1" t="s">
        <v>7</v>
      </c>
      <c r="H4">
        <v>325</v>
      </c>
      <c r="I4" s="6" t="s">
        <v>8</v>
      </c>
      <c r="K4" s="5" t="s">
        <v>16</v>
      </c>
      <c r="L4">
        <f>1/L3</f>
        <v>3.3356409519815204E-9</v>
      </c>
      <c r="M4" s="6" t="s">
        <v>17</v>
      </c>
    </row>
    <row r="5" spans="1:13" ht="19" x14ac:dyDescent="0.2">
      <c r="A5" s="5" t="s">
        <v>0</v>
      </c>
      <c r="B5" s="1">
        <f>SQRT( (L2+B3)^2 - L2^2)</f>
        <v>150.5407921987921</v>
      </c>
      <c r="C5" t="s">
        <v>1</v>
      </c>
      <c r="D5" s="12"/>
      <c r="I5" s="6"/>
      <c r="K5" s="7" t="s">
        <v>36</v>
      </c>
      <c r="L5" s="8">
        <f>L4*1000000000</f>
        <v>3.3356409519815204</v>
      </c>
      <c r="M5" s="9" t="s">
        <v>17</v>
      </c>
    </row>
    <row r="6" spans="1:13" ht="20" x14ac:dyDescent="0.25">
      <c r="A6" s="7" t="s">
        <v>2</v>
      </c>
      <c r="B6" s="8">
        <f>L5*B5/1000</f>
        <v>0.50215003140203107</v>
      </c>
      <c r="C6" s="8" t="s">
        <v>3</v>
      </c>
      <c r="D6" s="5" t="s">
        <v>26</v>
      </c>
      <c r="E6">
        <f>E4/B6</f>
        <v>647.21692656790594</v>
      </c>
      <c r="F6" t="s">
        <v>9</v>
      </c>
      <c r="G6" s="1" t="s">
        <v>29</v>
      </c>
      <c r="H6">
        <f>H4/B6</f>
        <v>647.21692656790594</v>
      </c>
      <c r="I6" s="6" t="s">
        <v>9</v>
      </c>
    </row>
    <row r="7" spans="1:13" ht="20" x14ac:dyDescent="0.25">
      <c r="D7" s="5" t="s">
        <v>27</v>
      </c>
      <c r="E7">
        <f>SQRT(E6)</f>
        <v>25.44045845828856</v>
      </c>
      <c r="F7" t="s">
        <v>10</v>
      </c>
      <c r="G7" s="1" t="s">
        <v>28</v>
      </c>
      <c r="H7">
        <f>SQRT(H6)</f>
        <v>25.44045845828856</v>
      </c>
      <c r="I7" s="6" t="s">
        <v>10</v>
      </c>
    </row>
    <row r="8" spans="1:13" ht="18" x14ac:dyDescent="0.25">
      <c r="D8" s="5" t="s">
        <v>32</v>
      </c>
      <c r="E8">
        <f>E7*E3</f>
        <v>0.76321375374865674</v>
      </c>
      <c r="G8" s="1" t="s">
        <v>33</v>
      </c>
      <c r="H8">
        <f>H3*H7</f>
        <v>0.76321375374865674</v>
      </c>
      <c r="I8" s="6"/>
    </row>
    <row r="9" spans="1:13" x14ac:dyDescent="0.2">
      <c r="D9" s="5"/>
      <c r="I9" s="6"/>
    </row>
    <row r="10" spans="1:13" ht="20" x14ac:dyDescent="0.25">
      <c r="D10" s="5" t="s">
        <v>24</v>
      </c>
      <c r="E10">
        <f>E6*E3</f>
        <v>19.416507797037177</v>
      </c>
      <c r="G10" s="1" t="s">
        <v>37</v>
      </c>
      <c r="H10">
        <f>H6*H3</f>
        <v>19.416507797037177</v>
      </c>
      <c r="I10" s="6"/>
    </row>
    <row r="11" spans="1:13" ht="18" x14ac:dyDescent="0.25">
      <c r="D11" s="5" t="s">
        <v>25</v>
      </c>
      <c r="E11">
        <f>1/E10</f>
        <v>5.1502567323285238E-2</v>
      </c>
      <c r="F11" t="s">
        <v>6</v>
      </c>
      <c r="G11" s="1" t="s">
        <v>38</v>
      </c>
      <c r="H11">
        <f>1/H10</f>
        <v>5.1502567323285238E-2</v>
      </c>
      <c r="I11" s="6" t="s">
        <v>6</v>
      </c>
    </row>
    <row r="12" spans="1:13" x14ac:dyDescent="0.2">
      <c r="D12" s="18"/>
      <c r="E12" s="8"/>
      <c r="F12" s="8"/>
      <c r="G12" s="8"/>
      <c r="H12" s="8"/>
      <c r="I12" s="9"/>
    </row>
    <row r="14" spans="1:13" ht="21" x14ac:dyDescent="0.25">
      <c r="D14" s="23" t="s">
        <v>40</v>
      </c>
      <c r="E14" s="24"/>
      <c r="F14" s="25"/>
      <c r="G14" s="23" t="s">
        <v>41</v>
      </c>
      <c r="H14" s="24"/>
      <c r="I14" s="25"/>
    </row>
    <row r="15" spans="1:13" x14ac:dyDescent="0.2">
      <c r="D15" s="10"/>
      <c r="E15" s="19" t="s">
        <v>22</v>
      </c>
      <c r="F15" s="26">
        <v>5.0000000000000001E-3</v>
      </c>
      <c r="G15" s="26"/>
      <c r="H15" s="11" t="s">
        <v>6</v>
      </c>
      <c r="I15" s="4"/>
    </row>
    <row r="16" spans="1:13" ht="19" x14ac:dyDescent="0.2">
      <c r="D16" s="5" t="s">
        <v>39</v>
      </c>
      <c r="E16">
        <f>E10-H10+F15*(E10*H10)</f>
        <v>1.8850038751620275</v>
      </c>
      <c r="F16" s="6" t="s">
        <v>10</v>
      </c>
      <c r="G16" s="5" t="s">
        <v>39</v>
      </c>
      <c r="H16">
        <f>-E10+H10+F15*(E10*H10)</f>
        <v>1.8850038751620275</v>
      </c>
      <c r="I16" s="6" t="s">
        <v>10</v>
      </c>
    </row>
    <row r="17" spans="1:11" x14ac:dyDescent="0.2">
      <c r="D17" s="7" t="s">
        <v>23</v>
      </c>
      <c r="E17" s="8">
        <f>1/E16</f>
        <v>0.5305028881779057</v>
      </c>
      <c r="F17" s="9" t="s">
        <v>6</v>
      </c>
      <c r="G17" s="7" t="s">
        <v>23</v>
      </c>
      <c r="H17" s="8">
        <f>1/H16</f>
        <v>0.5305028881779057</v>
      </c>
      <c r="I17" s="9" t="s">
        <v>6</v>
      </c>
    </row>
    <row r="19" spans="1:11" x14ac:dyDescent="0.2">
      <c r="A19" s="13" t="s">
        <v>4</v>
      </c>
      <c r="B19" s="2">
        <f>1+($F$15/$E$11)</f>
        <v>1.0970825389851859</v>
      </c>
      <c r="C19" s="11">
        <f>$F$15</f>
        <v>5.0000000000000001E-3</v>
      </c>
      <c r="D19" s="11">
        <v>0</v>
      </c>
      <c r="E19" s="4">
        <v>0</v>
      </c>
    </row>
    <row r="20" spans="1:11" x14ac:dyDescent="0.2">
      <c r="B20" s="12">
        <f>-$E$16</f>
        <v>-1.8850038751620275</v>
      </c>
      <c r="C20">
        <f>1+($F$15/$H$11)</f>
        <v>1.0970825389851859</v>
      </c>
      <c r="D20">
        <v>0</v>
      </c>
      <c r="E20" s="6">
        <v>0</v>
      </c>
    </row>
    <row r="21" spans="1:11" x14ac:dyDescent="0.2">
      <c r="B21" s="12">
        <v>0</v>
      </c>
      <c r="C21">
        <v>0</v>
      </c>
      <c r="D21">
        <f>1-($F$15/$E$11)</f>
        <v>0.90291746101481407</v>
      </c>
      <c r="E21" s="6">
        <f>$F$15</f>
        <v>5.0000000000000001E-3</v>
      </c>
    </row>
    <row r="22" spans="1:11" x14ac:dyDescent="0.2">
      <c r="B22" s="18">
        <v>0</v>
      </c>
      <c r="C22" s="8">
        <v>0</v>
      </c>
      <c r="D22" s="8">
        <f>-$H$16</f>
        <v>-1.8850038751620275</v>
      </c>
      <c r="E22" s="9">
        <f>1-($F$15/$H$11)</f>
        <v>0.90291746101481407</v>
      </c>
    </row>
    <row r="24" spans="1:11" x14ac:dyDescent="0.2">
      <c r="A24" s="13" t="s">
        <v>11</v>
      </c>
      <c r="B24" s="14">
        <v>0.5</v>
      </c>
      <c r="D24" s="13" t="s">
        <v>12</v>
      </c>
      <c r="E24" s="14">
        <f t="array" ref="E24:E27">MMULT(B19:E22,B24:B27)</f>
        <v>0.54904126949259291</v>
      </c>
      <c r="G24" s="13" t="s">
        <v>13</v>
      </c>
      <c r="H24" s="14">
        <f>B$24*B19+B$25*C19+B$26*D19+B$27*E19</f>
        <v>0.54904126949259291</v>
      </c>
      <c r="J24" s="13" t="s">
        <v>42</v>
      </c>
      <c r="K24" s="20">
        <f>E24-H24</f>
        <v>0</v>
      </c>
    </row>
    <row r="25" spans="1:11" x14ac:dyDescent="0.2">
      <c r="B25" s="15">
        <v>0.1</v>
      </c>
      <c r="E25" s="15">
        <v>-0.83279368368249518</v>
      </c>
      <c r="H25" s="15">
        <f>B$24*B20+B$25*C20+B$26*D20+B$27*E20</f>
        <v>-0.83279368368249518</v>
      </c>
      <c r="K25" s="21">
        <f t="shared" ref="K25:K27" si="0">E25-H25</f>
        <v>0</v>
      </c>
    </row>
    <row r="26" spans="1:11" x14ac:dyDescent="0.2">
      <c r="B26" s="15">
        <v>-0.3</v>
      </c>
      <c r="E26" s="15">
        <v>-0.27187523830444421</v>
      </c>
      <c r="H26" s="15">
        <f>B$24*B21+B$25*C21+B$26*D21+B$27*E21</f>
        <v>-0.27187523830444421</v>
      </c>
      <c r="K26" s="21">
        <f t="shared" si="0"/>
        <v>0</v>
      </c>
    </row>
    <row r="27" spans="1:11" x14ac:dyDescent="0.2">
      <c r="B27" s="16">
        <v>-0.2</v>
      </c>
      <c r="E27" s="16">
        <v>0.38491767034564545</v>
      </c>
      <c r="H27" s="16">
        <f>B$24*B22+B$25*C22+B$26*D22+B$27*E22</f>
        <v>0.38491767034564545</v>
      </c>
      <c r="K27" s="22">
        <f t="shared" si="0"/>
        <v>0</v>
      </c>
    </row>
  </sheetData>
  <mergeCells count="4">
    <mergeCell ref="D14:F14"/>
    <mergeCell ref="A1:I1"/>
    <mergeCell ref="G14:I14"/>
    <mergeCell ref="F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9AEC-43F2-8D45-B0B0-4BCF34C0588E}">
  <dimension ref="A1:AA52"/>
  <sheetViews>
    <sheetView tabSelected="1" workbookViewId="0">
      <selection activeCell="R61" sqref="R61"/>
    </sheetView>
  </sheetViews>
  <sheetFormatPr baseColWidth="10" defaultRowHeight="16" x14ac:dyDescent="0.2"/>
  <cols>
    <col min="5" max="5" width="14.6640625" bestFit="1" customWidth="1"/>
    <col min="13" max="13" width="14.6640625" bestFit="1" customWidth="1"/>
    <col min="21" max="21" width="14.6640625" bestFit="1" customWidth="1"/>
  </cols>
  <sheetData>
    <row r="1" spans="1:27" ht="21" x14ac:dyDescent="0.25">
      <c r="E1" s="23" t="s">
        <v>61</v>
      </c>
      <c r="F1" s="24"/>
      <c r="G1" s="24"/>
      <c r="H1" s="24"/>
      <c r="I1" s="24"/>
      <c r="J1" s="24"/>
      <c r="K1" s="25"/>
      <c r="L1" s="47"/>
      <c r="M1" s="23" t="s">
        <v>63</v>
      </c>
      <c r="N1" s="24"/>
      <c r="O1" s="24"/>
      <c r="P1" s="24"/>
      <c r="Q1" s="24"/>
      <c r="R1" s="24"/>
      <c r="S1" s="25"/>
      <c r="U1" s="23" t="s">
        <v>62</v>
      </c>
      <c r="V1" s="24"/>
      <c r="W1" s="24"/>
      <c r="X1" s="24"/>
      <c r="Y1" s="24"/>
      <c r="Z1" s="24"/>
      <c r="AA1" s="25"/>
    </row>
    <row r="2" spans="1:27" ht="20" x14ac:dyDescent="0.25">
      <c r="A2" s="10" t="s">
        <v>19</v>
      </c>
      <c r="B2" s="11">
        <v>938.27208815999995</v>
      </c>
      <c r="C2" s="4" t="s">
        <v>20</v>
      </c>
      <c r="E2" s="41" t="s">
        <v>43</v>
      </c>
      <c r="F2" s="42"/>
      <c r="G2" s="43"/>
      <c r="H2" s="44"/>
      <c r="I2" s="45" t="s">
        <v>44</v>
      </c>
      <c r="J2" s="46"/>
      <c r="M2" s="41" t="s">
        <v>43</v>
      </c>
      <c r="N2" s="42"/>
      <c r="O2" s="43"/>
      <c r="P2" s="44"/>
      <c r="Q2" s="45" t="s">
        <v>64</v>
      </c>
      <c r="R2" s="46"/>
      <c r="U2" s="41" t="s">
        <v>43</v>
      </c>
      <c r="V2" s="42"/>
      <c r="W2" s="43"/>
      <c r="X2" s="44"/>
      <c r="Y2" s="45" t="s">
        <v>44</v>
      </c>
      <c r="Z2" s="46"/>
    </row>
    <row r="3" spans="1:27" ht="18" x14ac:dyDescent="0.25">
      <c r="A3" s="10" t="s">
        <v>14</v>
      </c>
      <c r="B3" s="11">
        <v>299792458</v>
      </c>
      <c r="C3" s="4" t="s">
        <v>15</v>
      </c>
      <c r="E3" s="31" t="s">
        <v>46</v>
      </c>
      <c r="F3" s="32">
        <v>20</v>
      </c>
      <c r="G3" s="6" t="s">
        <v>1</v>
      </c>
      <c r="H3" s="30" t="s">
        <v>45</v>
      </c>
      <c r="I3">
        <v>0.1</v>
      </c>
      <c r="J3" s="6" t="s">
        <v>6</v>
      </c>
      <c r="M3" s="31" t="s">
        <v>46</v>
      </c>
      <c r="N3" s="32">
        <f>F3</f>
        <v>20</v>
      </c>
      <c r="O3" s="6" t="s">
        <v>1</v>
      </c>
      <c r="P3" s="37" t="s">
        <v>45</v>
      </c>
      <c r="Q3" s="1">
        <v>0.01</v>
      </c>
      <c r="R3" s="6" t="s">
        <v>6</v>
      </c>
      <c r="U3" s="31" t="s">
        <v>46</v>
      </c>
      <c r="V3" s="32">
        <f>F3</f>
        <v>20</v>
      </c>
      <c r="W3" s="6" t="s">
        <v>1</v>
      </c>
      <c r="X3" s="30" t="s">
        <v>45</v>
      </c>
      <c r="Y3">
        <v>0.1</v>
      </c>
      <c r="Z3" s="6" t="s">
        <v>6</v>
      </c>
    </row>
    <row r="4" spans="1:27" ht="18" x14ac:dyDescent="0.25">
      <c r="A4" s="5" t="s">
        <v>16</v>
      </c>
      <c r="B4">
        <f>1/B3</f>
        <v>3.3356409519815204E-9</v>
      </c>
      <c r="C4" s="6" t="s">
        <v>17</v>
      </c>
      <c r="E4" s="5" t="s">
        <v>48</v>
      </c>
      <c r="F4" s="32">
        <f>B2+F3</f>
        <v>958.27208815999995</v>
      </c>
      <c r="G4" s="6" t="s">
        <v>1</v>
      </c>
      <c r="H4" s="30" t="s">
        <v>7</v>
      </c>
      <c r="I4">
        <v>500</v>
      </c>
      <c r="J4" s="6" t="s">
        <v>8</v>
      </c>
      <c r="M4" s="5" t="s">
        <v>48</v>
      </c>
      <c r="N4" s="32">
        <f t="shared" ref="N4:N8" si="0">F4</f>
        <v>958.27208815999995</v>
      </c>
      <c r="O4" s="6" t="s">
        <v>1</v>
      </c>
      <c r="P4" s="37"/>
      <c r="R4" s="6"/>
      <c r="U4" s="5" t="s">
        <v>48</v>
      </c>
      <c r="V4" s="32">
        <f t="shared" ref="V4:V8" si="1">F4</f>
        <v>958.27208815999995</v>
      </c>
      <c r="W4" s="6" t="s">
        <v>1</v>
      </c>
      <c r="X4" s="30" t="s">
        <v>7</v>
      </c>
      <c r="Y4">
        <v>500</v>
      </c>
      <c r="Z4" s="6" t="s">
        <v>8</v>
      </c>
    </row>
    <row r="5" spans="1:27" ht="18" x14ac:dyDescent="0.25">
      <c r="A5" s="7" t="s">
        <v>57</v>
      </c>
      <c r="B5" s="8">
        <f>B4*1000000000</f>
        <v>3.3356409519815204</v>
      </c>
      <c r="C5" s="9" t="s">
        <v>17</v>
      </c>
      <c r="E5" s="31" t="s">
        <v>49</v>
      </c>
      <c r="F5" s="32">
        <f>SQRT(F4^2 -B2^ 2)</f>
        <v>194.75852619692921</v>
      </c>
      <c r="G5" s="6" t="s">
        <v>1</v>
      </c>
      <c r="H5" s="7"/>
      <c r="I5" s="33"/>
      <c r="J5" s="9"/>
      <c r="M5" s="31" t="s">
        <v>49</v>
      </c>
      <c r="N5" s="32">
        <f t="shared" si="0"/>
        <v>194.75852619692921</v>
      </c>
      <c r="O5" s="6" t="s">
        <v>1</v>
      </c>
      <c r="P5" s="7"/>
      <c r="Q5" s="33"/>
      <c r="R5" s="9"/>
      <c r="U5" s="31" t="s">
        <v>49</v>
      </c>
      <c r="V5" s="32">
        <f t="shared" si="1"/>
        <v>194.75852619692921</v>
      </c>
      <c r="W5" s="6" t="s">
        <v>1</v>
      </c>
      <c r="X5" s="7"/>
      <c r="Y5" s="33"/>
      <c r="Z5" s="9"/>
    </row>
    <row r="6" spans="1:27" ht="18" x14ac:dyDescent="0.25">
      <c r="E6" s="34" t="s">
        <v>50</v>
      </c>
      <c r="F6">
        <f>F5/B2</f>
        <v>0.20757148022900346</v>
      </c>
      <c r="G6" s="6"/>
      <c r="H6" s="35" t="s">
        <v>2</v>
      </c>
      <c r="I6">
        <f>F12*B5/1000</f>
        <v>1.6137238800416533</v>
      </c>
      <c r="J6" s="6"/>
      <c r="M6" s="34" t="s">
        <v>50</v>
      </c>
      <c r="N6" s="32">
        <f t="shared" si="0"/>
        <v>0.20757148022900346</v>
      </c>
      <c r="O6" s="6"/>
      <c r="P6" s="48"/>
      <c r="Q6" s="11"/>
      <c r="R6" s="11"/>
      <c r="U6" s="34" t="s">
        <v>50</v>
      </c>
      <c r="V6" s="32">
        <f t="shared" si="1"/>
        <v>0.20757148022900346</v>
      </c>
      <c r="W6" s="6"/>
      <c r="X6" s="35" t="s">
        <v>2</v>
      </c>
      <c r="Y6">
        <f>V12*B5/1000</f>
        <v>1.6137238800416533</v>
      </c>
      <c r="Z6" s="6"/>
    </row>
    <row r="7" spans="1:27" ht="20" x14ac:dyDescent="0.25">
      <c r="E7" s="34" t="s">
        <v>51</v>
      </c>
      <c r="F7">
        <f>F5/F4</f>
        <v>0.20323927682260837</v>
      </c>
      <c r="G7" s="6"/>
      <c r="H7" s="30" t="s">
        <v>47</v>
      </c>
      <c r="I7">
        <f>I4/I6</f>
        <v>309.84235046896254</v>
      </c>
      <c r="J7" s="6" t="s">
        <v>9</v>
      </c>
      <c r="M7" s="34" t="s">
        <v>51</v>
      </c>
      <c r="N7" s="32">
        <f t="shared" si="0"/>
        <v>0.20323927682260837</v>
      </c>
      <c r="O7" s="6"/>
      <c r="P7" s="38"/>
      <c r="Q7" s="49"/>
      <c r="U7" s="34" t="s">
        <v>51</v>
      </c>
      <c r="V7" s="32">
        <f t="shared" si="1"/>
        <v>0.20323927682260837</v>
      </c>
      <c r="W7" s="6"/>
      <c r="X7" s="30" t="s">
        <v>47</v>
      </c>
      <c r="Y7">
        <f>Y4/Y6</f>
        <v>309.84235046896254</v>
      </c>
      <c r="Z7" s="6" t="s">
        <v>9</v>
      </c>
    </row>
    <row r="8" spans="1:27" x14ac:dyDescent="0.2">
      <c r="E8" s="7" t="s">
        <v>52</v>
      </c>
      <c r="F8" s="8">
        <v>1</v>
      </c>
      <c r="G8" s="9"/>
      <c r="H8" s="36"/>
      <c r="I8" s="8"/>
      <c r="J8" s="9"/>
      <c r="M8" s="7" t="s">
        <v>52</v>
      </c>
      <c r="N8" s="50">
        <f t="shared" si="0"/>
        <v>1</v>
      </c>
      <c r="O8" s="9"/>
      <c r="P8" s="37"/>
      <c r="U8" s="7" t="s">
        <v>52</v>
      </c>
      <c r="V8" s="53">
        <f t="shared" si="1"/>
        <v>1</v>
      </c>
      <c r="W8" s="9"/>
      <c r="X8" s="36"/>
      <c r="Y8" s="8"/>
      <c r="Z8" s="9"/>
    </row>
    <row r="9" spans="1:27" x14ac:dyDescent="0.2">
      <c r="M9" s="1"/>
      <c r="P9" s="1"/>
    </row>
    <row r="10" spans="1:27" x14ac:dyDescent="0.2">
      <c r="E10" s="27" t="s">
        <v>5</v>
      </c>
      <c r="F10" s="28"/>
      <c r="G10" s="29"/>
      <c r="H10" s="27" t="s">
        <v>53</v>
      </c>
      <c r="I10" s="28"/>
      <c r="J10" s="29"/>
      <c r="M10" s="27" t="s">
        <v>5</v>
      </c>
      <c r="N10" s="28"/>
      <c r="O10" s="29"/>
      <c r="P10" s="1"/>
      <c r="U10" s="27" t="s">
        <v>5</v>
      </c>
      <c r="V10" s="28"/>
      <c r="W10" s="29"/>
      <c r="X10" s="27" t="s">
        <v>53</v>
      </c>
      <c r="Y10" s="28"/>
      <c r="Z10" s="29"/>
    </row>
    <row r="11" spans="1:27" x14ac:dyDescent="0.2">
      <c r="E11" s="37" t="s">
        <v>54</v>
      </c>
      <c r="F11">
        <f>F4+F5*F52</f>
        <v>1055.6513512584645</v>
      </c>
      <c r="G11" s="6"/>
      <c r="H11" s="37" t="s">
        <v>55</v>
      </c>
      <c r="I11">
        <v>1</v>
      </c>
      <c r="J11" s="6"/>
      <c r="M11" s="37" t="s">
        <v>54</v>
      </c>
      <c r="N11">
        <f>F11</f>
        <v>1055.6513512584645</v>
      </c>
      <c r="O11" s="6"/>
      <c r="P11" s="1"/>
      <c r="U11" s="37" t="s">
        <v>54</v>
      </c>
      <c r="V11">
        <f>F11</f>
        <v>1055.6513512584645</v>
      </c>
      <c r="W11" s="6"/>
      <c r="X11" s="37" t="s">
        <v>55</v>
      </c>
      <c r="Y11">
        <v>1</v>
      </c>
      <c r="Z11" s="6"/>
    </row>
    <row r="12" spans="1:27" ht="19" x14ac:dyDescent="0.2">
      <c r="E12" s="37" t="s">
        <v>0</v>
      </c>
      <c r="F12" s="32">
        <f>SQRT(F11^2 -B2^ 2)</f>
        <v>483.78224853098436</v>
      </c>
      <c r="G12" s="6"/>
      <c r="H12" s="37" t="s">
        <v>56</v>
      </c>
      <c r="I12">
        <f>SQRT(I7/I11)</f>
        <v>17.60233934648922</v>
      </c>
      <c r="J12" s="6" t="s">
        <v>10</v>
      </c>
      <c r="M12" s="36" t="s">
        <v>0</v>
      </c>
      <c r="N12" s="8">
        <f>F12</f>
        <v>483.78224853098436</v>
      </c>
      <c r="O12" s="9"/>
      <c r="P12" s="1"/>
      <c r="U12" s="37" t="s">
        <v>0</v>
      </c>
      <c r="V12">
        <f>F12</f>
        <v>483.78224853098436</v>
      </c>
      <c r="W12" s="6"/>
      <c r="X12" s="37" t="s">
        <v>56</v>
      </c>
      <c r="Y12">
        <f>SQRT(Y7/Y11)</f>
        <v>17.60233934648922</v>
      </c>
      <c r="Z12" s="6" t="s">
        <v>10</v>
      </c>
    </row>
    <row r="13" spans="1:27" x14ac:dyDescent="0.2">
      <c r="E13" s="38"/>
      <c r="G13" s="6"/>
      <c r="H13" s="37" t="s">
        <v>58</v>
      </c>
      <c r="I13">
        <f>I12*I3</f>
        <v>1.7602339346489222</v>
      </c>
      <c r="J13" s="6"/>
      <c r="M13" s="51"/>
      <c r="P13" s="1"/>
      <c r="U13" s="38"/>
      <c r="W13" s="6"/>
      <c r="X13" s="37" t="s">
        <v>58</v>
      </c>
      <c r="Y13">
        <f>Y12*Y3</f>
        <v>1.7602339346489222</v>
      </c>
      <c r="Z13" s="6"/>
    </row>
    <row r="14" spans="1:27" ht="19" x14ac:dyDescent="0.2">
      <c r="E14" s="39"/>
      <c r="F14" s="8"/>
      <c r="G14" s="9"/>
      <c r="H14" s="36" t="s">
        <v>59</v>
      </c>
      <c r="I14" s="8">
        <f>I12*I11</f>
        <v>17.60233934648922</v>
      </c>
      <c r="J14" s="9" t="s">
        <v>10</v>
      </c>
      <c r="M14" s="51"/>
      <c r="P14" s="1"/>
      <c r="U14" s="39"/>
      <c r="V14" s="8"/>
      <c r="W14" s="9"/>
      <c r="X14" s="36" t="s">
        <v>59</v>
      </c>
      <c r="Y14" s="8">
        <f>Y12*Y11</f>
        <v>17.60233934648922</v>
      </c>
      <c r="Z14" s="9" t="s">
        <v>10</v>
      </c>
    </row>
    <row r="15" spans="1:27" x14ac:dyDescent="0.2">
      <c r="M15" s="13"/>
      <c r="P15" s="1"/>
    </row>
    <row r="16" spans="1:27" x14ac:dyDescent="0.2">
      <c r="M16" s="1"/>
      <c r="P16" s="1"/>
    </row>
    <row r="17" spans="5:27" x14ac:dyDescent="0.2">
      <c r="M17" s="1"/>
      <c r="P17" s="1"/>
    </row>
    <row r="18" spans="5:27" x14ac:dyDescent="0.2">
      <c r="E18" s="13" t="s">
        <v>4</v>
      </c>
      <c r="F18" s="2">
        <f>COS(I13)</f>
        <v>-0.18830659366985952</v>
      </c>
      <c r="G18" s="4">
        <f>SIN(I13)/I14</f>
        <v>5.5794305134233245E-2</v>
      </c>
      <c r="H18" s="11">
        <v>0</v>
      </c>
      <c r="I18" s="11">
        <v>0</v>
      </c>
      <c r="J18" s="11">
        <v>0</v>
      </c>
      <c r="K18" s="4">
        <v>0</v>
      </c>
      <c r="M18" s="13" t="s">
        <v>4</v>
      </c>
      <c r="N18" s="2">
        <f>COS(Q5)</f>
        <v>1</v>
      </c>
      <c r="O18" s="4">
        <f>Q3</f>
        <v>0.01</v>
      </c>
      <c r="P18" s="11">
        <v>0</v>
      </c>
      <c r="Q18" s="11">
        <v>0</v>
      </c>
      <c r="R18" s="11">
        <v>0</v>
      </c>
      <c r="S18" s="20">
        <f>N14*(1-COS(Q5))/N7</f>
        <v>0</v>
      </c>
      <c r="U18" s="13" t="s">
        <v>4</v>
      </c>
      <c r="V18" s="2">
        <f>COSH(Y13)</f>
        <v>2.9929009526178763</v>
      </c>
      <c r="W18" s="4">
        <f>SINH(Y13)/Y14</f>
        <v>0.16025689971174331</v>
      </c>
      <c r="X18" s="11">
        <v>0</v>
      </c>
      <c r="Y18" s="11">
        <v>0</v>
      </c>
      <c r="Z18" s="11">
        <v>0</v>
      </c>
      <c r="AA18" s="4">
        <v>0</v>
      </c>
    </row>
    <row r="19" spans="5:27" x14ac:dyDescent="0.2">
      <c r="E19" s="1"/>
      <c r="F19" s="18">
        <f>-SIN(I13)*I14</f>
        <v>-17.287438645573335</v>
      </c>
      <c r="G19" s="9">
        <f>COS(I13)</f>
        <v>-0.18830659366985952</v>
      </c>
      <c r="H19">
        <v>0</v>
      </c>
      <c r="I19">
        <v>0</v>
      </c>
      <c r="J19">
        <v>0</v>
      </c>
      <c r="K19" s="6">
        <v>0</v>
      </c>
      <c r="M19" s="1"/>
      <c r="N19" s="18">
        <v>0</v>
      </c>
      <c r="O19" s="9">
        <f>COS(Q5)</f>
        <v>1</v>
      </c>
      <c r="P19">
        <v>0</v>
      </c>
      <c r="Q19">
        <v>0</v>
      </c>
      <c r="R19">
        <v>0</v>
      </c>
      <c r="S19" s="21">
        <f>SIN(Q5)/N7</f>
        <v>0</v>
      </c>
      <c r="U19" s="1"/>
      <c r="V19" s="18">
        <f>SINH(Y13)*Y14</f>
        <v>49.654374485555351</v>
      </c>
      <c r="W19" s="9">
        <f>COSH(Y13)</f>
        <v>2.9929009526178763</v>
      </c>
      <c r="X19">
        <v>0</v>
      </c>
      <c r="Y19">
        <v>0</v>
      </c>
      <c r="Z19">
        <v>0</v>
      </c>
      <c r="AA19" s="6">
        <v>0</v>
      </c>
    </row>
    <row r="20" spans="5:27" x14ac:dyDescent="0.2">
      <c r="E20" s="1"/>
      <c r="F20" s="12">
        <v>0</v>
      </c>
      <c r="G20">
        <v>0</v>
      </c>
      <c r="H20" s="2">
        <f>COSH(I13)</f>
        <v>2.9929009526178763</v>
      </c>
      <c r="I20" s="4">
        <f>SINH(I13)/I14</f>
        <v>0.16025689971174331</v>
      </c>
      <c r="J20">
        <v>0</v>
      </c>
      <c r="K20" s="6">
        <v>0</v>
      </c>
      <c r="M20" s="1"/>
      <c r="N20" s="12">
        <v>0</v>
      </c>
      <c r="O20">
        <v>0</v>
      </c>
      <c r="P20" s="2">
        <v>1</v>
      </c>
      <c r="Q20" s="4">
        <f>Q3</f>
        <v>0.01</v>
      </c>
      <c r="R20">
        <v>0</v>
      </c>
      <c r="S20" s="21">
        <v>0</v>
      </c>
      <c r="U20" s="1"/>
      <c r="V20" s="12">
        <v>0</v>
      </c>
      <c r="W20">
        <v>0</v>
      </c>
      <c r="X20" s="2">
        <f>COS(Y13)</f>
        <v>-0.18830659366985952</v>
      </c>
      <c r="Y20" s="4">
        <f>SIN(Y13)/Y14</f>
        <v>5.5794305134233245E-2</v>
      </c>
      <c r="Z20">
        <v>0</v>
      </c>
      <c r="AA20" s="6">
        <v>0</v>
      </c>
    </row>
    <row r="21" spans="5:27" x14ac:dyDescent="0.2">
      <c r="E21" s="1"/>
      <c r="F21" s="12">
        <v>0</v>
      </c>
      <c r="G21">
        <v>0</v>
      </c>
      <c r="H21" s="18">
        <f>SINH(I13)*I14</f>
        <v>49.654374485555351</v>
      </c>
      <c r="I21" s="9">
        <f>COSH(I13)</f>
        <v>2.9929009526178763</v>
      </c>
      <c r="J21">
        <v>0</v>
      </c>
      <c r="K21" s="6">
        <v>0</v>
      </c>
      <c r="M21" s="1"/>
      <c r="N21" s="12">
        <v>0</v>
      </c>
      <c r="O21">
        <v>0</v>
      </c>
      <c r="P21" s="18">
        <v>0</v>
      </c>
      <c r="Q21" s="9">
        <v>1</v>
      </c>
      <c r="R21">
        <v>0</v>
      </c>
      <c r="S21" s="21">
        <v>0</v>
      </c>
      <c r="U21" s="1"/>
      <c r="V21" s="12">
        <v>0</v>
      </c>
      <c r="W21">
        <v>0</v>
      </c>
      <c r="X21" s="18">
        <f>-SIN(Y13)*Y14</f>
        <v>-17.287438645573335</v>
      </c>
      <c r="Y21" s="9">
        <f>COS(Y13)</f>
        <v>-0.18830659366985952</v>
      </c>
      <c r="Z21">
        <v>0</v>
      </c>
      <c r="AA21" s="6">
        <v>0</v>
      </c>
    </row>
    <row r="22" spans="5:27" x14ac:dyDescent="0.2">
      <c r="E22" s="1"/>
      <c r="F22" s="12">
        <v>0</v>
      </c>
      <c r="G22">
        <v>0</v>
      </c>
      <c r="H22">
        <v>0</v>
      </c>
      <c r="I22">
        <v>0</v>
      </c>
      <c r="J22" s="2">
        <v>1</v>
      </c>
      <c r="K22" s="4">
        <f>I3/F6^2</f>
        <v>2.3209438578128516</v>
      </c>
      <c r="M22" s="1"/>
      <c r="N22" s="12">
        <f>-SIN(Q5)/N7</f>
        <v>0</v>
      </c>
      <c r="O22">
        <f>-(N14/N7)*(1-COS(Q5))</f>
        <v>0</v>
      </c>
      <c r="P22">
        <v>0</v>
      </c>
      <c r="Q22">
        <v>0</v>
      </c>
      <c r="R22" s="20">
        <v>1</v>
      </c>
      <c r="S22" s="20">
        <f>Q3/N6^2</f>
        <v>0.23209438578128516</v>
      </c>
      <c r="U22" s="1"/>
      <c r="V22" s="12">
        <v>0</v>
      </c>
      <c r="W22">
        <v>0</v>
      </c>
      <c r="X22">
        <v>0</v>
      </c>
      <c r="Y22">
        <v>0</v>
      </c>
      <c r="Z22" s="2">
        <v>1</v>
      </c>
      <c r="AA22" s="4">
        <f>Y3/V6^2</f>
        <v>2.3209438578128516</v>
      </c>
    </row>
    <row r="23" spans="5:27" x14ac:dyDescent="0.2">
      <c r="E23" s="1"/>
      <c r="F23" s="18">
        <v>0</v>
      </c>
      <c r="G23" s="8">
        <v>0</v>
      </c>
      <c r="H23" s="8">
        <v>0</v>
      </c>
      <c r="I23" s="8">
        <v>0</v>
      </c>
      <c r="J23" s="18">
        <v>0</v>
      </c>
      <c r="K23" s="9">
        <v>1</v>
      </c>
      <c r="M23" s="1"/>
      <c r="N23" s="18">
        <v>0</v>
      </c>
      <c r="O23" s="8">
        <v>0</v>
      </c>
      <c r="P23" s="8">
        <v>0</v>
      </c>
      <c r="Q23" s="8">
        <v>0</v>
      </c>
      <c r="R23" s="22">
        <v>0</v>
      </c>
      <c r="S23" s="22">
        <v>1</v>
      </c>
      <c r="U23" s="1"/>
      <c r="V23" s="18">
        <v>0</v>
      </c>
      <c r="W23" s="8">
        <v>0</v>
      </c>
      <c r="X23" s="8">
        <v>0</v>
      </c>
      <c r="Y23" s="8">
        <v>0</v>
      </c>
      <c r="Z23" s="18">
        <v>0</v>
      </c>
      <c r="AA23" s="9">
        <v>1</v>
      </c>
    </row>
    <row r="24" spans="5:27" x14ac:dyDescent="0.2">
      <c r="U24" s="1"/>
    </row>
    <row r="27" spans="5:27" x14ac:dyDescent="0.2">
      <c r="G27" s="54" t="s">
        <v>66</v>
      </c>
      <c r="H27" s="55"/>
      <c r="I27" s="55"/>
      <c r="J27" s="55"/>
      <c r="K27" s="55"/>
      <c r="L27" s="56"/>
      <c r="R27" s="54" t="s">
        <v>65</v>
      </c>
      <c r="S27" s="55"/>
      <c r="T27" s="55"/>
      <c r="U27" s="55"/>
      <c r="V27" s="55"/>
      <c r="W27" s="56"/>
    </row>
    <row r="28" spans="5:27" x14ac:dyDescent="0.2">
      <c r="G28" s="2" cm="1">
        <f t="array" ref="G28:L33">MMULT(N18:S23,F18:K23)</f>
        <v>-0.36118098012559285</v>
      </c>
      <c r="H28" s="4">
        <v>5.3911239197534648E-2</v>
      </c>
      <c r="I28" s="11">
        <v>0</v>
      </c>
      <c r="J28" s="11">
        <v>0</v>
      </c>
      <c r="K28" s="11">
        <v>0</v>
      </c>
      <c r="L28" s="4">
        <v>0</v>
      </c>
      <c r="R28" s="2" cm="1">
        <f t="array" ref="R28:W33">MMULT(N18:S23,V18:AA23)</f>
        <v>3.4894446974734299</v>
      </c>
      <c r="S28" s="4">
        <v>0.19018590923792209</v>
      </c>
      <c r="T28" s="11">
        <v>0</v>
      </c>
      <c r="U28" s="11">
        <v>0</v>
      </c>
      <c r="V28" s="11">
        <v>0</v>
      </c>
      <c r="W28" s="4">
        <v>0</v>
      </c>
    </row>
    <row r="29" spans="5:27" x14ac:dyDescent="0.2">
      <c r="G29" s="18">
        <v>-17.287438645573335</v>
      </c>
      <c r="H29" s="9">
        <v>-0.18830659366985952</v>
      </c>
      <c r="I29" s="52">
        <v>0</v>
      </c>
      <c r="J29" s="52">
        <v>0</v>
      </c>
      <c r="K29" s="52">
        <v>0</v>
      </c>
      <c r="L29" s="6">
        <v>0</v>
      </c>
      <c r="R29" s="18">
        <v>49.654374485555351</v>
      </c>
      <c r="S29" s="9">
        <v>2.9929009526178763</v>
      </c>
      <c r="T29" s="52">
        <v>0</v>
      </c>
      <c r="U29" s="52">
        <v>0</v>
      </c>
      <c r="V29" s="52">
        <v>0</v>
      </c>
      <c r="W29" s="6">
        <v>0</v>
      </c>
    </row>
    <row r="30" spans="5:27" x14ac:dyDescent="0.2">
      <c r="G30" s="12">
        <v>0</v>
      </c>
      <c r="H30" s="52">
        <v>0</v>
      </c>
      <c r="I30" s="2">
        <v>3.4894446974734299</v>
      </c>
      <c r="J30" s="4">
        <v>0.19018590923792209</v>
      </c>
      <c r="K30" s="52">
        <v>0</v>
      </c>
      <c r="L30" s="6">
        <v>0</v>
      </c>
      <c r="R30" s="12">
        <v>0</v>
      </c>
      <c r="S30" s="52">
        <v>0</v>
      </c>
      <c r="T30" s="2">
        <v>-0.36118098012559285</v>
      </c>
      <c r="U30" s="4">
        <v>5.3911239197534648E-2</v>
      </c>
      <c r="V30" s="52">
        <v>0</v>
      </c>
      <c r="W30" s="6">
        <v>0</v>
      </c>
    </row>
    <row r="31" spans="5:27" x14ac:dyDescent="0.2">
      <c r="G31" s="12">
        <v>0</v>
      </c>
      <c r="H31" s="52">
        <v>0</v>
      </c>
      <c r="I31" s="18">
        <v>49.654374485555351</v>
      </c>
      <c r="J31" s="9">
        <v>2.9929009526178763</v>
      </c>
      <c r="K31" s="52">
        <v>0</v>
      </c>
      <c r="L31" s="6">
        <v>0</v>
      </c>
      <c r="R31" s="12">
        <v>0</v>
      </c>
      <c r="S31" s="52">
        <v>0</v>
      </c>
      <c r="T31" s="18">
        <v>-17.287438645573335</v>
      </c>
      <c r="U31" s="9">
        <v>-0.18830659366985952</v>
      </c>
      <c r="V31" s="52">
        <v>0</v>
      </c>
      <c r="W31" s="6">
        <v>0</v>
      </c>
    </row>
    <row r="32" spans="5:27" x14ac:dyDescent="0.2">
      <c r="G32" s="12">
        <v>0</v>
      </c>
      <c r="H32" s="52">
        <v>0</v>
      </c>
      <c r="I32" s="52">
        <v>0</v>
      </c>
      <c r="J32" s="52">
        <v>0</v>
      </c>
      <c r="K32" s="2">
        <v>1</v>
      </c>
      <c r="L32" s="4">
        <v>2.5530382435941368</v>
      </c>
      <c r="R32" s="12">
        <v>0</v>
      </c>
      <c r="S32" s="52">
        <v>0</v>
      </c>
      <c r="T32" s="52">
        <v>0</v>
      </c>
      <c r="U32" s="52">
        <v>0</v>
      </c>
      <c r="V32" s="2">
        <v>1</v>
      </c>
      <c r="W32" s="4">
        <v>2.5530382435941368</v>
      </c>
    </row>
    <row r="33" spans="5:23" x14ac:dyDescent="0.2">
      <c r="G33" s="18">
        <v>0</v>
      </c>
      <c r="H33" s="8">
        <v>0</v>
      </c>
      <c r="I33" s="8">
        <v>0</v>
      </c>
      <c r="J33" s="8">
        <v>0</v>
      </c>
      <c r="K33" s="18">
        <v>0</v>
      </c>
      <c r="L33" s="9">
        <v>1</v>
      </c>
      <c r="R33" s="18">
        <v>0</v>
      </c>
      <c r="S33" s="8">
        <v>0</v>
      </c>
      <c r="T33" s="8">
        <v>0</v>
      </c>
      <c r="U33" s="8">
        <v>0</v>
      </c>
      <c r="V33" s="18">
        <v>0</v>
      </c>
      <c r="W33" s="9">
        <v>1</v>
      </c>
    </row>
    <row r="37" spans="5:23" x14ac:dyDescent="0.2">
      <c r="G37" s="54" t="s">
        <v>67</v>
      </c>
      <c r="H37" s="55"/>
      <c r="I37" s="55"/>
      <c r="J37" s="55"/>
      <c r="K37" s="55"/>
      <c r="L37" s="56"/>
      <c r="R37" s="54" t="s">
        <v>68</v>
      </c>
      <c r="S37" s="55"/>
      <c r="T37" s="55"/>
      <c r="U37" s="55"/>
      <c r="V37" s="55"/>
      <c r="W37" s="56"/>
    </row>
    <row r="38" spans="5:23" x14ac:dyDescent="0.2">
      <c r="G38" s="2" cm="1">
        <f t="array" ref="G38:L43">MMULT(V18:AA23,G28:L33)</f>
        <v>-3.851410220781907</v>
      </c>
      <c r="H38" s="4">
        <v>0.13117356825430096</v>
      </c>
      <c r="I38" s="11">
        <v>0</v>
      </c>
      <c r="J38" s="11">
        <v>0</v>
      </c>
      <c r="K38" s="11">
        <v>0</v>
      </c>
      <c r="L38" s="4">
        <v>0</v>
      </c>
      <c r="R38" s="2" cm="1">
        <f t="array" ref="R38:W43">MMULT(F18:K23,R28:W33)</f>
        <v>2.1133458765159863</v>
      </c>
      <c r="S38" s="4">
        <v>0.13117356825430099</v>
      </c>
      <c r="T38" s="11">
        <v>0</v>
      </c>
      <c r="U38" s="11">
        <v>0</v>
      </c>
      <c r="V38" s="11">
        <v>0</v>
      </c>
      <c r="W38" s="4">
        <v>0</v>
      </c>
    </row>
    <row r="39" spans="5:23" x14ac:dyDescent="0.2">
      <c r="G39" s="18">
        <v>-69.673807234875639</v>
      </c>
      <c r="H39" s="9">
        <v>2.1133458765159863</v>
      </c>
      <c r="I39" s="52">
        <v>0</v>
      </c>
      <c r="J39" s="52">
        <v>0</v>
      </c>
      <c r="K39" s="52">
        <v>0</v>
      </c>
      <c r="L39" s="6">
        <v>0</v>
      </c>
      <c r="R39" s="18">
        <v>-69.673807234875639</v>
      </c>
      <c r="S39" s="9">
        <v>-3.851410220781907</v>
      </c>
      <c r="T39" s="52">
        <v>0</v>
      </c>
      <c r="U39" s="52">
        <v>0</v>
      </c>
      <c r="V39" s="52">
        <v>0</v>
      </c>
      <c r="W39" s="6">
        <v>0</v>
      </c>
    </row>
    <row r="40" spans="5:23" x14ac:dyDescent="0.2">
      <c r="G40" s="12">
        <v>0</v>
      </c>
      <c r="H40" s="52">
        <v>0</v>
      </c>
      <c r="I40" s="2">
        <v>2.1133458765159863</v>
      </c>
      <c r="J40" s="4">
        <v>0.13117356825430099</v>
      </c>
      <c r="K40" s="52">
        <v>0</v>
      </c>
      <c r="L40" s="6">
        <v>0</v>
      </c>
      <c r="R40" s="12">
        <v>0</v>
      </c>
      <c r="S40" s="52">
        <v>0</v>
      </c>
      <c r="T40" s="2">
        <v>-3.851410220781907</v>
      </c>
      <c r="U40" s="4">
        <v>0.13117356825430096</v>
      </c>
      <c r="V40" s="52">
        <v>0</v>
      </c>
      <c r="W40" s="6">
        <v>0</v>
      </c>
    </row>
    <row r="41" spans="5:23" x14ac:dyDescent="0.2">
      <c r="G41" s="12">
        <v>0</v>
      </c>
      <c r="H41" s="52">
        <v>0</v>
      </c>
      <c r="I41" s="18">
        <v>-69.673807234875639</v>
      </c>
      <c r="J41" s="9">
        <v>-3.851410220781907</v>
      </c>
      <c r="K41" s="52">
        <v>0</v>
      </c>
      <c r="L41" s="6">
        <v>0</v>
      </c>
      <c r="R41" s="12">
        <v>0</v>
      </c>
      <c r="S41" s="52">
        <v>0</v>
      </c>
      <c r="T41" s="18">
        <v>-69.673807234875639</v>
      </c>
      <c r="U41" s="9">
        <v>2.1133458765159863</v>
      </c>
      <c r="V41" s="52">
        <v>0</v>
      </c>
      <c r="W41" s="6">
        <v>0</v>
      </c>
    </row>
    <row r="42" spans="5:23" x14ac:dyDescent="0.2">
      <c r="G42" s="12">
        <v>0</v>
      </c>
      <c r="H42" s="52">
        <v>0</v>
      </c>
      <c r="I42" s="52">
        <v>0</v>
      </c>
      <c r="J42" s="52">
        <v>0</v>
      </c>
      <c r="K42" s="2">
        <v>1</v>
      </c>
      <c r="L42" s="4">
        <v>4.8739821014069884</v>
      </c>
      <c r="R42" s="12">
        <v>0</v>
      </c>
      <c r="S42" s="52">
        <v>0</v>
      </c>
      <c r="T42" s="52">
        <v>0</v>
      </c>
      <c r="U42" s="52">
        <v>0</v>
      </c>
      <c r="V42" s="2">
        <v>1</v>
      </c>
      <c r="W42" s="4">
        <v>4.8739821014069884</v>
      </c>
    </row>
    <row r="43" spans="5:23" x14ac:dyDescent="0.2">
      <c r="G43" s="18">
        <v>0</v>
      </c>
      <c r="H43" s="8">
        <v>0</v>
      </c>
      <c r="I43" s="8">
        <v>0</v>
      </c>
      <c r="J43" s="8">
        <v>0</v>
      </c>
      <c r="K43" s="18">
        <v>0</v>
      </c>
      <c r="L43" s="9">
        <v>1</v>
      </c>
      <c r="R43" s="18">
        <v>0</v>
      </c>
      <c r="S43" s="8">
        <v>0</v>
      </c>
      <c r="T43" s="8">
        <v>0</v>
      </c>
      <c r="U43" s="8">
        <v>0</v>
      </c>
      <c r="V43" s="18">
        <v>0</v>
      </c>
      <c r="W43" s="9">
        <v>1</v>
      </c>
    </row>
    <row r="46" spans="5:23" x14ac:dyDescent="0.2">
      <c r="E46" s="1"/>
    </row>
    <row r="47" spans="5:23" x14ac:dyDescent="0.2">
      <c r="E47" s="13" t="s">
        <v>11</v>
      </c>
      <c r="F47" s="20">
        <v>0.5</v>
      </c>
      <c r="G47" s="40" t="s">
        <v>12</v>
      </c>
      <c r="H47" s="20">
        <f t="array" ref="H47:H52">MMULT(_xlfn.ANCHORARRAY(G38),F47:F52)</f>
        <v>-1.9125877535655234</v>
      </c>
      <c r="I47" s="40" t="s">
        <v>13</v>
      </c>
      <c r="J47" s="20">
        <f>F$47*G38+F$48*H38+F$49*I38+F$50*J38+F$51*K38+F$52*L38</f>
        <v>-1.9125877535655234</v>
      </c>
      <c r="K47" s="13" t="s">
        <v>60</v>
      </c>
      <c r="L47" s="20">
        <f t="shared" ref="L47:L52" si="2">H47-J47</f>
        <v>0</v>
      </c>
      <c r="M47" s="52"/>
      <c r="N47" s="52"/>
      <c r="O47" s="52"/>
      <c r="P47" s="13" t="s">
        <v>11</v>
      </c>
      <c r="Q47" s="20">
        <v>0.5</v>
      </c>
      <c r="R47" s="40" t="s">
        <v>12</v>
      </c>
      <c r="S47" s="20">
        <f t="array" ref="S47:S52">MMULT(R38:W43,Q47:Q52)</f>
        <v>1.0697902950834233</v>
      </c>
      <c r="T47" s="40" t="s">
        <v>13</v>
      </c>
      <c r="U47" s="20">
        <f>Q$47*R38+Q$48*S38+Q$49*T38+Q$50*U38+Q$51*V38+Q$52*W38</f>
        <v>1.0697902950834233</v>
      </c>
      <c r="V47" s="13" t="s">
        <v>60</v>
      </c>
      <c r="W47" s="20">
        <f t="shared" ref="W47:W52" si="3">S47-U47</f>
        <v>0</v>
      </c>
    </row>
    <row r="48" spans="5:23" x14ac:dyDescent="0.2">
      <c r="E48" s="1"/>
      <c r="F48" s="21">
        <v>0.1</v>
      </c>
      <c r="H48" s="21">
        <v>-34.62556902978622</v>
      </c>
      <c r="J48" s="21">
        <f t="shared" ref="J48:J52" si="4">F$47*G39+F$48*H39+F$49*I39+F$50*J39+F$51*K39+F$52*L39</f>
        <v>-34.62556902978622</v>
      </c>
      <c r="L48" s="21">
        <f t="shared" si="2"/>
        <v>0</v>
      </c>
      <c r="M48" s="52"/>
      <c r="N48" s="52"/>
      <c r="O48" s="52"/>
      <c r="P48" s="1"/>
      <c r="Q48" s="21">
        <v>0.1</v>
      </c>
      <c r="S48" s="21">
        <v>-35.222044639516007</v>
      </c>
      <c r="U48" s="21">
        <f t="shared" ref="U48:U52" si="5">Q$47*R39+Q$48*S39+Q$49*T39+Q$50*U39+Q$51*V39+Q$52*W39</f>
        <v>-35.222044639516007</v>
      </c>
      <c r="W48" s="21">
        <f t="shared" si="3"/>
        <v>0</v>
      </c>
    </row>
    <row r="49" spans="5:23" x14ac:dyDescent="0.2">
      <c r="E49" s="1"/>
      <c r="F49" s="21">
        <v>-0.3</v>
      </c>
      <c r="H49" s="21">
        <v>-0.66023847660565604</v>
      </c>
      <c r="J49" s="21">
        <f t="shared" si="4"/>
        <v>-0.66023847660565604</v>
      </c>
      <c r="L49" s="21">
        <f t="shared" si="2"/>
        <v>0</v>
      </c>
      <c r="M49" s="52"/>
      <c r="N49" s="52"/>
      <c r="O49" s="52"/>
      <c r="P49" s="1"/>
      <c r="Q49" s="21">
        <v>-0.3</v>
      </c>
      <c r="S49" s="21">
        <v>1.1291883525837119</v>
      </c>
      <c r="U49" s="21">
        <f t="shared" si="5"/>
        <v>1.1291883525837119</v>
      </c>
      <c r="W49" s="21">
        <f t="shared" si="3"/>
        <v>0</v>
      </c>
    </row>
    <row r="50" spans="5:23" x14ac:dyDescent="0.2">
      <c r="E50" s="1"/>
      <c r="F50" s="21">
        <v>-0.2</v>
      </c>
      <c r="H50" s="21">
        <v>21.672424214619074</v>
      </c>
      <c r="J50" s="21">
        <f t="shared" si="4"/>
        <v>21.672424214619074</v>
      </c>
      <c r="L50" s="21">
        <f t="shared" si="2"/>
        <v>0</v>
      </c>
      <c r="M50" s="52"/>
      <c r="N50" s="52"/>
      <c r="O50" s="52"/>
      <c r="P50" s="1"/>
      <c r="Q50" s="21">
        <v>-0.2</v>
      </c>
      <c r="S50" s="21">
        <v>20.479472995159494</v>
      </c>
      <c r="U50" s="21">
        <f t="shared" si="5"/>
        <v>20.479472995159494</v>
      </c>
      <c r="W50" s="21">
        <f t="shared" si="3"/>
        <v>0</v>
      </c>
    </row>
    <row r="51" spans="5:23" x14ac:dyDescent="0.2">
      <c r="E51" s="1"/>
      <c r="F51" s="21">
        <v>0.1</v>
      </c>
      <c r="H51" s="21">
        <v>2.5369910507034943</v>
      </c>
      <c r="J51" s="21">
        <f t="shared" si="4"/>
        <v>2.5369910507034943</v>
      </c>
      <c r="L51" s="21">
        <f t="shared" si="2"/>
        <v>0</v>
      </c>
      <c r="M51" s="52"/>
      <c r="N51" s="52"/>
      <c r="O51" s="52"/>
      <c r="P51" s="1"/>
      <c r="Q51" s="21">
        <v>0.1</v>
      </c>
      <c r="S51" s="21">
        <v>2.5369910507034943</v>
      </c>
      <c r="U51" s="21">
        <f t="shared" si="5"/>
        <v>2.5369910507034943</v>
      </c>
      <c r="W51" s="21">
        <f t="shared" si="3"/>
        <v>0</v>
      </c>
    </row>
    <row r="52" spans="5:23" x14ac:dyDescent="0.2">
      <c r="E52" s="1"/>
      <c r="F52" s="22">
        <v>0.5</v>
      </c>
      <c r="H52" s="22">
        <v>0.5</v>
      </c>
      <c r="J52" s="22">
        <f t="shared" si="4"/>
        <v>0.5</v>
      </c>
      <c r="L52" s="22">
        <f t="shared" si="2"/>
        <v>0</v>
      </c>
      <c r="M52" s="52"/>
      <c r="N52" s="52"/>
      <c r="O52" s="52"/>
      <c r="P52" s="1"/>
      <c r="Q52" s="22">
        <v>0.5</v>
      </c>
      <c r="S52" s="22">
        <v>0.5</v>
      </c>
      <c r="U52" s="22">
        <f t="shared" si="5"/>
        <v>0.5</v>
      </c>
      <c r="W52" s="22">
        <f t="shared" si="3"/>
        <v>0</v>
      </c>
    </row>
  </sheetData>
  <mergeCells count="15">
    <mergeCell ref="G37:L37"/>
    <mergeCell ref="R37:W37"/>
    <mergeCell ref="M2:O2"/>
    <mergeCell ref="M10:O10"/>
    <mergeCell ref="M1:S1"/>
    <mergeCell ref="R27:W27"/>
    <mergeCell ref="G27:L27"/>
    <mergeCell ref="U2:W2"/>
    <mergeCell ref="U10:W10"/>
    <mergeCell ref="X10:Z10"/>
    <mergeCell ref="U1:AA1"/>
    <mergeCell ref="E1:K1"/>
    <mergeCell ref="E2:G2"/>
    <mergeCell ref="E10:G10"/>
    <mergeCell ref="H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Kenneth Long</cp:lastModifiedBy>
  <dcterms:created xsi:type="dcterms:W3CDTF">2023-08-07T07:21:12Z</dcterms:created>
  <dcterms:modified xsi:type="dcterms:W3CDTF">2024-01-20T14:45:08Z</dcterms:modified>
</cp:coreProperties>
</file>