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1B7B6397-85E8-2443-AC2E-E4CF50709287}" xr6:coauthVersionLast="47" xr6:coauthVersionMax="47" xr10:uidLastSave="{00000000-0000-0000-0000-000000000000}"/>
  <bookViews>
    <workbookView xWindow="0" yWindow="640" windowWidth="30240" windowHeight="19000" activeTab="1" xr2:uid="{008B2FEE-BD6E-8742-A59F-ADD463C42F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5" i="2" l="1"/>
  <c r="V25" i="2"/>
  <c r="F25" i="2"/>
  <c r="AG20" i="2"/>
  <c r="AE19" i="2"/>
  <c r="AE18" i="2"/>
  <c r="AD18" i="2"/>
  <c r="V8" i="2"/>
  <c r="AD8" i="2" s="1"/>
  <c r="AL8" i="2" s="1"/>
  <c r="V3" i="2"/>
  <c r="AD3" i="2" s="1"/>
  <c r="AL3" i="2" s="1"/>
  <c r="N8" i="2"/>
  <c r="N3" i="2"/>
  <c r="Q20" i="2"/>
  <c r="O19" i="2"/>
  <c r="O18" i="2"/>
  <c r="N18" i="2"/>
  <c r="F4" i="2" l="1"/>
  <c r="B4" i="2"/>
  <c r="B5" i="2" s="1"/>
  <c r="E21" i="1"/>
  <c r="C19" i="1"/>
  <c r="B5" i="1"/>
  <c r="N4" i="2" l="1"/>
  <c r="V4" i="2"/>
  <c r="AD4" i="2" s="1"/>
  <c r="AL4" i="2" s="1"/>
  <c r="F5" i="2"/>
  <c r="L4" i="1"/>
  <c r="L5" i="1" s="1"/>
  <c r="V5" i="2" l="1"/>
  <c r="AD5" i="2" s="1"/>
  <c r="AL5" i="2" s="1"/>
  <c r="AL11" i="2" s="1"/>
  <c r="AL12" i="2" s="1"/>
  <c r="AO6" i="2" s="1"/>
  <c r="AO7" i="2" s="1"/>
  <c r="AO12" i="2" s="1"/>
  <c r="N5" i="2"/>
  <c r="F7" i="2"/>
  <c r="F6" i="2"/>
  <c r="F11" i="2"/>
  <c r="B6" i="1"/>
  <c r="AO14" i="2" l="1"/>
  <c r="AO13" i="2"/>
  <c r="F12" i="2"/>
  <c r="V11" i="2"/>
  <c r="AD11" i="2" s="1"/>
  <c r="N11" i="2"/>
  <c r="K22" i="2"/>
  <c r="N6" i="2"/>
  <c r="S22" i="2" s="1"/>
  <c r="V6" i="2"/>
  <c r="N7" i="2"/>
  <c r="V7" i="2"/>
  <c r="AD7" i="2" s="1"/>
  <c r="H6" i="1"/>
  <c r="E6" i="1"/>
  <c r="E10" i="1" s="1"/>
  <c r="E7" i="1"/>
  <c r="E8" i="1" s="1"/>
  <c r="AI18" i="2" l="1"/>
  <c r="AL7" i="2"/>
  <c r="AI19" i="2"/>
  <c r="AD22" i="2"/>
  <c r="AE22" i="2"/>
  <c r="AA22" i="2"/>
  <c r="AD6" i="2"/>
  <c r="AL18" i="2"/>
  <c r="AO21" i="2"/>
  <c r="AN21" i="2"/>
  <c r="AO20" i="2"/>
  <c r="AN20" i="2"/>
  <c r="AM19" i="2"/>
  <c r="AL19" i="2"/>
  <c r="AM18" i="2"/>
  <c r="S19" i="2"/>
  <c r="O22" i="2"/>
  <c r="N22" i="2"/>
  <c r="S18" i="2"/>
  <c r="I6" i="2"/>
  <c r="I7" i="2" s="1"/>
  <c r="I12" i="2" s="1"/>
  <c r="V12" i="2"/>
  <c r="N12" i="2"/>
  <c r="E11" i="1"/>
  <c r="H7" i="1"/>
  <c r="H8" i="1" s="1"/>
  <c r="H10" i="1"/>
  <c r="H11" i="1" s="1"/>
  <c r="AI22" i="2" l="1"/>
  <c r="AL6" i="2"/>
  <c r="AQ22" i="2" s="1"/>
  <c r="Y6" i="2"/>
  <c r="Y7" i="2" s="1"/>
  <c r="Y12" i="2" s="1"/>
  <c r="AD12" i="2"/>
  <c r="AH28" i="2" a="1"/>
  <c r="AH28" i="2" s="1"/>
  <c r="I14" i="2"/>
  <c r="I13" i="2"/>
  <c r="Y14" i="2"/>
  <c r="Y13" i="2"/>
  <c r="C20" i="1"/>
  <c r="E22" i="1"/>
  <c r="B19" i="1"/>
  <c r="D21" i="1"/>
  <c r="H26" i="1" s="1"/>
  <c r="E16" i="1"/>
  <c r="H16" i="1"/>
  <c r="Y21" i="2" l="1"/>
  <c r="Y20" i="2"/>
  <c r="X20" i="2"/>
  <c r="V18" i="2"/>
  <c r="X21" i="2"/>
  <c r="V19" i="2"/>
  <c r="W18" i="2"/>
  <c r="W19" i="2"/>
  <c r="F19" i="2"/>
  <c r="G19" i="2"/>
  <c r="F18" i="2"/>
  <c r="I20" i="2"/>
  <c r="H21" i="2"/>
  <c r="I21" i="2"/>
  <c r="G18" i="2"/>
  <c r="H20" i="2"/>
  <c r="D22" i="1"/>
  <c r="H27" i="1" s="1"/>
  <c r="H17" i="1"/>
  <c r="B20" i="1"/>
  <c r="H25" i="1" s="1"/>
  <c r="E17" i="1"/>
  <c r="H24" i="1"/>
  <c r="AA29" i="2" l="1" a="1"/>
  <c r="AA29" i="2" s="1"/>
  <c r="T30" i="2" s="1" a="1"/>
  <c r="T30" i="2" s="1"/>
  <c r="M31" i="2" s="1" a="1"/>
  <c r="E24" i="1" a="1"/>
  <c r="E24" i="1" s="1"/>
  <c r="K24" i="1" s="1"/>
  <c r="M31" i="2" l="1"/>
  <c r="X41" i="2"/>
  <c r="X42" i="2"/>
  <c r="X43" i="2"/>
  <c r="X44" i="2"/>
  <c r="X45" i="2"/>
  <c r="E25" i="1"/>
  <c r="K25" i="1" s="1"/>
  <c r="E26" i="1"/>
  <c r="K26" i="1" s="1"/>
  <c r="E27" i="1"/>
  <c r="K27" i="1" s="1"/>
  <c r="X40" i="2" l="1"/>
  <c r="V40" i="2" a="1"/>
  <c r="V40" i="2" l="1"/>
  <c r="Z40" i="2" s="1"/>
  <c r="V42" i="2"/>
  <c r="Z42" i="2" s="1"/>
  <c r="V41" i="2"/>
  <c r="Z41" i="2" s="1"/>
  <c r="V45" i="2"/>
  <c r="Z45" i="2" s="1"/>
  <c r="V44" i="2"/>
  <c r="Z44" i="2" s="1"/>
  <c r="V43" i="2"/>
  <c r="Z4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<sst xmlns="http://schemas.openxmlformats.org/spreadsheetml/2006/main" count="201" uniqueCount="68">
  <si>
    <t>p</t>
  </si>
  <si>
    <t>MeV</t>
  </si>
  <si>
    <t>Brho</t>
  </si>
  <si>
    <t>Tm</t>
  </si>
  <si>
    <t>Transfer matrix</t>
  </si>
  <si>
    <t>Particle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</si>
  <si>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</si>
  <si>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</si>
  <si>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</si>
  <si>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</si>
  <si>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</si>
  <si>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</si>
  <si>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</si>
  <si>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</si>
  <si>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</si>
  <si>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m/s</t>
  </si>
  <si>
    <t>1/c</t>
  </si>
  <si>
    <t>s/m</t>
  </si>
  <si>
    <t>K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</si>
  <si>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</si>
  <si>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</si>
  <si>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Focusing strength</t>
  </si>
  <si>
    <t>Gap</t>
  </si>
  <si>
    <t>f*</t>
  </si>
  <si>
    <r>
      <t>f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-1</t>
    </r>
  </si>
  <si>
    <r>
      <t>f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</si>
  <si>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1</t>
    </r>
  </si>
  <si>
    <r>
      <t>sqrt(k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</si>
  <si>
    <r>
      <t>sqrt(k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</si>
  <si>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k</t>
    </r>
    <r>
      <rPr>
        <vertAlign val="subscript"/>
        <sz val="12"/>
        <color theme="1"/>
        <rFont val="Calibri (Body)"/>
      </rPr>
      <t>2</t>
    </r>
  </si>
  <si>
    <t>Fquad</t>
  </si>
  <si>
    <t>Dquad</t>
  </si>
  <si>
    <r>
      <t>l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*sqrt(k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</si>
  <si>
    <r>
      <t>l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*sqrt(k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</si>
  <si>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l</t>
    </r>
    <r>
      <rPr>
        <vertAlign val="subscript"/>
        <sz val="12"/>
        <color theme="1"/>
        <rFont val="Calibri (Body)"/>
      </rPr>
      <t>2</t>
    </r>
  </si>
  <si>
    <r>
      <t>l</t>
    </r>
    <r>
      <rPr>
        <vertAlign val="subscript"/>
        <sz val="12"/>
        <color theme="1"/>
        <rFont val="Calibri (Body)"/>
      </rPr>
      <t>1</t>
    </r>
  </si>
  <si>
    <r>
      <t>1/c*10</t>
    </r>
    <r>
      <rPr>
        <vertAlign val="superscript"/>
        <sz val="12"/>
        <color theme="1"/>
        <rFont val="Calibri (Body)"/>
      </rPr>
      <t>9</t>
    </r>
  </si>
  <si>
    <r>
      <t>f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-1</t>
    </r>
  </si>
  <si>
    <r>
      <t>f</t>
    </r>
    <r>
      <rPr>
        <vertAlign val="subscript"/>
        <sz val="12"/>
        <color theme="1"/>
        <rFont val="Calibri (Body)"/>
      </rPr>
      <t>2</t>
    </r>
  </si>
  <si>
    <r>
      <t>f*</t>
    </r>
    <r>
      <rPr>
        <vertAlign val="superscript"/>
        <sz val="12"/>
        <color theme="1"/>
        <rFont val="Calibri (Body)"/>
      </rPr>
      <t>-1</t>
    </r>
  </si>
  <si>
    <t>FD doublet</t>
  </si>
  <si>
    <t>DF doublet</t>
  </si>
  <si>
    <t>Difference</t>
  </si>
  <si>
    <t>Reference particle</t>
  </si>
  <si>
    <t>Quadrupole</t>
  </si>
  <si>
    <t>Length</t>
  </si>
  <si>
    <r>
      <t>K</t>
    </r>
    <r>
      <rPr>
        <i/>
        <vertAlign val="subscript"/>
        <sz val="12"/>
        <color theme="1"/>
        <rFont val="Calibri (Body)"/>
      </rPr>
      <t>r</t>
    </r>
  </si>
  <si>
    <t>kFQ</t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</si>
  <si>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</si>
  <si>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</si>
  <si>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</si>
  <si>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</si>
  <si>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</si>
  <si>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t>Derived parameters</t>
  </si>
  <si>
    <t>E</t>
  </si>
  <si>
    <t>D</t>
  </si>
  <si>
    <t>sqrt(k/D)</t>
  </si>
  <si>
    <t>1/c*10^9</t>
  </si>
  <si>
    <t>l*sqrt(k/D)</t>
  </si>
  <si>
    <t>D*sqrt(k/D)</t>
  </si>
  <si>
    <t>Diff</t>
  </si>
  <si>
    <t>Focus quad</t>
  </si>
  <si>
    <t>Drift</t>
  </si>
  <si>
    <t>D*FQ</t>
  </si>
  <si>
    <t>DQ*D*FQ</t>
  </si>
  <si>
    <t>Defocus quad</t>
  </si>
  <si>
    <t>D*DQ*D*FQ</t>
  </si>
  <si>
    <t>FQ*D*DQ*D*FQ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</si>
</sst>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right"/>
    </xf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164" fontId="0" fillId="0" borderId="0" xfId="0" applyNumberFormat="1"/>
    <xf numFmtId="2" fontId="0" fillId="0" borderId="10" xfId="0" applyNumberFormat="1" applyBorder="1"/>
    <xf numFmtId="0" fontId="8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0" fillId="0" borderId="7" xfId="0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1" fillId="0" borderId="7" xfId="0" applyFont="1" applyBorder="1"/>
    <xf numFmtId="0" fontId="10" fillId="0" borderId="4" xfId="0" applyFont="1" applyBorder="1" applyAlignment="1">
      <alignment horizontal="right"/>
    </xf>
    <xf numFmtId="165" fontId="0" fillId="0" borderId="0" xfId="0" applyNumberFormat="1"/>
    <xf numFmtId="164" fontId="0" fillId="0" borderId="10" xfId="0" applyNumberFormat="1" applyBorder="1"/>
    <xf numFmtId="0" fontId="10" fillId="0" borderId="0" xfId="0" applyFont="1" applyAlignment="1">
      <alignment horizontal="right"/>
    </xf>
    <xf numFmtId="1" fontId="0" fillId="0" borderId="1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M27"/>
  <sheetViews>
    <sheetView zoomScale="125" zoomScaleNormal="125" workbookViewId="0">
      <selection activeCell="I4" sqref="I4"/>
    </sheetView>
  </sheetViews>
  <sheetFormatPr baseColWidth="10" defaultRowHeight="16" x14ac:dyDescent="0.2"/>
  <cols>
    <col min="1" max="1" width="17.33203125" style="1" customWidth="1"/>
  </cols>
  <sheetData>
    <row r="1" spans="1:13" ht="21" x14ac:dyDescent="0.25">
      <c r="A1" s="43" t="s">
        <v>21</v>
      </c>
      <c r="B1" s="44"/>
      <c r="C1" s="44"/>
      <c r="D1" s="44"/>
      <c r="E1" s="44"/>
      <c r="F1" s="44"/>
      <c r="G1" s="44"/>
      <c r="H1" s="44"/>
      <c r="I1" s="45"/>
    </row>
    <row r="2" spans="1:13" ht="20" x14ac:dyDescent="0.25">
      <c r="A2" s="10"/>
      <c r="B2" s="3" t="s">
        <v>5</v>
      </c>
      <c r="C2" s="11"/>
      <c r="D2" s="2"/>
      <c r="E2" s="3" t="s">
        <v>30</v>
      </c>
      <c r="F2" s="11"/>
      <c r="G2" s="11"/>
      <c r="H2" s="3" t="s">
        <v>31</v>
      </c>
      <c r="I2" s="4"/>
      <c r="K2" s="10" t="s">
        <v>19</v>
      </c>
      <c r="L2" s="11">
        <v>938.27208815999995</v>
      </c>
      <c r="M2" s="4" t="s">
        <v>20</v>
      </c>
    </row>
    <row r="3" spans="1:13" ht="18" x14ac:dyDescent="0.25">
      <c r="A3" s="5" t="s">
        <v>18</v>
      </c>
      <c r="B3" s="1">
        <v>12</v>
      </c>
      <c r="C3" t="s">
        <v>1</v>
      </c>
      <c r="D3" s="5" t="s">
        <v>35</v>
      </c>
      <c r="E3">
        <v>0.03</v>
      </c>
      <c r="F3" t="s">
        <v>6</v>
      </c>
      <c r="G3" s="1" t="s">
        <v>34</v>
      </c>
      <c r="H3">
        <v>0.03</v>
      </c>
      <c r="I3" s="6" t="s">
        <v>6</v>
      </c>
      <c r="K3" s="5" t="s">
        <v>14</v>
      </c>
      <c r="L3">
        <v>299792458</v>
      </c>
      <c r="M3" s="6" t="s">
        <v>15</v>
      </c>
    </row>
    <row r="4" spans="1:13" x14ac:dyDescent="0.2">
      <c r="A4" s="5"/>
      <c r="B4" s="17"/>
      <c r="D4" s="5" t="s">
        <v>7</v>
      </c>
      <c r="E4">
        <v>325</v>
      </c>
      <c r="F4" t="s">
        <v>8</v>
      </c>
      <c r="G4" s="1" t="s">
        <v>7</v>
      </c>
      <c r="H4">
        <v>325</v>
      </c>
      <c r="I4" s="6" t="s">
        <v>8</v>
      </c>
      <c r="K4" s="5" t="s">
        <v>16</v>
      </c>
      <c r="L4">
        <f>1/L3</f>
        <v>3.3356409519815204E-9</v>
      </c>
      <c r="M4" s="6" t="s">
        <v>17</v>
      </c>
    </row>
    <row r="5" spans="1:13" ht="19" x14ac:dyDescent="0.2">
      <c r="A5" s="5" t="s">
        <v>0</v>
      </c>
      <c r="B5" s="1">
        <f>SQRT( (L2+B3)^2 - L2^2)</f>
        <v>150.5407921987921</v>
      </c>
      <c r="C5" t="s">
        <v>1</v>
      </c>
      <c r="D5" s="12"/>
      <c r="I5" s="6"/>
      <c r="K5" s="7" t="s">
        <v>36</v>
      </c>
      <c r="L5" s="8">
        <f>L4*1000000000</f>
        <v>3.3356409519815204</v>
      </c>
      <c r="M5" s="9" t="s">
        <v>17</v>
      </c>
    </row>
    <row r="6" spans="1:13" ht="20" x14ac:dyDescent="0.25">
      <c r="A6" s="7" t="s">
        <v>2</v>
      </c>
      <c r="B6" s="8">
        <f>L5*B5/1000</f>
        <v>0.50215003140203107</v>
      </c>
      <c r="C6" s="8" t="s">
        <v>3</v>
      </c>
      <c r="D6" s="5" t="s">
        <v>26</v>
      </c>
      <c r="E6">
        <f>E4/B6</f>
        <v>647.21692656790594</v>
      </c>
      <c r="F6" t="s">
        <v>9</v>
      </c>
      <c r="G6" s="1" t="s">
        <v>29</v>
      </c>
      <c r="H6">
        <f>H4/B6</f>
        <v>647.21692656790594</v>
      </c>
      <c r="I6" s="6" t="s">
        <v>9</v>
      </c>
    </row>
    <row r="7" spans="1:13" ht="20" x14ac:dyDescent="0.25">
      <c r="D7" s="5" t="s">
        <v>27</v>
      </c>
      <c r="E7">
        <f>SQRT(E6)</f>
        <v>25.44045845828856</v>
      </c>
      <c r="F7" t="s">
        <v>10</v>
      </c>
      <c r="G7" s="1" t="s">
        <v>28</v>
      </c>
      <c r="H7">
        <f>SQRT(H6)</f>
        <v>25.44045845828856</v>
      </c>
      <c r="I7" s="6" t="s">
        <v>10</v>
      </c>
    </row>
    <row r="8" spans="1:13" ht="18" x14ac:dyDescent="0.25">
      <c r="D8" s="5" t="s">
        <v>32</v>
      </c>
      <c r="E8">
        <f>E7*E3</f>
        <v>0.76321375374865674</v>
      </c>
      <c r="G8" s="1" t="s">
        <v>33</v>
      </c>
      <c r="H8">
        <f>H3*H7</f>
        <v>0.76321375374865674</v>
      </c>
      <c r="I8" s="6"/>
    </row>
    <row r="9" spans="1:13" x14ac:dyDescent="0.2">
      <c r="D9" s="5"/>
      <c r="I9" s="6"/>
    </row>
    <row r="10" spans="1:13" ht="20" x14ac:dyDescent="0.25">
      <c r="D10" s="5" t="s">
        <v>24</v>
      </c>
      <c r="E10">
        <f>E6*E3</f>
        <v>19.416507797037177</v>
      </c>
      <c r="G10" s="1" t="s">
        <v>37</v>
      </c>
      <c r="H10">
        <f>H6*H3</f>
        <v>19.416507797037177</v>
      </c>
      <c r="I10" s="6"/>
    </row>
    <row r="11" spans="1:13" ht="18" x14ac:dyDescent="0.25">
      <c r="D11" s="5" t="s">
        <v>25</v>
      </c>
      <c r="E11">
        <f>1/E10</f>
        <v>5.1502567323285238E-2</v>
      </c>
      <c r="F11" t="s">
        <v>6</v>
      </c>
      <c r="G11" s="1" t="s">
        <v>38</v>
      </c>
      <c r="H11">
        <f>1/H10</f>
        <v>5.1502567323285238E-2</v>
      </c>
      <c r="I11" s="6" t="s">
        <v>6</v>
      </c>
    </row>
    <row r="12" spans="1:13" x14ac:dyDescent="0.2">
      <c r="D12" s="18"/>
      <c r="E12" s="8"/>
      <c r="F12" s="8"/>
      <c r="G12" s="8"/>
      <c r="H12" s="8"/>
      <c r="I12" s="9"/>
    </row>
    <row r="14" spans="1:13" ht="21" x14ac:dyDescent="0.25">
      <c r="D14" s="43" t="s">
        <v>40</v>
      </c>
      <c r="E14" s="44"/>
      <c r="F14" s="45"/>
      <c r="G14" s="43" t="s">
        <v>41</v>
      </c>
      <c r="H14" s="44"/>
      <c r="I14" s="45"/>
    </row>
    <row r="15" spans="1:13" x14ac:dyDescent="0.2">
      <c r="D15" s="10"/>
      <c r="E15" s="19" t="s">
        <v>22</v>
      </c>
      <c r="F15" s="46">
        <v>5.0000000000000001E-3</v>
      </c>
      <c r="G15" s="46"/>
      <c r="H15" s="11" t="s">
        <v>6</v>
      </c>
      <c r="I15" s="4"/>
    </row>
    <row r="16" spans="1:13" ht="19" x14ac:dyDescent="0.2">
      <c r="D16" s="5" t="s">
        <v>39</v>
      </c>
      <c r="E16">
        <f>E10-H10+F15*(E10*H10)</f>
        <v>1.8850038751620275</v>
      </c>
      <c r="F16" s="6" t="s">
        <v>10</v>
      </c>
      <c r="G16" s="5" t="s">
        <v>39</v>
      </c>
      <c r="H16">
        <f>-E10+H10+F15*(E10*H10)</f>
        <v>1.8850038751620275</v>
      </c>
      <c r="I16" s="6" t="s">
        <v>10</v>
      </c>
    </row>
    <row r="17" spans="1:11" x14ac:dyDescent="0.2">
      <c r="D17" s="7" t="s">
        <v>23</v>
      </c>
      <c r="E17" s="8">
        <f>1/E16</f>
        <v>0.5305028881779057</v>
      </c>
      <c r="F17" s="9" t="s">
        <v>6</v>
      </c>
      <c r="G17" s="7" t="s">
        <v>23</v>
      </c>
      <c r="H17" s="8">
        <f>1/H16</f>
        <v>0.5305028881779057</v>
      </c>
      <c r="I17" s="9" t="s">
        <v>6</v>
      </c>
    </row>
    <row r="19" spans="1:11" x14ac:dyDescent="0.2">
      <c r="A19" s="13" t="s">
        <v>4</v>
      </c>
      <c r="B19" s="2">
        <f>1+($F$15/$E$11)</f>
        <v>1.0970825389851859</v>
      </c>
      <c r="C19" s="11">
        <f>$F$15</f>
        <v>5.0000000000000001E-3</v>
      </c>
      <c r="D19" s="11">
        <v>0</v>
      </c>
      <c r="E19" s="4">
        <v>0</v>
      </c>
    </row>
    <row r="20" spans="1:11" x14ac:dyDescent="0.2">
      <c r="B20" s="12">
        <f>-$E$16</f>
        <v>-1.8850038751620275</v>
      </c>
      <c r="C20">
        <f>1+($F$15/$H$11)</f>
        <v>1.0970825389851859</v>
      </c>
      <c r="D20">
        <v>0</v>
      </c>
      <c r="E20" s="6">
        <v>0</v>
      </c>
    </row>
    <row r="21" spans="1:11" x14ac:dyDescent="0.2">
      <c r="B21" s="12">
        <v>0</v>
      </c>
      <c r="C21">
        <v>0</v>
      </c>
      <c r="D21">
        <f>1-($F$15/$E$11)</f>
        <v>0.90291746101481407</v>
      </c>
      <c r="E21" s="6">
        <f>$F$15</f>
        <v>5.0000000000000001E-3</v>
      </c>
    </row>
    <row r="22" spans="1:11" x14ac:dyDescent="0.2">
      <c r="B22" s="18">
        <v>0</v>
      </c>
      <c r="C22" s="8">
        <v>0</v>
      </c>
      <c r="D22" s="8">
        <f>-$H$16</f>
        <v>-1.8850038751620275</v>
      </c>
      <c r="E22" s="9">
        <f>1-($F$15/$H$11)</f>
        <v>0.90291746101481407</v>
      </c>
    </row>
    <row r="24" spans="1:11" x14ac:dyDescent="0.2">
      <c r="A24" s="13" t="s">
        <v>11</v>
      </c>
      <c r="B24" s="14">
        <v>0.5</v>
      </c>
      <c r="D24" s="13" t="s">
        <v>12</v>
      </c>
      <c r="E24" s="14">
        <f t="array" ref="E24:E27">MMULT(B19:E22,B24:B27)</f>
        <v>0.54904126949259291</v>
      </c>
      <c r="G24" s="13" t="s">
        <v>13</v>
      </c>
      <c r="H24" s="14">
        <f>B$24*B19+B$25*C19+B$26*D19+B$27*E19</f>
        <v>0.54904126949259291</v>
      </c>
      <c r="J24" s="13" t="s">
        <v>42</v>
      </c>
      <c r="K24" s="20">
        <f>E24-H24</f>
        <v>0</v>
      </c>
    </row>
    <row r="25" spans="1:11" x14ac:dyDescent="0.2">
      <c r="B25" s="15">
        <v>0.1</v>
      </c>
      <c r="E25" s="15">
        <v>-0.83279368368249518</v>
      </c>
      <c r="H25" s="15">
        <f>B$24*B20+B$25*C20+B$26*D20+B$27*E20</f>
        <v>-0.83279368368249518</v>
      </c>
      <c r="K25" s="21">
        <f t="shared" ref="K25:K27" si="0">E25-H25</f>
        <v>0</v>
      </c>
    </row>
    <row r="26" spans="1:11" x14ac:dyDescent="0.2">
      <c r="B26" s="15">
        <v>-0.3</v>
      </c>
      <c r="E26" s="15">
        <v>-0.27187523830444421</v>
      </c>
      <c r="H26" s="15">
        <f>B$24*B21+B$25*C21+B$26*D21+B$27*E21</f>
        <v>-0.27187523830444421</v>
      </c>
      <c r="K26" s="21">
        <f t="shared" si="0"/>
        <v>0</v>
      </c>
    </row>
    <row r="27" spans="1:11" x14ac:dyDescent="0.2">
      <c r="B27" s="16">
        <v>-0.2</v>
      </c>
      <c r="E27" s="16">
        <v>0.38491767034564545</v>
      </c>
      <c r="H27" s="16">
        <f>B$24*B22+B$25*C22+B$26*D22+B$27*E22</f>
        <v>0.38491767034564545</v>
      </c>
      <c r="K27" s="22">
        <f t="shared" si="0"/>
        <v>0</v>
      </c>
    </row>
  </sheetData>
  <mergeCells count="4">
    <mergeCell ref="D14:F14"/>
    <mergeCell ref="A1:I1"/>
    <mergeCell ref="G14:I14"/>
    <mergeCell ref="F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9AEC-43F2-8D45-B0B0-4BCF34C0588E}">
  <dimension ref="A1:AQ48"/>
  <sheetViews>
    <sheetView tabSelected="1" topLeftCell="R14" workbookViewId="0">
      <selection activeCell="AC37" sqref="AC37"/>
    </sheetView>
  </sheetViews>
  <sheetFormatPr baseColWidth="10" defaultRowHeight="16" x14ac:dyDescent="0.2"/>
  <cols>
    <col min="5" max="5" width="14.6640625" bestFit="1" customWidth="1"/>
    <col min="13" max="13" width="14.6640625" bestFit="1" customWidth="1"/>
    <col min="21" max="21" width="14.6640625" bestFit="1" customWidth="1"/>
    <col min="29" max="29" width="14.6640625" bestFit="1" customWidth="1"/>
    <col min="37" max="37" width="14.6640625" bestFit="1" customWidth="1"/>
  </cols>
  <sheetData>
    <row r="1" spans="1:43" ht="21" x14ac:dyDescent="0.25">
      <c r="E1" s="43" t="s">
        <v>61</v>
      </c>
      <c r="F1" s="44"/>
      <c r="G1" s="44"/>
      <c r="H1" s="44"/>
      <c r="I1" s="44"/>
      <c r="J1" s="44"/>
      <c r="K1" s="45"/>
      <c r="L1" s="37"/>
      <c r="M1" s="43" t="s">
        <v>62</v>
      </c>
      <c r="N1" s="44"/>
      <c r="O1" s="44"/>
      <c r="P1" s="44"/>
      <c r="Q1" s="44"/>
      <c r="R1" s="44"/>
      <c r="S1" s="45"/>
      <c r="U1" s="43" t="s">
        <v>65</v>
      </c>
      <c r="V1" s="44"/>
      <c r="W1" s="44"/>
      <c r="X1" s="44"/>
      <c r="Y1" s="44"/>
      <c r="Z1" s="44"/>
      <c r="AA1" s="45"/>
      <c r="AC1" s="43" t="s">
        <v>62</v>
      </c>
      <c r="AD1" s="44"/>
      <c r="AE1" s="44"/>
      <c r="AF1" s="44"/>
      <c r="AG1" s="44"/>
      <c r="AH1" s="44"/>
      <c r="AI1" s="45"/>
      <c r="AK1" s="43" t="s">
        <v>61</v>
      </c>
      <c r="AL1" s="44"/>
      <c r="AM1" s="44"/>
      <c r="AN1" s="44"/>
      <c r="AO1" s="44"/>
      <c r="AP1" s="44"/>
      <c r="AQ1" s="45"/>
    </row>
    <row r="2" spans="1:43" ht="20" x14ac:dyDescent="0.25">
      <c r="A2" s="10" t="s">
        <v>19</v>
      </c>
      <c r="B2" s="11">
        <v>938.27208815999995</v>
      </c>
      <c r="C2" s="4" t="s">
        <v>20</v>
      </c>
      <c r="E2" s="50" t="s">
        <v>43</v>
      </c>
      <c r="F2" s="51"/>
      <c r="G2" s="52"/>
      <c r="H2" s="35"/>
      <c r="I2" s="34" t="s">
        <v>44</v>
      </c>
      <c r="J2" s="36"/>
      <c r="M2" s="50" t="s">
        <v>43</v>
      </c>
      <c r="N2" s="51"/>
      <c r="O2" s="52"/>
      <c r="P2" s="35"/>
      <c r="Q2" s="34" t="s">
        <v>62</v>
      </c>
      <c r="R2" s="36"/>
      <c r="U2" s="50" t="s">
        <v>43</v>
      </c>
      <c r="V2" s="51"/>
      <c r="W2" s="52"/>
      <c r="X2" s="35"/>
      <c r="Y2" s="34" t="s">
        <v>44</v>
      </c>
      <c r="Z2" s="36"/>
      <c r="AC2" s="50" t="s">
        <v>43</v>
      </c>
      <c r="AD2" s="51"/>
      <c r="AE2" s="52"/>
      <c r="AF2" s="35"/>
      <c r="AG2" s="34" t="s">
        <v>62</v>
      </c>
      <c r="AH2" s="36"/>
      <c r="AK2" s="50" t="s">
        <v>43</v>
      </c>
      <c r="AL2" s="51"/>
      <c r="AM2" s="52"/>
      <c r="AN2" s="35"/>
      <c r="AO2" s="34" t="s">
        <v>44</v>
      </c>
      <c r="AP2" s="36"/>
    </row>
    <row r="3" spans="1:43" ht="18" x14ac:dyDescent="0.25">
      <c r="A3" s="10" t="s">
        <v>14</v>
      </c>
      <c r="B3" s="11">
        <v>299792458</v>
      </c>
      <c r="C3" s="4" t="s">
        <v>15</v>
      </c>
      <c r="E3" s="24" t="s">
        <v>46</v>
      </c>
      <c r="F3" s="25">
        <v>20</v>
      </c>
      <c r="G3" s="6" t="s">
        <v>1</v>
      </c>
      <c r="H3" s="23" t="s">
        <v>45</v>
      </c>
      <c r="I3">
        <v>0.1</v>
      </c>
      <c r="J3" s="6" t="s">
        <v>6</v>
      </c>
      <c r="M3" s="24" t="s">
        <v>46</v>
      </c>
      <c r="N3" s="25">
        <f>F3</f>
        <v>20</v>
      </c>
      <c r="O3" s="6" t="s">
        <v>1</v>
      </c>
      <c r="P3" s="30" t="s">
        <v>45</v>
      </c>
      <c r="Q3" s="1">
        <v>0.01</v>
      </c>
      <c r="R3" s="6" t="s">
        <v>6</v>
      </c>
      <c r="U3" s="24" t="s">
        <v>46</v>
      </c>
      <c r="V3" s="25">
        <f>F3</f>
        <v>20</v>
      </c>
      <c r="W3" s="6" t="s">
        <v>1</v>
      </c>
      <c r="X3" s="23" t="s">
        <v>45</v>
      </c>
      <c r="Y3">
        <v>0.2</v>
      </c>
      <c r="Z3" s="6" t="s">
        <v>6</v>
      </c>
      <c r="AC3" s="24" t="s">
        <v>46</v>
      </c>
      <c r="AD3" s="25">
        <f>V3</f>
        <v>20</v>
      </c>
      <c r="AE3" s="6" t="s">
        <v>1</v>
      </c>
      <c r="AF3" s="30" t="s">
        <v>45</v>
      </c>
      <c r="AG3" s="1">
        <v>0.01</v>
      </c>
      <c r="AH3" s="6" t="s">
        <v>6</v>
      </c>
      <c r="AK3" s="24" t="s">
        <v>46</v>
      </c>
      <c r="AL3" s="25">
        <f>AD3</f>
        <v>20</v>
      </c>
      <c r="AM3" s="6" t="s">
        <v>1</v>
      </c>
      <c r="AN3" s="23" t="s">
        <v>45</v>
      </c>
      <c r="AO3">
        <v>0.1</v>
      </c>
      <c r="AP3" s="6" t="s">
        <v>6</v>
      </c>
    </row>
    <row r="4" spans="1:43" ht="18" x14ac:dyDescent="0.25">
      <c r="A4" s="5" t="s">
        <v>16</v>
      </c>
      <c r="B4">
        <f>1/B3</f>
        <v>3.3356409519815204E-9</v>
      </c>
      <c r="C4" s="6" t="s">
        <v>17</v>
      </c>
      <c r="E4" s="5" t="s">
        <v>48</v>
      </c>
      <c r="F4" s="25">
        <f>B2+F3</f>
        <v>958.27208815999995</v>
      </c>
      <c r="G4" s="6" t="s">
        <v>1</v>
      </c>
      <c r="H4" s="23" t="s">
        <v>7</v>
      </c>
      <c r="I4">
        <v>500</v>
      </c>
      <c r="J4" s="6" t="s">
        <v>8</v>
      </c>
      <c r="M4" s="5" t="s">
        <v>48</v>
      </c>
      <c r="N4" s="25">
        <f t="shared" ref="N4:N8" si="0">F4</f>
        <v>958.27208815999995</v>
      </c>
      <c r="O4" s="6" t="s">
        <v>1</v>
      </c>
      <c r="P4" s="30"/>
      <c r="R4" s="6"/>
      <c r="U4" s="5" t="s">
        <v>48</v>
      </c>
      <c r="V4" s="25">
        <f t="shared" ref="V4:V8" si="1">F4</f>
        <v>958.27208815999995</v>
      </c>
      <c r="W4" s="6" t="s">
        <v>1</v>
      </c>
      <c r="X4" s="23" t="s">
        <v>7</v>
      </c>
      <c r="Y4">
        <v>500</v>
      </c>
      <c r="Z4" s="6" t="s">
        <v>8</v>
      </c>
      <c r="AC4" s="5" t="s">
        <v>48</v>
      </c>
      <c r="AD4" s="25">
        <f t="shared" ref="AD4:AD8" si="2">V4</f>
        <v>958.27208815999995</v>
      </c>
      <c r="AE4" s="6" t="s">
        <v>1</v>
      </c>
      <c r="AF4" s="30"/>
      <c r="AH4" s="6"/>
      <c r="AK4" s="5" t="s">
        <v>48</v>
      </c>
      <c r="AL4" s="25">
        <f t="shared" ref="AL4:AL8" si="3">AD4</f>
        <v>958.27208815999995</v>
      </c>
      <c r="AM4" s="6" t="s">
        <v>1</v>
      </c>
      <c r="AN4" s="23" t="s">
        <v>7</v>
      </c>
      <c r="AO4">
        <v>500</v>
      </c>
      <c r="AP4" s="6" t="s">
        <v>8</v>
      </c>
    </row>
    <row r="5" spans="1:43" ht="18" x14ac:dyDescent="0.25">
      <c r="A5" s="7" t="s">
        <v>57</v>
      </c>
      <c r="B5" s="8">
        <f>B4*1000000000</f>
        <v>3.3356409519815204</v>
      </c>
      <c r="C5" s="9" t="s">
        <v>17</v>
      </c>
      <c r="E5" s="24" t="s">
        <v>49</v>
      </c>
      <c r="F5" s="25">
        <f>SQRT(F4^2 -B2^ 2)</f>
        <v>194.75852619692921</v>
      </c>
      <c r="G5" s="6" t="s">
        <v>1</v>
      </c>
      <c r="H5" s="7"/>
      <c r="I5" s="26"/>
      <c r="J5" s="9"/>
      <c r="M5" s="24" t="s">
        <v>49</v>
      </c>
      <c r="N5" s="25">
        <f t="shared" si="0"/>
        <v>194.75852619692921</v>
      </c>
      <c r="O5" s="6" t="s">
        <v>1</v>
      </c>
      <c r="P5" s="7"/>
      <c r="Q5" s="26"/>
      <c r="R5" s="9"/>
      <c r="U5" s="24" t="s">
        <v>49</v>
      </c>
      <c r="V5" s="25">
        <f t="shared" si="1"/>
        <v>194.75852619692921</v>
      </c>
      <c r="W5" s="6" t="s">
        <v>1</v>
      </c>
      <c r="X5" s="7"/>
      <c r="Y5" s="26"/>
      <c r="Z5" s="9"/>
      <c r="AC5" s="24" t="s">
        <v>49</v>
      </c>
      <c r="AD5" s="25">
        <f>V5</f>
        <v>194.75852619692921</v>
      </c>
      <c r="AE5" s="6" t="s">
        <v>1</v>
      </c>
      <c r="AF5" s="7"/>
      <c r="AG5" s="26"/>
      <c r="AH5" s="9"/>
      <c r="AK5" s="24" t="s">
        <v>49</v>
      </c>
      <c r="AL5" s="25">
        <f t="shared" si="3"/>
        <v>194.75852619692921</v>
      </c>
      <c r="AM5" s="6" t="s">
        <v>1</v>
      </c>
      <c r="AN5" s="7"/>
      <c r="AO5" s="26"/>
      <c r="AP5" s="9"/>
    </row>
    <row r="6" spans="1:43" ht="18" x14ac:dyDescent="0.25">
      <c r="E6" s="27" t="s">
        <v>50</v>
      </c>
      <c r="F6">
        <f>F5/B2</f>
        <v>0.20757148022900346</v>
      </c>
      <c r="G6" s="6"/>
      <c r="H6" s="28" t="s">
        <v>2</v>
      </c>
      <c r="I6">
        <f>F12*B5/1000</f>
        <v>1.6137238800416533</v>
      </c>
      <c r="J6" s="6"/>
      <c r="M6" s="27" t="s">
        <v>50</v>
      </c>
      <c r="N6" s="25">
        <f t="shared" si="0"/>
        <v>0.20757148022900346</v>
      </c>
      <c r="O6" s="6"/>
      <c r="P6" s="38"/>
      <c r="Q6" s="11"/>
      <c r="R6" s="11"/>
      <c r="U6" s="27" t="s">
        <v>50</v>
      </c>
      <c r="V6" s="25">
        <f t="shared" si="1"/>
        <v>0.20757148022900346</v>
      </c>
      <c r="W6" s="6"/>
      <c r="X6" s="28" t="s">
        <v>2</v>
      </c>
      <c r="Y6">
        <f>V12*B5/1000</f>
        <v>1.6137238800416533</v>
      </c>
      <c r="Z6" s="6"/>
      <c r="AC6" s="27" t="s">
        <v>50</v>
      </c>
      <c r="AD6" s="25">
        <f t="shared" si="2"/>
        <v>0.20757148022900346</v>
      </c>
      <c r="AE6" s="6"/>
      <c r="AF6" s="38"/>
      <c r="AG6" s="11"/>
      <c r="AH6" s="11"/>
      <c r="AK6" s="27" t="s">
        <v>50</v>
      </c>
      <c r="AL6" s="25">
        <f t="shared" si="3"/>
        <v>0.20757148022900346</v>
      </c>
      <c r="AM6" s="6"/>
      <c r="AN6" s="28" t="s">
        <v>2</v>
      </c>
      <c r="AO6">
        <f>AL12*B5/1000</f>
        <v>1.6137238800416533</v>
      </c>
      <c r="AP6" s="6"/>
    </row>
    <row r="7" spans="1:43" ht="20" x14ac:dyDescent="0.25">
      <c r="E7" s="27" t="s">
        <v>51</v>
      </c>
      <c r="F7">
        <f>F5/F4</f>
        <v>0.20323927682260837</v>
      </c>
      <c r="G7" s="6"/>
      <c r="H7" s="23" t="s">
        <v>47</v>
      </c>
      <c r="I7">
        <f>I4/I6</f>
        <v>309.84235046896254</v>
      </c>
      <c r="J7" s="6" t="s">
        <v>9</v>
      </c>
      <c r="M7" s="27" t="s">
        <v>51</v>
      </c>
      <c r="N7" s="25">
        <f t="shared" si="0"/>
        <v>0.20323927682260837</v>
      </c>
      <c r="O7" s="6"/>
      <c r="P7" s="31"/>
      <c r="Q7" s="39"/>
      <c r="U7" s="27" t="s">
        <v>51</v>
      </c>
      <c r="V7" s="25">
        <f t="shared" si="1"/>
        <v>0.20323927682260837</v>
      </c>
      <c r="W7" s="6"/>
      <c r="X7" s="23" t="s">
        <v>47</v>
      </c>
      <c r="Y7">
        <f>Y4/Y6</f>
        <v>309.84235046896254</v>
      </c>
      <c r="Z7" s="6" t="s">
        <v>9</v>
      </c>
      <c r="AC7" s="27" t="s">
        <v>51</v>
      </c>
      <c r="AD7" s="25">
        <f t="shared" si="2"/>
        <v>0.20323927682260837</v>
      </c>
      <c r="AE7" s="6"/>
      <c r="AF7" s="31"/>
      <c r="AG7" s="39"/>
      <c r="AK7" s="27" t="s">
        <v>51</v>
      </c>
      <c r="AL7" s="25">
        <f t="shared" si="3"/>
        <v>0.20323927682260837</v>
      </c>
      <c r="AM7" s="6"/>
      <c r="AN7" s="23" t="s">
        <v>47</v>
      </c>
      <c r="AO7">
        <f>AO4/AO6</f>
        <v>309.84235046896254</v>
      </c>
      <c r="AP7" s="6" t="s">
        <v>9</v>
      </c>
    </row>
    <row r="8" spans="1:43" x14ac:dyDescent="0.2">
      <c r="E8" s="7" t="s">
        <v>52</v>
      </c>
      <c r="F8" s="8">
        <v>1</v>
      </c>
      <c r="G8" s="9"/>
      <c r="H8" s="29"/>
      <c r="I8" s="8"/>
      <c r="J8" s="9"/>
      <c r="M8" s="7" t="s">
        <v>52</v>
      </c>
      <c r="N8" s="40">
        <f t="shared" si="0"/>
        <v>1</v>
      </c>
      <c r="O8" s="9"/>
      <c r="P8" s="30"/>
      <c r="U8" s="7" t="s">
        <v>52</v>
      </c>
      <c r="V8" s="42">
        <f t="shared" si="1"/>
        <v>1</v>
      </c>
      <c r="W8" s="9"/>
      <c r="X8" s="29"/>
      <c r="Y8" s="8"/>
      <c r="Z8" s="9"/>
      <c r="AC8" s="7" t="s">
        <v>52</v>
      </c>
      <c r="AD8" s="40">
        <f t="shared" si="2"/>
        <v>1</v>
      </c>
      <c r="AE8" s="9"/>
      <c r="AF8" s="30"/>
      <c r="AK8" s="7" t="s">
        <v>52</v>
      </c>
      <c r="AL8" s="40">
        <f t="shared" si="3"/>
        <v>1</v>
      </c>
      <c r="AM8" s="9"/>
      <c r="AN8" s="29"/>
      <c r="AO8" s="8"/>
      <c r="AP8" s="9"/>
    </row>
    <row r="9" spans="1:43" x14ac:dyDescent="0.2">
      <c r="M9" s="1"/>
      <c r="P9" s="1"/>
      <c r="AC9" s="1"/>
      <c r="AF9" s="1"/>
    </row>
    <row r="10" spans="1:43" x14ac:dyDescent="0.2">
      <c r="E10" s="53" t="s">
        <v>5</v>
      </c>
      <c r="F10" s="54"/>
      <c r="G10" s="55"/>
      <c r="H10" s="53" t="s">
        <v>53</v>
      </c>
      <c r="I10" s="54"/>
      <c r="J10" s="55"/>
      <c r="M10" s="53" t="s">
        <v>5</v>
      </c>
      <c r="N10" s="54"/>
      <c r="O10" s="55"/>
      <c r="P10" s="1"/>
      <c r="U10" s="53" t="s">
        <v>5</v>
      </c>
      <c r="V10" s="54"/>
      <c r="W10" s="55"/>
      <c r="X10" s="53" t="s">
        <v>53</v>
      </c>
      <c r="Y10" s="54"/>
      <c r="Z10" s="55"/>
      <c r="AC10" s="53" t="s">
        <v>5</v>
      </c>
      <c r="AD10" s="54"/>
      <c r="AE10" s="55"/>
      <c r="AF10" s="1"/>
      <c r="AK10" s="53" t="s">
        <v>5</v>
      </c>
      <c r="AL10" s="54"/>
      <c r="AM10" s="55"/>
      <c r="AN10" s="53" t="s">
        <v>53</v>
      </c>
      <c r="AO10" s="54"/>
      <c r="AP10" s="55"/>
    </row>
    <row r="11" spans="1:43" x14ac:dyDescent="0.2">
      <c r="E11" s="30" t="s">
        <v>54</v>
      </c>
      <c r="F11">
        <f>F4+F5*T45</f>
        <v>1055.6513512584645</v>
      </c>
      <c r="G11" s="6"/>
      <c r="H11" s="30" t="s">
        <v>55</v>
      </c>
      <c r="I11">
        <v>1</v>
      </c>
      <c r="J11" s="6"/>
      <c r="M11" s="30" t="s">
        <v>54</v>
      </c>
      <c r="N11">
        <f>F11</f>
        <v>1055.6513512584645</v>
      </c>
      <c r="O11" s="6"/>
      <c r="P11" s="1"/>
      <c r="U11" s="30" t="s">
        <v>54</v>
      </c>
      <c r="V11">
        <f>F11</f>
        <v>1055.6513512584645</v>
      </c>
      <c r="W11" s="6"/>
      <c r="X11" s="30" t="s">
        <v>55</v>
      </c>
      <c r="Y11">
        <v>1</v>
      </c>
      <c r="Z11" s="6"/>
      <c r="AC11" s="30" t="s">
        <v>54</v>
      </c>
      <c r="AD11">
        <f>V11</f>
        <v>1055.6513512584645</v>
      </c>
      <c r="AE11" s="6"/>
      <c r="AF11" s="1"/>
      <c r="AK11" s="30" t="s">
        <v>54</v>
      </c>
      <c r="AL11">
        <f>AL4+AL5*T45</f>
        <v>1055.6513512584645</v>
      </c>
      <c r="AM11" s="6"/>
      <c r="AN11" s="30" t="s">
        <v>55</v>
      </c>
      <c r="AO11">
        <v>1</v>
      </c>
      <c r="AP11" s="6"/>
    </row>
    <row r="12" spans="1:43" ht="19" x14ac:dyDescent="0.2">
      <c r="E12" s="30" t="s">
        <v>0</v>
      </c>
      <c r="F12" s="25">
        <f>SQRT(F11^2 -B2^ 2)</f>
        <v>483.78224853098436</v>
      </c>
      <c r="G12" s="6"/>
      <c r="H12" s="30" t="s">
        <v>56</v>
      </c>
      <c r="I12">
        <f>SQRT(I7/I11)</f>
        <v>17.60233934648922</v>
      </c>
      <c r="J12" s="6" t="s">
        <v>10</v>
      </c>
      <c r="M12" s="29" t="s">
        <v>0</v>
      </c>
      <c r="N12" s="8">
        <f>F12</f>
        <v>483.78224853098436</v>
      </c>
      <c r="O12" s="9"/>
      <c r="P12" s="1"/>
      <c r="U12" s="30" t="s">
        <v>0</v>
      </c>
      <c r="V12">
        <f>F12</f>
        <v>483.78224853098436</v>
      </c>
      <c r="W12" s="6"/>
      <c r="X12" s="30" t="s">
        <v>56</v>
      </c>
      <c r="Y12">
        <f>SQRT(Y7/Y11)</f>
        <v>17.60233934648922</v>
      </c>
      <c r="Z12" s="6" t="s">
        <v>10</v>
      </c>
      <c r="AC12" s="29" t="s">
        <v>0</v>
      </c>
      <c r="AD12" s="8">
        <f>V12</f>
        <v>483.78224853098436</v>
      </c>
      <c r="AE12" s="9"/>
      <c r="AF12" s="1"/>
      <c r="AK12" s="30" t="s">
        <v>0</v>
      </c>
      <c r="AL12" s="25">
        <f>SQRT(AL11^2 -B2^ 2)</f>
        <v>483.78224853098436</v>
      </c>
      <c r="AM12" s="6"/>
      <c r="AN12" s="30" t="s">
        <v>56</v>
      </c>
      <c r="AO12">
        <f>SQRT(AO7/AO11)</f>
        <v>17.60233934648922</v>
      </c>
      <c r="AP12" s="6" t="s">
        <v>10</v>
      </c>
    </row>
    <row r="13" spans="1:43" x14ac:dyDescent="0.2">
      <c r="E13" s="31"/>
      <c r="G13" s="6"/>
      <c r="H13" s="30" t="s">
        <v>58</v>
      </c>
      <c r="I13">
        <f>I12*I3</f>
        <v>1.7602339346489222</v>
      </c>
      <c r="J13" s="6"/>
      <c r="M13" s="41"/>
      <c r="P13" s="1"/>
      <c r="U13" s="31"/>
      <c r="W13" s="6"/>
      <c r="X13" s="30" t="s">
        <v>58</v>
      </c>
      <c r="Y13">
        <f>Y12*Y3</f>
        <v>3.5204678692978444</v>
      </c>
      <c r="Z13" s="6"/>
      <c r="AC13" s="41"/>
      <c r="AF13" s="1"/>
      <c r="AK13" s="31"/>
      <c r="AM13" s="6"/>
      <c r="AN13" s="30" t="s">
        <v>58</v>
      </c>
      <c r="AO13">
        <f>AO12*AO3</f>
        <v>1.7602339346489222</v>
      </c>
      <c r="AP13" s="6"/>
    </row>
    <row r="14" spans="1:43" ht="19" x14ac:dyDescent="0.2">
      <c r="E14" s="32"/>
      <c r="F14" s="8"/>
      <c r="G14" s="9"/>
      <c r="H14" s="29" t="s">
        <v>59</v>
      </c>
      <c r="I14" s="8">
        <f>I12*I11</f>
        <v>17.60233934648922</v>
      </c>
      <c r="J14" s="9" t="s">
        <v>10</v>
      </c>
      <c r="M14" s="41"/>
      <c r="P14" s="1"/>
      <c r="U14" s="32"/>
      <c r="V14" s="8"/>
      <c r="W14" s="9"/>
      <c r="X14" s="29" t="s">
        <v>59</v>
      </c>
      <c r="Y14" s="8">
        <f>Y12*Y11</f>
        <v>17.60233934648922</v>
      </c>
      <c r="Z14" s="9" t="s">
        <v>10</v>
      </c>
      <c r="AC14" s="41"/>
      <c r="AF14" s="1"/>
      <c r="AK14" s="32"/>
      <c r="AL14" s="8"/>
      <c r="AM14" s="9"/>
      <c r="AN14" s="29" t="s">
        <v>59</v>
      </c>
      <c r="AO14" s="8">
        <f>AO12*AO11</f>
        <v>17.60233934648922</v>
      </c>
      <c r="AP14" s="9" t="s">
        <v>10</v>
      </c>
    </row>
    <row r="15" spans="1:43" x14ac:dyDescent="0.2">
      <c r="M15" s="13"/>
      <c r="P15" s="1"/>
      <c r="AC15" s="13"/>
      <c r="AF15" s="1"/>
    </row>
    <row r="16" spans="1:43" x14ac:dyDescent="0.2">
      <c r="M16" s="1"/>
      <c r="P16" s="1"/>
      <c r="AC16" s="1"/>
      <c r="AF16" s="1"/>
    </row>
    <row r="17" spans="5:43" x14ac:dyDescent="0.2">
      <c r="M17" s="1"/>
      <c r="P17" s="1"/>
      <c r="AC17" s="1"/>
      <c r="AF17" s="1"/>
    </row>
    <row r="18" spans="5:43" x14ac:dyDescent="0.2">
      <c r="E18" s="13" t="s">
        <v>4</v>
      </c>
      <c r="F18" s="2">
        <f>COS(I13)</f>
        <v>-0.18830659366985952</v>
      </c>
      <c r="G18" s="4">
        <f>SIN(I13)/I14</f>
        <v>5.5794305134233245E-2</v>
      </c>
      <c r="H18" s="11">
        <v>0</v>
      </c>
      <c r="I18" s="11">
        <v>0</v>
      </c>
      <c r="J18" s="11">
        <v>0</v>
      </c>
      <c r="K18" s="4">
        <v>0</v>
      </c>
      <c r="M18" s="13" t="s">
        <v>4</v>
      </c>
      <c r="N18" s="2">
        <f>COS(Q5)</f>
        <v>1</v>
      </c>
      <c r="O18" s="4">
        <f>Q3</f>
        <v>0.01</v>
      </c>
      <c r="P18" s="11">
        <v>0</v>
      </c>
      <c r="Q18" s="11">
        <v>0</v>
      </c>
      <c r="R18" s="11">
        <v>0</v>
      </c>
      <c r="S18" s="20">
        <f>N14*(1-COS(Q5))/N7</f>
        <v>0</v>
      </c>
      <c r="U18" s="13" t="s">
        <v>4</v>
      </c>
      <c r="V18" s="2">
        <f>COSH(Y13)</f>
        <v>16.914912224361977</v>
      </c>
      <c r="W18" s="4">
        <f>SINH(Y13)/Y14</f>
        <v>0.95926605562172773</v>
      </c>
      <c r="X18" s="11">
        <v>0</v>
      </c>
      <c r="Y18" s="11">
        <v>0</v>
      </c>
      <c r="Z18" s="11">
        <v>0</v>
      </c>
      <c r="AA18" s="4">
        <v>0</v>
      </c>
      <c r="AC18" s="13" t="s">
        <v>4</v>
      </c>
      <c r="AD18" s="2">
        <f>COS(AG5)</f>
        <v>1</v>
      </c>
      <c r="AE18" s="4">
        <f>AG3</f>
        <v>0.01</v>
      </c>
      <c r="AF18" s="11">
        <v>0</v>
      </c>
      <c r="AG18" s="11">
        <v>0</v>
      </c>
      <c r="AH18" s="11">
        <v>0</v>
      </c>
      <c r="AI18" s="20">
        <f>AD14*(1-COS(AG5))/AD7</f>
        <v>0</v>
      </c>
      <c r="AK18" s="13" t="s">
        <v>4</v>
      </c>
      <c r="AL18" s="2">
        <f>COS(AO13)</f>
        <v>-0.18830659366985952</v>
      </c>
      <c r="AM18" s="4">
        <f>SIN(AO13)/AO14</f>
        <v>5.5794305134233245E-2</v>
      </c>
      <c r="AN18" s="11">
        <v>0</v>
      </c>
      <c r="AO18" s="11">
        <v>0</v>
      </c>
      <c r="AP18" s="11">
        <v>0</v>
      </c>
      <c r="AQ18" s="4">
        <v>0</v>
      </c>
    </row>
    <row r="19" spans="5:43" x14ac:dyDescent="0.2">
      <c r="E19" s="1"/>
      <c r="F19" s="18">
        <f>-SIN(I13)*I14</f>
        <v>-17.287438645573335</v>
      </c>
      <c r="G19" s="9">
        <f>COS(I13)</f>
        <v>-0.18830659366985952</v>
      </c>
      <c r="H19">
        <v>0</v>
      </c>
      <c r="I19">
        <v>0</v>
      </c>
      <c r="J19">
        <v>0</v>
      </c>
      <c r="K19" s="6">
        <v>0</v>
      </c>
      <c r="M19" s="1"/>
      <c r="N19" s="18">
        <v>0</v>
      </c>
      <c r="O19" s="9">
        <f>COS(Q5)</f>
        <v>1</v>
      </c>
      <c r="P19">
        <v>0</v>
      </c>
      <c r="Q19">
        <v>0</v>
      </c>
      <c r="R19">
        <v>0</v>
      </c>
      <c r="S19" s="21">
        <f>SIN(Q5)/N7</f>
        <v>0</v>
      </c>
      <c r="U19" s="1"/>
      <c r="V19" s="18">
        <f>SINH(Y13)*Y14</f>
        <v>297.22124939892666</v>
      </c>
      <c r="W19" s="9">
        <f>COSH(Y13)</f>
        <v>16.914912224361977</v>
      </c>
      <c r="X19">
        <v>0</v>
      </c>
      <c r="Y19">
        <v>0</v>
      </c>
      <c r="Z19">
        <v>0</v>
      </c>
      <c r="AA19" s="6">
        <v>0</v>
      </c>
      <c r="AC19" s="1"/>
      <c r="AD19" s="18">
        <v>0</v>
      </c>
      <c r="AE19" s="9">
        <f>COS(AG5)</f>
        <v>1</v>
      </c>
      <c r="AF19">
        <v>0</v>
      </c>
      <c r="AG19">
        <v>0</v>
      </c>
      <c r="AH19">
        <v>0</v>
      </c>
      <c r="AI19" s="21">
        <f>SIN(AG5)/AD7</f>
        <v>0</v>
      </c>
      <c r="AK19" s="1"/>
      <c r="AL19" s="18">
        <f>-SIN(AO13)*AO14</f>
        <v>-17.287438645573335</v>
      </c>
      <c r="AM19" s="9">
        <f>COS(AO13)</f>
        <v>-0.18830659366985952</v>
      </c>
      <c r="AN19">
        <v>0</v>
      </c>
      <c r="AO19">
        <v>0</v>
      </c>
      <c r="AP19">
        <v>0</v>
      </c>
      <c r="AQ19" s="6">
        <v>0</v>
      </c>
    </row>
    <row r="20" spans="5:43" x14ac:dyDescent="0.2">
      <c r="E20" s="1"/>
      <c r="F20" s="12">
        <v>0</v>
      </c>
      <c r="G20">
        <v>0</v>
      </c>
      <c r="H20" s="2">
        <f>COSH(I13)</f>
        <v>2.9929009526178763</v>
      </c>
      <c r="I20" s="4">
        <f>SINH(I13)/I14</f>
        <v>0.16025689971174331</v>
      </c>
      <c r="J20">
        <v>0</v>
      </c>
      <c r="K20" s="6">
        <v>0</v>
      </c>
      <c r="M20" s="1"/>
      <c r="N20" s="12">
        <v>0</v>
      </c>
      <c r="O20">
        <v>0</v>
      </c>
      <c r="P20" s="2">
        <v>1</v>
      </c>
      <c r="Q20" s="4">
        <f>Q3</f>
        <v>0.01</v>
      </c>
      <c r="R20">
        <v>0</v>
      </c>
      <c r="S20" s="21">
        <v>0</v>
      </c>
      <c r="U20" s="1"/>
      <c r="V20" s="12">
        <v>0</v>
      </c>
      <c r="W20">
        <v>0</v>
      </c>
      <c r="X20" s="2">
        <f>COS(Y13)</f>
        <v>-0.92908125356090887</v>
      </c>
      <c r="Y20" s="4">
        <f>SIN(Y13)/Y14</f>
        <v>-2.1012871092008431E-2</v>
      </c>
      <c r="Z20">
        <v>0</v>
      </c>
      <c r="AA20" s="6">
        <v>0</v>
      </c>
      <c r="AC20" s="1"/>
      <c r="AD20" s="12">
        <v>0</v>
      </c>
      <c r="AE20">
        <v>0</v>
      </c>
      <c r="AF20" s="2">
        <v>1</v>
      </c>
      <c r="AG20" s="4">
        <f>AG3</f>
        <v>0.01</v>
      </c>
      <c r="AH20">
        <v>0</v>
      </c>
      <c r="AI20" s="21">
        <v>0</v>
      </c>
      <c r="AK20" s="1"/>
      <c r="AL20" s="12">
        <v>0</v>
      </c>
      <c r="AM20">
        <v>0</v>
      </c>
      <c r="AN20" s="2">
        <f>COSH(AO13)</f>
        <v>2.9929009526178763</v>
      </c>
      <c r="AO20" s="4">
        <f>SINH(AO13)/AO14</f>
        <v>0.16025689971174331</v>
      </c>
      <c r="AP20">
        <v>0</v>
      </c>
      <c r="AQ20" s="6">
        <v>0</v>
      </c>
    </row>
    <row r="21" spans="5:43" x14ac:dyDescent="0.2">
      <c r="E21" s="1"/>
      <c r="F21" s="12">
        <v>0</v>
      </c>
      <c r="G21">
        <v>0</v>
      </c>
      <c r="H21" s="18">
        <f>SINH(I13)*I14</f>
        <v>49.654374485555351</v>
      </c>
      <c r="I21" s="9">
        <f>COSH(I13)</f>
        <v>2.9929009526178763</v>
      </c>
      <c r="J21">
        <v>0</v>
      </c>
      <c r="K21" s="6">
        <v>0</v>
      </c>
      <c r="M21" s="1"/>
      <c r="N21" s="12">
        <v>0</v>
      </c>
      <c r="O21">
        <v>0</v>
      </c>
      <c r="P21" s="18">
        <v>0</v>
      </c>
      <c r="Q21" s="9">
        <v>1</v>
      </c>
      <c r="R21">
        <v>0</v>
      </c>
      <c r="S21" s="21">
        <v>0</v>
      </c>
      <c r="U21" s="1"/>
      <c r="V21" s="12">
        <v>0</v>
      </c>
      <c r="W21">
        <v>0</v>
      </c>
      <c r="X21" s="18">
        <f>-SIN(Y13)*Y14</f>
        <v>6.5106773692492084</v>
      </c>
      <c r="Y21" s="9">
        <f>COS(Y13)</f>
        <v>-0.92908125356090887</v>
      </c>
      <c r="Z21">
        <v>0</v>
      </c>
      <c r="AA21" s="6">
        <v>0</v>
      </c>
      <c r="AC21" s="1"/>
      <c r="AD21" s="12">
        <v>0</v>
      </c>
      <c r="AE21">
        <v>0</v>
      </c>
      <c r="AF21" s="18">
        <v>0</v>
      </c>
      <c r="AG21" s="9">
        <v>1</v>
      </c>
      <c r="AH21">
        <v>0</v>
      </c>
      <c r="AI21" s="21">
        <v>0</v>
      </c>
      <c r="AK21" s="1"/>
      <c r="AL21" s="12">
        <v>0</v>
      </c>
      <c r="AM21">
        <v>0</v>
      </c>
      <c r="AN21" s="18">
        <f>SINH(AO13)*AO14</f>
        <v>49.654374485555351</v>
      </c>
      <c r="AO21" s="9">
        <f>COSH(AO13)</f>
        <v>2.9929009526178763</v>
      </c>
      <c r="AP21">
        <v>0</v>
      </c>
      <c r="AQ21" s="6">
        <v>0</v>
      </c>
    </row>
    <row r="22" spans="5:43" x14ac:dyDescent="0.2">
      <c r="E22" s="1"/>
      <c r="F22" s="12">
        <v>0</v>
      </c>
      <c r="G22">
        <v>0</v>
      </c>
      <c r="H22">
        <v>0</v>
      </c>
      <c r="I22">
        <v>0</v>
      </c>
      <c r="J22" s="2">
        <v>1</v>
      </c>
      <c r="K22" s="4">
        <f>I3/F6^2</f>
        <v>2.3209438578128516</v>
      </c>
      <c r="M22" s="1"/>
      <c r="N22" s="12">
        <f>-SIN(Q5)/N7</f>
        <v>0</v>
      </c>
      <c r="O22">
        <f>-(N14/N7)*(1-COS(Q5))</f>
        <v>0</v>
      </c>
      <c r="P22">
        <v>0</v>
      </c>
      <c r="Q22">
        <v>0</v>
      </c>
      <c r="R22" s="20">
        <v>1</v>
      </c>
      <c r="S22" s="20">
        <f>Q3/N6^2</f>
        <v>0.23209438578128516</v>
      </c>
      <c r="U22" s="1"/>
      <c r="V22" s="12">
        <v>0</v>
      </c>
      <c r="W22">
        <v>0</v>
      </c>
      <c r="X22">
        <v>0</v>
      </c>
      <c r="Y22">
        <v>0</v>
      </c>
      <c r="Z22" s="2">
        <v>1</v>
      </c>
      <c r="AA22" s="4">
        <f>Y3/V6^2</f>
        <v>4.6418877156257032</v>
      </c>
      <c r="AC22" s="1"/>
      <c r="AD22" s="12">
        <f>-SIN(AG5)/AD7</f>
        <v>0</v>
      </c>
      <c r="AE22">
        <f>-(AD14/AD7)*(1-COS(AG5))</f>
        <v>0</v>
      </c>
      <c r="AF22">
        <v>0</v>
      </c>
      <c r="AG22">
        <v>0</v>
      </c>
      <c r="AH22" s="20">
        <v>1</v>
      </c>
      <c r="AI22" s="20">
        <f>AG3/AD6^2</f>
        <v>0.23209438578128516</v>
      </c>
      <c r="AK22" s="1"/>
      <c r="AL22" s="12">
        <v>0</v>
      </c>
      <c r="AM22">
        <v>0</v>
      </c>
      <c r="AN22">
        <v>0</v>
      </c>
      <c r="AO22">
        <v>0</v>
      </c>
      <c r="AP22" s="2">
        <v>1</v>
      </c>
      <c r="AQ22" s="4">
        <f>AO3/AL6^2</f>
        <v>2.3209438578128516</v>
      </c>
    </row>
    <row r="23" spans="5:43" x14ac:dyDescent="0.2">
      <c r="E23" s="1"/>
      <c r="F23" s="18">
        <v>0</v>
      </c>
      <c r="G23" s="8">
        <v>0</v>
      </c>
      <c r="H23" s="8">
        <v>0</v>
      </c>
      <c r="I23" s="8">
        <v>0</v>
      </c>
      <c r="J23" s="18">
        <v>0</v>
      </c>
      <c r="K23" s="9">
        <v>1</v>
      </c>
      <c r="M23" s="1"/>
      <c r="N23" s="18">
        <v>0</v>
      </c>
      <c r="O23" s="8">
        <v>0</v>
      </c>
      <c r="P23" s="8">
        <v>0</v>
      </c>
      <c r="Q23" s="8">
        <v>0</v>
      </c>
      <c r="R23" s="22">
        <v>0</v>
      </c>
      <c r="S23" s="22">
        <v>1</v>
      </c>
      <c r="U23" s="1"/>
      <c r="V23" s="18">
        <v>0</v>
      </c>
      <c r="W23" s="8">
        <v>0</v>
      </c>
      <c r="X23" s="8">
        <v>0</v>
      </c>
      <c r="Y23" s="8">
        <v>0</v>
      </c>
      <c r="Z23" s="18">
        <v>0</v>
      </c>
      <c r="AA23" s="9">
        <v>1</v>
      </c>
      <c r="AC23" s="1"/>
      <c r="AD23" s="18">
        <v>0</v>
      </c>
      <c r="AE23" s="8">
        <v>0</v>
      </c>
      <c r="AF23" s="8">
        <v>0</v>
      </c>
      <c r="AG23" s="8">
        <v>0</v>
      </c>
      <c r="AH23" s="22">
        <v>0</v>
      </c>
      <c r="AI23" s="22">
        <v>1</v>
      </c>
      <c r="AK23" s="1"/>
      <c r="AL23" s="18">
        <v>0</v>
      </c>
      <c r="AM23" s="8">
        <v>0</v>
      </c>
      <c r="AN23" s="8">
        <v>0</v>
      </c>
      <c r="AO23" s="8">
        <v>0</v>
      </c>
      <c r="AP23" s="18">
        <v>0</v>
      </c>
      <c r="AQ23" s="9">
        <v>1</v>
      </c>
    </row>
    <row r="24" spans="5:43" x14ac:dyDescent="0.2">
      <c r="U24" s="1"/>
    </row>
    <row r="25" spans="5:43" x14ac:dyDescent="0.2">
      <c r="F25">
        <f>1/F19</f>
        <v>-5.7845469216231321E-2</v>
      </c>
      <c r="V25">
        <f>1/V19</f>
        <v>3.3644969934764402E-3</v>
      </c>
      <c r="AL25">
        <f>1/AL19</f>
        <v>-5.7845469216231321E-2</v>
      </c>
    </row>
    <row r="27" spans="5:43" x14ac:dyDescent="0.2">
      <c r="AH27" s="47" t="s">
        <v>63</v>
      </c>
      <c r="AI27" s="48"/>
      <c r="AJ27" s="48"/>
      <c r="AK27" s="48"/>
      <c r="AL27" s="48"/>
      <c r="AM27" s="49"/>
    </row>
    <row r="28" spans="5:43" x14ac:dyDescent="0.2">
      <c r="AA28" s="47" t="s">
        <v>64</v>
      </c>
      <c r="AB28" s="48"/>
      <c r="AC28" s="48"/>
      <c r="AD28" s="48"/>
      <c r="AE28" s="48"/>
      <c r="AF28" s="49"/>
      <c r="AH28" s="2" cm="1">
        <f t="array" ref="AH28:AM33">MMULT(AD18:AI23,AL18:AQ23)</f>
        <v>-0.36118098012559285</v>
      </c>
      <c r="AI28" s="4">
        <v>5.3911239197534648E-2</v>
      </c>
      <c r="AJ28" s="11">
        <v>0</v>
      </c>
      <c r="AK28" s="11">
        <v>0</v>
      </c>
      <c r="AL28" s="11">
        <v>0</v>
      </c>
      <c r="AM28" s="4">
        <v>0</v>
      </c>
    </row>
    <row r="29" spans="5:43" x14ac:dyDescent="0.2">
      <c r="T29" s="47" t="s">
        <v>66</v>
      </c>
      <c r="U29" s="48"/>
      <c r="V29" s="48"/>
      <c r="W29" s="48"/>
      <c r="X29" s="48"/>
      <c r="Y29" s="49"/>
      <c r="AA29" s="2" cm="1">
        <f t="array" ref="AA29:AF34">MMULT(V18:AA23,AH28:AM33)</f>
        <v>-22.692597657275186</v>
      </c>
      <c r="AB29" s="4">
        <v>0.73126775557563184</v>
      </c>
      <c r="AC29" s="11">
        <v>0</v>
      </c>
      <c r="AD29" s="11">
        <v>0</v>
      </c>
      <c r="AE29" s="11">
        <v>0</v>
      </c>
      <c r="AF29" s="4">
        <v>0</v>
      </c>
      <c r="AH29" s="18">
        <v>-17.287438645573335</v>
      </c>
      <c r="AI29" s="9">
        <v>-0.18830659366985952</v>
      </c>
      <c r="AJ29">
        <v>0</v>
      </c>
      <c r="AK29">
        <v>0</v>
      </c>
      <c r="AL29">
        <v>0</v>
      </c>
      <c r="AM29" s="6">
        <v>0</v>
      </c>
    </row>
    <row r="30" spans="5:43" x14ac:dyDescent="0.2">
      <c r="M30" s="47" t="s">
        <v>67</v>
      </c>
      <c r="N30" s="48"/>
      <c r="O30" s="48"/>
      <c r="P30" s="48"/>
      <c r="Q30" s="48"/>
      <c r="R30" s="49"/>
      <c r="T30" s="2" cm="1">
        <f t="array" ref="T30:Y35">MMULT(N18:S23,AA29:AF34)</f>
        <v>-26.690259351734923</v>
      </c>
      <c r="U30" s="4">
        <v>0.8596515192530455</v>
      </c>
      <c r="V30" s="11">
        <v>0</v>
      </c>
      <c r="W30" s="11">
        <v>0</v>
      </c>
      <c r="X30" s="11">
        <v>0</v>
      </c>
      <c r="Y30" s="4">
        <v>0</v>
      </c>
      <c r="AA30" s="18">
        <v>-399.76616944597367</v>
      </c>
      <c r="AB30" s="9">
        <v>12.838376367741368</v>
      </c>
      <c r="AC30">
        <v>0</v>
      </c>
      <c r="AD30">
        <v>0</v>
      </c>
      <c r="AE30">
        <v>0</v>
      </c>
      <c r="AF30" s="6">
        <v>0</v>
      </c>
      <c r="AH30" s="12">
        <v>0</v>
      </c>
      <c r="AI30">
        <v>0</v>
      </c>
      <c r="AJ30" s="2">
        <v>3.4894446974734299</v>
      </c>
      <c r="AK30" s="4">
        <v>0.19018590923792209</v>
      </c>
      <c r="AL30">
        <v>0</v>
      </c>
      <c r="AM30" s="6">
        <v>0</v>
      </c>
    </row>
    <row r="31" spans="5:43" x14ac:dyDescent="0.2">
      <c r="M31" s="2" cm="1">
        <f t="array" ref="M31:R36">MMULT(F18:K23,T30:Y35)</f>
        <v>-17.278723817721929</v>
      </c>
      <c r="N31" s="4">
        <v>0.55443023915623035</v>
      </c>
      <c r="O31" s="11">
        <v>0</v>
      </c>
      <c r="P31" s="11">
        <v>0</v>
      </c>
      <c r="Q31" s="11">
        <v>0</v>
      </c>
      <c r="R31" s="4">
        <v>0</v>
      </c>
      <c r="T31" s="18">
        <v>-399.76616944597367</v>
      </c>
      <c r="U31" s="9">
        <v>12.838376367741368</v>
      </c>
      <c r="V31">
        <v>0</v>
      </c>
      <c r="W31">
        <v>0</v>
      </c>
      <c r="X31">
        <v>0</v>
      </c>
      <c r="Y31" s="6">
        <v>0</v>
      </c>
      <c r="AA31" s="12">
        <v>0</v>
      </c>
      <c r="AB31">
        <v>0</v>
      </c>
      <c r="AC31" s="2">
        <v>-4.2853586239793682</v>
      </c>
      <c r="AD31" s="4">
        <v>-0.23958760487289854</v>
      </c>
      <c r="AE31">
        <v>0</v>
      </c>
      <c r="AF31" s="6">
        <v>0</v>
      </c>
      <c r="AH31" s="12">
        <v>0</v>
      </c>
      <c r="AI31">
        <v>0</v>
      </c>
      <c r="AJ31" s="18">
        <v>49.654374485555351</v>
      </c>
      <c r="AK31" s="9">
        <v>2.9929009526178763</v>
      </c>
      <c r="AL31">
        <v>0</v>
      </c>
      <c r="AM31" s="6">
        <v>0</v>
      </c>
    </row>
    <row r="32" spans="5:43" x14ac:dyDescent="0.2">
      <c r="M32" s="18">
        <v>536.6848266103766</v>
      </c>
      <c r="N32" s="9">
        <v>-17.278723817721929</v>
      </c>
      <c r="O32">
        <v>0</v>
      </c>
      <c r="P32">
        <v>0</v>
      </c>
      <c r="Q32">
        <v>0</v>
      </c>
      <c r="R32" s="6">
        <v>0</v>
      </c>
      <c r="T32" s="12">
        <v>0</v>
      </c>
      <c r="U32">
        <v>0</v>
      </c>
      <c r="V32" s="2">
        <v>-4.5195016226667253</v>
      </c>
      <c r="W32" s="4">
        <v>-0.25501169560906284</v>
      </c>
      <c r="X32">
        <v>0</v>
      </c>
      <c r="Y32" s="6">
        <v>0</v>
      </c>
      <c r="AA32" s="12">
        <v>0</v>
      </c>
      <c r="AB32">
        <v>0</v>
      </c>
      <c r="AC32" s="18">
        <v>-23.414299868735664</v>
      </c>
      <c r="AD32" s="9">
        <v>-1.5424090736164318</v>
      </c>
      <c r="AE32">
        <v>0</v>
      </c>
      <c r="AF32" s="6">
        <v>0</v>
      </c>
      <c r="AH32" s="12">
        <v>0</v>
      </c>
      <c r="AI32">
        <v>0</v>
      </c>
      <c r="AJ32">
        <v>0</v>
      </c>
      <c r="AK32">
        <v>0</v>
      </c>
      <c r="AL32" s="2">
        <v>1</v>
      </c>
      <c r="AM32" s="4">
        <v>2.5530382435941368</v>
      </c>
    </row>
    <row r="33" spans="5:39" x14ac:dyDescent="0.2">
      <c r="M33" s="12">
        <v>0</v>
      </c>
      <c r="N33">
        <v>0</v>
      </c>
      <c r="O33" s="2">
        <v>-17.278723817721936</v>
      </c>
      <c r="P33" s="4">
        <v>-1.0104064429420956</v>
      </c>
      <c r="Q33">
        <v>0</v>
      </c>
      <c r="R33" s="6">
        <v>0</v>
      </c>
      <c r="T33" s="12">
        <v>0</v>
      </c>
      <c r="U33">
        <v>0</v>
      </c>
      <c r="V33" s="18">
        <v>-23.414299868735664</v>
      </c>
      <c r="W33" s="9">
        <v>-1.5424090736164318</v>
      </c>
      <c r="X33">
        <v>0</v>
      </c>
      <c r="Y33" s="6">
        <v>0</v>
      </c>
      <c r="AA33" s="12">
        <v>0</v>
      </c>
      <c r="AB33">
        <v>0</v>
      </c>
      <c r="AC33">
        <v>0</v>
      </c>
      <c r="AD33">
        <v>0</v>
      </c>
      <c r="AE33" s="2">
        <v>1</v>
      </c>
      <c r="AF33" s="4">
        <v>7.19492595921984</v>
      </c>
      <c r="AH33" s="18">
        <v>0</v>
      </c>
      <c r="AI33" s="8">
        <v>0</v>
      </c>
      <c r="AJ33" s="8">
        <v>0</v>
      </c>
      <c r="AK33" s="8">
        <v>0</v>
      </c>
      <c r="AL33" s="18">
        <v>0</v>
      </c>
      <c r="AM33" s="9">
        <v>1</v>
      </c>
    </row>
    <row r="34" spans="5:39" x14ac:dyDescent="0.2">
      <c r="M34" s="12">
        <v>0</v>
      </c>
      <c r="N34">
        <v>0</v>
      </c>
      <c r="O34" s="18">
        <v>-294.48970644198823</v>
      </c>
      <c r="P34" s="9">
        <v>-17.278723817721932</v>
      </c>
      <c r="Q34">
        <v>0</v>
      </c>
      <c r="R34" s="6">
        <v>0</v>
      </c>
      <c r="T34" s="12">
        <v>0</v>
      </c>
      <c r="U34">
        <v>0</v>
      </c>
      <c r="V34">
        <v>0</v>
      </c>
      <c r="W34">
        <v>0</v>
      </c>
      <c r="X34" s="2">
        <v>1</v>
      </c>
      <c r="Y34" s="4">
        <v>7.4270203450011252</v>
      </c>
      <c r="AA34" s="18">
        <v>0</v>
      </c>
      <c r="AB34" s="8">
        <v>0</v>
      </c>
      <c r="AC34" s="8">
        <v>0</v>
      </c>
      <c r="AD34" s="8">
        <v>0</v>
      </c>
      <c r="AE34" s="18">
        <v>0</v>
      </c>
      <c r="AF34" s="9">
        <v>1</v>
      </c>
    </row>
    <row r="35" spans="5:39" x14ac:dyDescent="0.2">
      <c r="M35" s="12">
        <v>0</v>
      </c>
      <c r="N35">
        <v>0</v>
      </c>
      <c r="O35">
        <v>0</v>
      </c>
      <c r="P35">
        <v>0</v>
      </c>
      <c r="Q35" s="2">
        <v>1</v>
      </c>
      <c r="R35" s="4">
        <v>9.7479642028139768</v>
      </c>
      <c r="T35" s="18">
        <v>0</v>
      </c>
      <c r="U35" s="8">
        <v>0</v>
      </c>
      <c r="V35" s="8">
        <v>0</v>
      </c>
      <c r="W35" s="8">
        <v>0</v>
      </c>
      <c r="X35" s="18">
        <v>0</v>
      </c>
      <c r="Y35" s="9">
        <v>1</v>
      </c>
    </row>
    <row r="36" spans="5:39" x14ac:dyDescent="0.2">
      <c r="M36" s="18">
        <v>0</v>
      </c>
      <c r="N36" s="8">
        <v>0</v>
      </c>
      <c r="O36" s="8">
        <v>0</v>
      </c>
      <c r="P36" s="8">
        <v>0</v>
      </c>
      <c r="Q36" s="18">
        <v>0</v>
      </c>
      <c r="R36" s="9">
        <v>1</v>
      </c>
    </row>
    <row r="40" spans="5:39" x14ac:dyDescent="0.2">
      <c r="S40" s="13" t="s">
        <v>11</v>
      </c>
      <c r="T40" s="20">
        <v>0.5</v>
      </c>
      <c r="U40" s="33" t="s">
        <v>12</v>
      </c>
      <c r="V40" s="20">
        <f t="array" ref="V40:V45">MMULT(M31:R36,T40:T45)</f>
        <v>-8.5839188849453407</v>
      </c>
      <c r="W40" s="33" t="s">
        <v>13</v>
      </c>
      <c r="X40" s="20">
        <f>T$40*M31+T$41*N31+T$42*O31+T$43*P31+T$44*Q31+T$45*R31</f>
        <v>-8.5839188849453407</v>
      </c>
      <c r="Y40" s="13" t="s">
        <v>60</v>
      </c>
      <c r="Z40" s="20">
        <f t="shared" ref="Z40:Z45" si="4">V40-X40</f>
        <v>0</v>
      </c>
    </row>
    <row r="41" spans="5:39" x14ac:dyDescent="0.2">
      <c r="S41" s="1"/>
      <c r="T41" s="21">
        <v>0.1</v>
      </c>
      <c r="V41" s="21">
        <v>266.61454092341609</v>
      </c>
      <c r="X41" s="21">
        <f t="shared" ref="X41:X45" si="5">T$40*M32+T$41*N32+T$42*O32+T$43*P32+T$44*Q32+T$45*R32</f>
        <v>266.61454092341609</v>
      </c>
      <c r="Z41" s="21">
        <f t="shared" si="4"/>
        <v>0</v>
      </c>
    </row>
    <row r="42" spans="5:39" x14ac:dyDescent="0.2">
      <c r="S42" s="1"/>
      <c r="T42" s="21">
        <v>-0.3</v>
      </c>
      <c r="V42" s="21">
        <v>5.3856984339050005</v>
      </c>
      <c r="X42" s="21">
        <f t="shared" si="5"/>
        <v>5.3856984339050005</v>
      </c>
      <c r="Z42" s="21">
        <f t="shared" si="4"/>
        <v>0</v>
      </c>
    </row>
    <row r="43" spans="5:39" x14ac:dyDescent="0.2">
      <c r="S43" s="1"/>
      <c r="T43" s="21">
        <v>-0.2</v>
      </c>
      <c r="V43" s="21">
        <v>91.802656696140858</v>
      </c>
      <c r="X43" s="21">
        <f t="shared" si="5"/>
        <v>91.802656696140858</v>
      </c>
      <c r="Z43" s="21">
        <f t="shared" si="4"/>
        <v>0</v>
      </c>
    </row>
    <row r="44" spans="5:39" x14ac:dyDescent="0.2">
      <c r="T44" s="21">
        <v>0.1</v>
      </c>
      <c r="V44" s="21">
        <v>4.973982101406988</v>
      </c>
      <c r="X44" s="21">
        <f t="shared" si="5"/>
        <v>4.973982101406988</v>
      </c>
      <c r="Z44" s="21">
        <f t="shared" si="4"/>
        <v>0</v>
      </c>
    </row>
    <row r="45" spans="5:39" x14ac:dyDescent="0.2">
      <c r="T45" s="22">
        <v>0.5</v>
      </c>
      <c r="V45" s="22">
        <v>0.5</v>
      </c>
      <c r="X45" s="22">
        <f t="shared" si="5"/>
        <v>0.5</v>
      </c>
      <c r="Z45" s="22">
        <f t="shared" si="4"/>
        <v>0</v>
      </c>
    </row>
    <row r="46" spans="5:39" x14ac:dyDescent="0.2">
      <c r="E46" s="1"/>
    </row>
    <row r="48" spans="5:39" x14ac:dyDescent="0.2">
      <c r="E48" s="1"/>
    </row>
  </sheetData>
  <mergeCells count="22">
    <mergeCell ref="E1:K1"/>
    <mergeCell ref="E2:G2"/>
    <mergeCell ref="E10:G10"/>
    <mergeCell ref="H10:J10"/>
    <mergeCell ref="M2:O2"/>
    <mergeCell ref="M10:O10"/>
    <mergeCell ref="M1:S1"/>
    <mergeCell ref="AH27:AM27"/>
    <mergeCell ref="AA28:AF28"/>
    <mergeCell ref="T29:Y29"/>
    <mergeCell ref="M30:R30"/>
    <mergeCell ref="AC1:AI1"/>
    <mergeCell ref="AC2:AE2"/>
    <mergeCell ref="AC10:AE10"/>
    <mergeCell ref="AK1:AQ1"/>
    <mergeCell ref="AK2:AM2"/>
    <mergeCell ref="AK10:AM10"/>
    <mergeCell ref="AN10:AP10"/>
    <mergeCell ref="X10:Z10"/>
    <mergeCell ref="U1:AA1"/>
    <mergeCell ref="U2:W2"/>
    <mergeCell ref="U10:W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2024-01-24T20:30:06Z</dcterms:modified>
</cp:coreProperties>
</file>