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21-Spreads4Tests/"/>
    </mc:Choice>
  </mc:AlternateContent>
  <xr:revisionPtr revIDLastSave="0" documentId="13_ncr:1_{B75ED890-372F-D547-9761-A7E79E05A00F}" xr6:coauthVersionLast="47" xr6:coauthVersionMax="47" xr10:uidLastSave="{00000000-0000-0000-0000-000000000000}"/>
  <bookViews>
    <workbookView xWindow="5580" yWindow="640" windowWidth="23260" windowHeight="19000" xr2:uid="{008B2FEE-BD6E-8742-A59F-ADD463C4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" i="1" l="1"/>
  <c r="M16" i="1"/>
  <c r="B17" i="1"/>
  <c r="E25" i="1" a="1"/>
  <c r="E25" i="1" s="1"/>
  <c r="I14" i="1"/>
  <c r="J14" i="1" s="1"/>
  <c r="B13" i="1"/>
  <c r="E20" i="1"/>
  <c r="D23" i="1"/>
  <c r="E28" i="1" l="1"/>
  <c r="E27" i="1"/>
  <c r="E26" i="1"/>
  <c r="B4" i="1"/>
  <c r="B3" i="1"/>
  <c r="H4" i="1"/>
  <c r="H8" i="1" s="1"/>
  <c r="E8" i="1" l="1"/>
  <c r="H5" i="1"/>
  <c r="E7" i="1" s="1"/>
  <c r="H6" i="1" l="1"/>
  <c r="H7" i="1"/>
  <c r="E6" i="1" s="1"/>
  <c r="E9" i="1" l="1"/>
  <c r="E10" i="1"/>
  <c r="F14" i="1" l="1"/>
  <c r="F13" i="1"/>
  <c r="E23" i="1" s="1"/>
  <c r="C23" i="1"/>
  <c r="D20" i="1" l="1"/>
  <c r="F22" i="1"/>
  <c r="F23" i="1"/>
  <c r="H28" i="1" s="1"/>
  <c r="C22" i="1"/>
  <c r="D21" i="1"/>
  <c r="H26" i="1" s="1"/>
  <c r="E22" i="1"/>
  <c r="H25" i="1" l="1"/>
  <c r="H27" i="1"/>
  <c r="K26" i="1" l="1"/>
  <c r="K28" i="1"/>
  <c r="K25" i="1"/>
  <c r="K27" i="1"/>
</calcChain>
</file>

<file path=xl/sharedStrings.xml><?xml version="1.0" encoding="utf-8"?>
<sst xmlns="http://schemas.openxmlformats.org/spreadsheetml/2006/main" count="58" uniqueCount="47">
  <si>
    <t>MeV</t>
  </si>
  <si>
    <r>
      <t>m</t>
    </r>
    <r>
      <rPr>
        <i/>
        <vertAlign val="subscript"/>
        <sz val="12"/>
        <color theme="1"/>
        <rFont val="Calibri (Body)"/>
      </rPr>
      <t>p</t>
    </r>
  </si>
  <si>
    <t>charge</t>
  </si>
  <si>
    <t>Reference particle</t>
  </si>
  <si>
    <r>
      <t>K</t>
    </r>
    <r>
      <rPr>
        <i/>
        <vertAlign val="subscript"/>
        <sz val="12"/>
        <color theme="1"/>
        <rFont val="Calibri (Body)"/>
      </rPr>
      <t>r</t>
    </r>
  </si>
  <si>
    <r>
      <t>E</t>
    </r>
    <r>
      <rPr>
        <vertAlign val="subscript"/>
        <sz val="12"/>
        <color theme="1"/>
        <rFont val="Calibri (Body)"/>
      </rPr>
      <t>r</t>
    </r>
  </si>
  <si>
    <r>
      <t>p</t>
    </r>
    <r>
      <rPr>
        <i/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</si>
  <si>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</si>
  <si>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Gabor lens</t>
  </si>
  <si>
    <t>q</t>
  </si>
  <si>
    <t>e</t>
  </si>
  <si>
    <r>
      <rPr>
        <sz val="12"/>
        <color theme="1"/>
        <rFont val="Symbol"/>
        <charset val="2"/>
      </rPr>
      <t>e</t>
    </r>
    <r>
      <rPr>
        <vertAlign val="subscript"/>
        <sz val="12"/>
        <color theme="1"/>
        <rFont val="Calibri (Body)"/>
      </rPr>
      <t>0</t>
    </r>
  </si>
  <si>
    <t>C</t>
  </si>
  <si>
    <t>F/m</t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</si>
  <si>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</si>
  <si>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</si>
  <si>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r>
      <t>n</t>
    </r>
    <r>
      <rPr>
        <i/>
        <vertAlign val="subscript"/>
        <sz val="12"/>
        <color theme="1"/>
        <rFont val="Calibri (Body)"/>
      </rPr>
      <t>e</t>
    </r>
  </si>
  <si>
    <r>
      <t>m</t>
    </r>
    <r>
      <rPr>
        <vertAlign val="superscript"/>
        <sz val="12"/>
        <color theme="1"/>
        <rFont val="Calibri (Body)"/>
      </rPr>
      <t>-3</t>
    </r>
  </si>
  <si>
    <t>k</t>
  </si>
  <si>
    <t>a</t>
  </si>
  <si>
    <t>Z</t>
  </si>
  <si>
    <t>c</t>
  </si>
  <si>
    <t>m/s</t>
  </si>
  <si>
    <t>kg</t>
  </si>
  <si>
    <t>m</t>
  </si>
  <si>
    <t>J-MeV relationship</t>
  </si>
  <si>
    <t>1/m</t>
  </si>
  <si>
    <t>f</t>
  </si>
  <si>
    <t>SI units</t>
  </si>
  <si>
    <t>Natural units</t>
  </si>
  <si>
    <t>B/l element</t>
  </si>
  <si>
    <r>
      <t>Length (</t>
    </r>
    <r>
      <rPr>
        <i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)</t>
    </r>
  </si>
  <si>
    <t>w</t>
  </si>
  <si>
    <r>
      <t>m</t>
    </r>
    <r>
      <rPr>
        <vertAlign val="superscript"/>
        <sz val="12"/>
        <color theme="1"/>
        <rFont val="Calibri (Body)"/>
      </rPr>
      <t>-0.5</t>
    </r>
  </si>
  <si>
    <r>
      <t>sin(</t>
    </r>
    <r>
      <rPr>
        <sz val="12"/>
        <color theme="1"/>
        <rFont val="Symbol"/>
        <charset val="2"/>
      </rPr>
      <t>w</t>
    </r>
    <r>
      <rPr>
        <i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)</t>
    </r>
  </si>
  <si>
    <r>
      <t>cos(</t>
    </r>
    <r>
      <rPr>
        <sz val="12"/>
        <color theme="1"/>
        <rFont val="Symbol"/>
        <charset val="2"/>
      </rPr>
      <t>w</t>
    </r>
    <r>
      <rPr>
        <i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)</t>
    </r>
  </si>
  <si>
    <t>Transfer matrix</t>
  </si>
  <si>
    <t>Rprime</t>
  </si>
  <si>
    <t>Check</t>
  </si>
  <si>
    <t>R</t>
  </si>
  <si>
    <t>Difference</t>
  </si>
  <si>
    <r>
      <t>m</t>
    </r>
    <r>
      <rPr>
        <vertAlign val="superscript"/>
        <sz val="12"/>
        <color theme="1"/>
        <rFont val="Calibri"/>
        <family val="2"/>
      </rPr>
      <t>-1</t>
    </r>
    <r>
      <rPr>
        <sz val="12"/>
        <color theme="1"/>
        <rFont val="Calibri"/>
        <family val="2"/>
        <charset val="2"/>
      </rPr>
      <t>-(MeV</t>
    </r>
    <r>
      <rPr>
        <vertAlign val="superscript"/>
        <sz val="12"/>
        <color theme="1"/>
        <rFont val="Calibri"/>
        <family val="2"/>
      </rPr>
      <t>-1</t>
    </r>
    <r>
      <rPr>
        <sz val="12"/>
        <color theme="1"/>
        <rFont val="Calibri"/>
        <family val="2"/>
        <charset val="2"/>
      </rPr>
      <t>) relationship</t>
    </r>
  </si>
  <si>
    <t>h(bar)c</t>
  </si>
  <si>
    <t>MeV fm</t>
  </si>
  <si>
    <t>fm</t>
  </si>
  <si>
    <t>MeV-1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</si>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</sst>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E+00"/>
    <numFmt numFmtId="169" formatCode="0.000"/>
  </numFmts>
  <fonts count="1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theme="1"/>
      <name val="Symbol"/>
      <charset val="2"/>
    </font>
    <font>
      <sz val="12"/>
      <color theme="1"/>
      <name val="Calibri"/>
      <family val="2"/>
      <charset val="2"/>
    </font>
    <font>
      <i/>
      <sz val="12"/>
      <color theme="1"/>
      <name val="Calibri"/>
      <family val="2"/>
      <scheme val="minor"/>
    </font>
    <font>
      <i/>
      <vertAlign val="subscript"/>
      <sz val="12"/>
      <color theme="1"/>
      <name val="Calibri (Body)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</font>
    <font>
      <i/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7" fillId="0" borderId="7" xfId="0" applyFont="1" applyBorder="1" applyAlignment="1">
      <alignment horizontal="right"/>
    </xf>
    <xf numFmtId="164" fontId="0" fillId="0" borderId="0" xfId="0" applyNumberFormat="1"/>
    <xf numFmtId="0" fontId="6" fillId="0" borderId="7" xfId="0" applyFont="1" applyBorder="1" applyAlignment="1">
      <alignment horizontal="right"/>
    </xf>
    <xf numFmtId="0" fontId="0" fillId="0" borderId="9" xfId="0" applyBorder="1"/>
    <xf numFmtId="11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164" fontId="0" fillId="0" borderId="8" xfId="0" applyNumberFormat="1" applyBorder="1"/>
    <xf numFmtId="1" fontId="0" fillId="0" borderId="0" xfId="0" applyNumberFormat="1"/>
    <xf numFmtId="0" fontId="7" fillId="0" borderId="0" xfId="0" applyFont="1" applyAlignment="1">
      <alignment horizontal="right"/>
    </xf>
    <xf numFmtId="0" fontId="5" fillId="0" borderId="7" xfId="0" applyFont="1" applyBorder="1" applyAlignment="1">
      <alignment horizontal="right"/>
    </xf>
    <xf numFmtId="0" fontId="6" fillId="0" borderId="9" xfId="0" applyFont="1" applyBorder="1" applyAlignment="1">
      <alignment horizontal="right"/>
    </xf>
    <xf numFmtId="11" fontId="0" fillId="0" borderId="10" xfId="0" applyNumberFormat="1" applyBorder="1"/>
    <xf numFmtId="0" fontId="7" fillId="6" borderId="0" xfId="0" applyFont="1" applyFill="1" applyAlignment="1">
      <alignment horizontal="right"/>
    </xf>
    <xf numFmtId="11" fontId="0" fillId="6" borderId="0" xfId="0" applyNumberFormat="1" applyFill="1"/>
    <xf numFmtId="0" fontId="0" fillId="6" borderId="8" xfId="0" applyFill="1" applyBorder="1"/>
    <xf numFmtId="0" fontId="0" fillId="6" borderId="0" xfId="0" applyFill="1"/>
    <xf numFmtId="0" fontId="0" fillId="6" borderId="0" xfId="0" applyFill="1" applyAlignment="1">
      <alignment horizontal="right"/>
    </xf>
    <xf numFmtId="0" fontId="5" fillId="0" borderId="0" xfId="0" applyFont="1" applyAlignment="1">
      <alignment horizontal="right"/>
    </xf>
    <xf numFmtId="0" fontId="0" fillId="0" borderId="9" xfId="0" applyBorder="1" applyAlignment="1">
      <alignment horizontal="righ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9" fillId="5" borderId="0" xfId="0" applyFont="1" applyFill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165" fontId="0" fillId="0" borderId="0" xfId="0" applyNumberFormat="1"/>
    <xf numFmtId="0" fontId="6" fillId="0" borderId="0" xfId="0" applyFont="1" applyBorder="1" applyAlignment="1">
      <alignment horizontal="right"/>
    </xf>
    <xf numFmtId="11" fontId="0" fillId="0" borderId="0" xfId="0" applyNumberFormat="1" applyBorder="1"/>
    <xf numFmtId="0" fontId="0" fillId="0" borderId="0" xfId="0" applyBorder="1"/>
    <xf numFmtId="164" fontId="0" fillId="2" borderId="0" xfId="0" applyNumberFormat="1" applyFill="1"/>
    <xf numFmtId="0" fontId="11" fillId="0" borderId="7" xfId="0" applyFont="1" applyBorder="1" applyAlignment="1">
      <alignment horizontal="right"/>
    </xf>
    <xf numFmtId="169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412750</xdr:colOff>
      <xdr:row>4</xdr:row>
      <xdr:rowOff>16510</xdr:rowOff>
    </xdr:from>
    <xdr:ext cx="1907638" cy="3926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8C65EB7-EB20-0542-8303-8F62EB1CCDE8}"/>
                </a:ext>
              </a:extLst>
            </xdr:cNvPr>
            <xdr:cNvSpPr txBox="1"/>
          </xdr:nvSpPr>
          <xdr:spPr>
            <a:xfrm>
              <a:off x="8947150" y="969010"/>
              <a:ext cx="1907638" cy="3926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𝑍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𝜀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sSubSup>
                          <m:sSub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𝛽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𝛾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sub>
                        </m:sSub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</m:den>
                    </m:f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0">
                        <a:latin typeface="Cambria Math" panose="02040503050406030204" pitchFamily="18" charset="0"/>
                      </a:rPr>
                      <m:t>[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SI</m:t>
                    </m:r>
                    <m:r>
                      <a:rPr lang="en-GB" sz="11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units</m:t>
                    </m:r>
                    <m:r>
                      <a:rPr lang="en-GB" sz="1100" b="0" i="0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GB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8C65EB7-EB20-0542-8303-8F62EB1CCDE8}"/>
                </a:ext>
              </a:extLst>
            </xdr:cNvPr>
            <xdr:cNvSpPr txBox="1"/>
          </xdr:nvSpPr>
          <xdr:spPr>
            <a:xfrm>
              <a:off x="8947150" y="969010"/>
              <a:ext cx="1907638" cy="3926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𝑘=(𝑍𝑒^2)/(2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</a:t>
              </a:r>
              <a:r>
                <a:rPr lang="en-GB" sz="1100" b="0" i="0">
                  <a:latin typeface="Cambria Math" panose="02040503050406030204" pitchFamily="18" charset="0"/>
                </a:rPr>
                <a:t>0 )  1/(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GB" sz="1100" b="0" i="0">
                  <a:latin typeface="Cambria Math" panose="02040503050406030204" pitchFamily="18" charset="0"/>
                </a:rPr>
                <a:t>𝑟^2 𝑐^2 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𝛾_</a:t>
              </a:r>
              <a:r>
                <a:rPr lang="en-GB" sz="1100" b="0" i="0">
                  <a:latin typeface="Cambria Math" panose="02040503050406030204" pitchFamily="18" charset="0"/>
                </a:rPr>
                <a:t>𝑟 𝑚_𝑝 ) 𝑛_𝑒  [SI units]</a:t>
              </a:r>
              <a:endParaRPr lang="en-GB" sz="1100" i="0"/>
            </a:p>
          </xdr:txBody>
        </xdr:sp>
      </mc:Fallback>
    </mc:AlternateContent>
    <xdr:clientData/>
  </xdr:oneCellAnchor>
  <xdr:oneCellAnchor>
    <xdr:from>
      <xdr:col>9</xdr:col>
      <xdr:colOff>402590</xdr:colOff>
      <xdr:row>6</xdr:row>
      <xdr:rowOff>54610</xdr:rowOff>
    </xdr:from>
    <xdr:ext cx="2865272" cy="3782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170D984-CBC7-473E-8EEC-B344EBD63F61}"/>
                </a:ext>
              </a:extLst>
            </xdr:cNvPr>
            <xdr:cNvSpPr txBox="1"/>
          </xdr:nvSpPr>
          <xdr:spPr>
            <a:xfrm>
              <a:off x="8936990" y="1464310"/>
              <a:ext cx="2865272" cy="37824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𝑍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𝜀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𝛾</m:t>
                            </m:r>
                          </m:e>
                          <m:sub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sub>
                        </m:sSub>
                        <m:sSub>
                          <m:sSubPr>
                            <m:ctrlP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𝒎</m:t>
                            </m:r>
                          </m:e>
                          <m:sub>
                            <m: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𝒑</m:t>
                            </m:r>
                          </m:sub>
                        </m:sSub>
                        <m:d>
                          <m:dPr>
                            <m:begChr m:val="["/>
                            <m:endChr m:val="]"/>
                            <m:ctrlP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GB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𝐌𝐞𝐕</m:t>
                            </m:r>
                          </m:e>
                        </m:d>
                      </m:num>
                      <m:den>
                        <m:sSubSup>
                          <m:sSubSupPr>
                            <m:ctrlPr>
                              <a:rPr lang="en-GB" sz="1100" b="1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1" i="1">
                                <a:latin typeface="Cambria Math" panose="02040503050406030204" pitchFamily="18" charset="0"/>
                              </a:rPr>
                              <m:t>𝒑</m:t>
                            </m:r>
                          </m:e>
                          <m:sub>
                            <m:r>
                              <a:rPr lang="en-GB" sz="1100" b="1" i="1">
                                <a:latin typeface="Cambria Math" panose="02040503050406030204" pitchFamily="18" charset="0"/>
                              </a:rPr>
                              <m:t>𝒓</m:t>
                            </m:r>
                          </m:sub>
                          <m:sup>
                            <m:r>
                              <a:rPr lang="en-GB" sz="1100" b="1" i="1"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bSup>
                        <m:d>
                          <m:dPr>
                            <m:begChr m:val="["/>
                            <m:endChr m:val="]"/>
                            <m:ctrlPr>
                              <a:rPr lang="en-GB" sz="11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𝑴𝒆𝑽</m:t>
                                </m:r>
                              </m:e>
                              <m:sup>
                                <m:r>
                                  <a:rPr lang="en-GB" sz="1100" b="1" i="1"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p>
                            </m:sSup>
                          </m:e>
                        </m:d>
                      </m:den>
                    </m:f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J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–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MeV</m:t>
                    </m:r>
                    <m:r>
                      <a:rPr lang="en-GB" sz="11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relationship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170D984-CBC7-473E-8EEC-B344EBD63F61}"/>
                </a:ext>
              </a:extLst>
            </xdr:cNvPr>
            <xdr:cNvSpPr txBox="1"/>
          </xdr:nvSpPr>
          <xdr:spPr>
            <a:xfrm>
              <a:off x="8936990" y="1464310"/>
              <a:ext cx="2865272" cy="37824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𝑘=(𝑍𝑒^2)/(2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</a:t>
              </a:r>
              <a:r>
                <a:rPr lang="en-GB" sz="1100" b="0" i="0">
                  <a:latin typeface="Cambria Math" panose="02040503050406030204" pitchFamily="18" charset="0"/>
                </a:rPr>
                <a:t>0 )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(𝛾_𝑟</a:t>
              </a:r>
              <a:r>
                <a:rPr lang="en-GB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𝒎_𝒑 [𝐌𝐞𝐕]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GB" sz="1100" b="1" i="0">
                  <a:latin typeface="Cambria Math" panose="02040503050406030204" pitchFamily="18" charset="0"/>
                </a:rPr>
                <a:t>𝒑_𝒓^𝟐 [〖</a:t>
              </a:r>
              <a:r>
                <a:rPr lang="en-GB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𝑴𝒆𝑽〗^</a:t>
              </a:r>
              <a:r>
                <a:rPr lang="en-GB" sz="1100" b="1" i="0">
                  <a:latin typeface="Cambria Math" panose="02040503050406030204" pitchFamily="18" charset="0"/>
                </a:rPr>
                <a:t>𝟐 ]</a:t>
              </a:r>
              <a:r>
                <a:rPr lang="en-GB" sz="1100" b="0" i="0">
                  <a:latin typeface="Cambria Math" panose="02040503050406030204" pitchFamily="18" charset="0"/>
                </a:rPr>
                <a:t> ) 𝑛_𝑒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GB" sz="1100" b="0" i="0">
                  <a:latin typeface="Cambria Math" panose="02040503050406030204" pitchFamily="18" charset="0"/>
                </a:rPr>
                <a:t>(J–MeV relationship)</a:t>
              </a:r>
              <a:endParaRPr lang="en-GB" sz="1100" i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O34"/>
  <sheetViews>
    <sheetView tabSelected="1" zoomScaleNormal="100" workbookViewId="0">
      <selection activeCell="N16" sqref="N16:N17"/>
    </sheetView>
  </sheetViews>
  <sheetFormatPr baseColWidth="10" defaultColWidth="11.1640625" defaultRowHeight="16" x14ac:dyDescent="0.2"/>
  <cols>
    <col min="1" max="1" width="21.83203125" style="1" bestFit="1" customWidth="1"/>
    <col min="2" max="2" width="12.1640625" bestFit="1" customWidth="1"/>
    <col min="3" max="4" width="12.83203125" bestFit="1" customWidth="1"/>
    <col min="5" max="5" width="12.1640625" bestFit="1" customWidth="1"/>
    <col min="11" max="11" width="12.1640625" bestFit="1" customWidth="1"/>
  </cols>
  <sheetData>
    <row r="1" spans="1:15" ht="21" x14ac:dyDescent="0.25">
      <c r="A1" s="49" t="s">
        <v>8</v>
      </c>
      <c r="B1" s="50"/>
      <c r="C1" s="50"/>
      <c r="D1" s="50"/>
      <c r="E1" s="50"/>
      <c r="F1" s="50"/>
      <c r="G1" s="50"/>
      <c r="H1" s="50"/>
      <c r="I1" s="51"/>
    </row>
    <row r="2" spans="1:15" x14ac:dyDescent="0.2">
      <c r="A2" s="54" t="s">
        <v>28</v>
      </c>
      <c r="B2" s="52"/>
      <c r="C2" s="53"/>
      <c r="D2" s="52" t="s">
        <v>8</v>
      </c>
      <c r="E2" s="52"/>
      <c r="F2" s="53"/>
      <c r="G2" s="58" t="s">
        <v>3</v>
      </c>
      <c r="H2" s="59"/>
      <c r="I2" s="60"/>
    </row>
    <row r="3" spans="1:15" ht="20" x14ac:dyDescent="0.25">
      <c r="A3" s="8" t="s">
        <v>20</v>
      </c>
      <c r="B3">
        <f>H9</f>
        <v>1</v>
      </c>
      <c r="C3" s="4"/>
      <c r="D3" s="21" t="s">
        <v>16</v>
      </c>
      <c r="E3" s="22">
        <v>1000000000000000</v>
      </c>
      <c r="F3" s="23" t="s">
        <v>17</v>
      </c>
      <c r="G3" s="8" t="s">
        <v>4</v>
      </c>
      <c r="H3" s="9">
        <v>20</v>
      </c>
      <c r="I3" s="4" t="s">
        <v>0</v>
      </c>
      <c r="K3" s="24" t="s">
        <v>30</v>
      </c>
    </row>
    <row r="4" spans="1:15" ht="18" x14ac:dyDescent="0.25">
      <c r="A4" s="8" t="s">
        <v>9</v>
      </c>
      <c r="B4" s="12">
        <f>H9*B5</f>
        <v>1.6021766339999999E-19</v>
      </c>
      <c r="C4" s="4" t="s">
        <v>12</v>
      </c>
      <c r="D4" s="25" t="s">
        <v>31</v>
      </c>
      <c r="E4" s="24">
        <v>0.5</v>
      </c>
      <c r="F4" s="23" t="s">
        <v>24</v>
      </c>
      <c r="G4" s="3" t="s">
        <v>5</v>
      </c>
      <c r="H4" s="9">
        <f>B11+H3</f>
        <v>958.27208815999995</v>
      </c>
      <c r="I4" s="4" t="s">
        <v>0</v>
      </c>
    </row>
    <row r="5" spans="1:15" ht="18" x14ac:dyDescent="0.25">
      <c r="A5" s="8" t="s">
        <v>10</v>
      </c>
      <c r="B5" s="12">
        <v>1.6021766339999999E-19</v>
      </c>
      <c r="C5" s="4" t="s">
        <v>12</v>
      </c>
      <c r="F5" s="4"/>
      <c r="G5" s="8" t="s">
        <v>6</v>
      </c>
      <c r="H5" s="9">
        <f>SQRT(H4^2 -B11^ 2)</f>
        <v>194.75852619692921</v>
      </c>
      <c r="I5" s="4" t="s">
        <v>0</v>
      </c>
    </row>
    <row r="6" spans="1:15" ht="18" x14ac:dyDescent="0.25">
      <c r="A6" s="8" t="s">
        <v>1</v>
      </c>
      <c r="B6" s="12">
        <v>1.6726219E-27</v>
      </c>
      <c r="C6" s="4" t="s">
        <v>23</v>
      </c>
      <c r="D6" s="17" t="s">
        <v>18</v>
      </c>
      <c r="E6" s="13">
        <f>(B3*B5^2/2/B7)/(H7^2*B8^2*H8*B6)*E3</f>
        <v>0.22857438187310988</v>
      </c>
      <c r="F6" s="4" t="s">
        <v>26</v>
      </c>
      <c r="G6" s="10" t="s">
        <v>7</v>
      </c>
      <c r="H6">
        <f>H5/B11</f>
        <v>0.20757148022900346</v>
      </c>
      <c r="I6" s="4"/>
    </row>
    <row r="7" spans="1:15" ht="18" x14ac:dyDescent="0.25">
      <c r="A7" s="10" t="s">
        <v>11</v>
      </c>
      <c r="B7" s="12">
        <v>8.8541878128000006E-12</v>
      </c>
      <c r="C7" s="4" t="s">
        <v>13</v>
      </c>
      <c r="E7" s="14">
        <f>(B3*B5^2/2/B7)*(B11*H8/H5^2*B16)*E3</f>
        <v>0.22857437861896687</v>
      </c>
      <c r="F7" s="15" t="s">
        <v>26</v>
      </c>
      <c r="G7" s="10" t="s">
        <v>15</v>
      </c>
      <c r="H7">
        <f>H5/H4</f>
        <v>0.20323927682260837</v>
      </c>
      <c r="I7" s="4"/>
    </row>
    <row r="8" spans="1:15" ht="18" x14ac:dyDescent="0.25">
      <c r="A8" s="10" t="s">
        <v>21</v>
      </c>
      <c r="B8" s="16">
        <v>299792458</v>
      </c>
      <c r="C8" s="4" t="s">
        <v>22</v>
      </c>
      <c r="E8" s="65">
        <f>B3*B13^2*H8*B11/(2*B14*H5^2)*E3*B17</f>
        <v>5870223104.7908945</v>
      </c>
      <c r="F8" s="15"/>
      <c r="G8" s="10" t="s">
        <v>14</v>
      </c>
      <c r="H8">
        <f>H4/B11</f>
        <v>1.0213157784957891</v>
      </c>
      <c r="I8" s="4"/>
    </row>
    <row r="9" spans="1:15" x14ac:dyDescent="0.2">
      <c r="A9" s="66" t="s">
        <v>42</v>
      </c>
      <c r="B9" s="67">
        <v>197.3269804</v>
      </c>
      <c r="C9" s="4" t="s">
        <v>43</v>
      </c>
      <c r="D9" s="17" t="s">
        <v>27</v>
      </c>
      <c r="E9" s="9">
        <f>1/(E6*E4)</f>
        <v>8.7498869453807568</v>
      </c>
      <c r="F9" s="4" t="s">
        <v>24</v>
      </c>
      <c r="G9" s="3" t="s">
        <v>2</v>
      </c>
      <c r="H9">
        <v>1</v>
      </c>
      <c r="I9" s="4"/>
    </row>
    <row r="10" spans="1:15" ht="19" x14ac:dyDescent="0.2">
      <c r="A10" s="55" t="s">
        <v>29</v>
      </c>
      <c r="B10" s="56"/>
      <c r="C10" s="57"/>
      <c r="D10" s="26" t="s">
        <v>32</v>
      </c>
      <c r="E10">
        <f>SQRT(E6)</f>
        <v>0.4780945323606095</v>
      </c>
      <c r="F10" s="4" t="s">
        <v>33</v>
      </c>
      <c r="G10" s="11"/>
      <c r="H10" s="5"/>
      <c r="I10" s="6"/>
    </row>
    <row r="11" spans="1:15" ht="18" x14ac:dyDescent="0.25">
      <c r="A11" s="8" t="s">
        <v>1</v>
      </c>
      <c r="B11" s="64">
        <v>938.27208815999995</v>
      </c>
      <c r="C11" s="4" t="s">
        <v>0</v>
      </c>
      <c r="D11" s="5"/>
      <c r="E11" s="5"/>
      <c r="F11" s="6"/>
      <c r="G11" s="1"/>
      <c r="L11" s="12"/>
      <c r="M11" s="12"/>
      <c r="N11" s="12"/>
      <c r="O11" s="12"/>
    </row>
    <row r="12" spans="1:15" x14ac:dyDescent="0.2">
      <c r="A12" s="18" t="s">
        <v>19</v>
      </c>
      <c r="B12" s="61">
        <v>7.2973525693000004E-3</v>
      </c>
      <c r="C12" s="4"/>
    </row>
    <row r="13" spans="1:15" x14ac:dyDescent="0.2">
      <c r="A13" s="8" t="s">
        <v>10</v>
      </c>
      <c r="B13">
        <f>SQRT(4*PI()*B12)</f>
        <v>0.30282212087208876</v>
      </c>
      <c r="C13" s="4"/>
      <c r="E13" s="7" t="s">
        <v>34</v>
      </c>
      <c r="F13" s="2">
        <f>SIN(E10*E4)</f>
        <v>0.23677709214660606</v>
      </c>
    </row>
    <row r="14" spans="1:15" ht="18" x14ac:dyDescent="0.25">
      <c r="A14" s="10" t="s">
        <v>11</v>
      </c>
      <c r="B14" s="64">
        <v>1</v>
      </c>
      <c r="C14" s="4"/>
      <c r="E14" s="27" t="s">
        <v>35</v>
      </c>
      <c r="F14" s="6">
        <f>COS(E10*E4)</f>
        <v>0.97156400130644904</v>
      </c>
      <c r="I14">
        <f>1/137</f>
        <v>7.2992700729927005E-3</v>
      </c>
      <c r="J14" s="12">
        <f>B12-I14</f>
        <v>-1.9175036927001135E-6</v>
      </c>
    </row>
    <row r="15" spans="1:15" x14ac:dyDescent="0.2">
      <c r="A15" s="66" t="s">
        <v>42</v>
      </c>
      <c r="B15" s="68">
        <v>1</v>
      </c>
      <c r="C15" s="4"/>
      <c r="J15" s="12"/>
    </row>
    <row r="16" spans="1:15" x14ac:dyDescent="0.2">
      <c r="A16" s="10" t="s">
        <v>25</v>
      </c>
      <c r="B16" s="63">
        <v>6241509074000</v>
      </c>
      <c r="C16" s="4"/>
      <c r="J16" s="12"/>
      <c r="K16">
        <v>1</v>
      </c>
      <c r="L16" t="s">
        <v>44</v>
      </c>
      <c r="M16">
        <f>1/B9</f>
        <v>5.0677307176793954E-3</v>
      </c>
      <c r="N16" t="s">
        <v>45</v>
      </c>
    </row>
    <row r="17" spans="1:13" ht="19" x14ac:dyDescent="0.2">
      <c r="A17" s="19" t="s">
        <v>41</v>
      </c>
      <c r="B17" s="20">
        <f>1/B9</f>
        <v>5.0677307176793954E-3</v>
      </c>
      <c r="C17" s="6"/>
      <c r="K17" s="12">
        <v>1E-13</v>
      </c>
      <c r="L17" t="s">
        <v>46</v>
      </c>
      <c r="M17">
        <f>M16</f>
        <v>5.0677307176793954E-3</v>
      </c>
    </row>
    <row r="18" spans="1:13" x14ac:dyDescent="0.2">
      <c r="A18" s="62"/>
      <c r="B18" s="63"/>
      <c r="C18" s="64"/>
    </row>
    <row r="19" spans="1:13" x14ac:dyDescent="0.2">
      <c r="A19" s="62"/>
      <c r="B19" s="63"/>
      <c r="C19" s="64"/>
      <c r="D19" s="41"/>
      <c r="E19" s="41"/>
      <c r="F19" s="42"/>
    </row>
    <row r="20" spans="1:13" x14ac:dyDescent="0.2">
      <c r="A20" s="12"/>
      <c r="D20" s="29">
        <f>F13/E10</f>
        <v>0.4952516210079006</v>
      </c>
      <c r="E20" s="29">
        <f>E15</f>
        <v>0</v>
      </c>
      <c r="F20" s="30">
        <v>0</v>
      </c>
    </row>
    <row r="21" spans="1:13" x14ac:dyDescent="0.2">
      <c r="A21"/>
      <c r="C21" s="40" t="s">
        <v>36</v>
      </c>
      <c r="D21" s="32">
        <f>F14</f>
        <v>0.97156400130644904</v>
      </c>
      <c r="E21" s="32">
        <v>0</v>
      </c>
      <c r="F21" s="33">
        <v>0</v>
      </c>
    </row>
    <row r="22" spans="1:13" x14ac:dyDescent="0.2">
      <c r="A22"/>
      <c r="C22" s="28">
        <f>F14</f>
        <v>0.97156400130644904</v>
      </c>
      <c r="D22" s="32">
        <v>0</v>
      </c>
      <c r="E22" s="32">
        <f>F14</f>
        <v>0.97156400130644904</v>
      </c>
      <c r="F22" s="33">
        <f>F13/E10</f>
        <v>0.4952516210079006</v>
      </c>
    </row>
    <row r="23" spans="1:13" x14ac:dyDescent="0.2">
      <c r="A23"/>
      <c r="C23" s="31">
        <f>-E10*F13</f>
        <v>-0.11320183314353657</v>
      </c>
      <c r="D23" s="35">
        <f>-E15</f>
        <v>0</v>
      </c>
      <c r="E23" s="35">
        <f>-E10*F13</f>
        <v>-0.11320183314353657</v>
      </c>
      <c r="F23" s="36">
        <f>F14</f>
        <v>0.97156400130644904</v>
      </c>
    </row>
    <row r="24" spans="1:13" x14ac:dyDescent="0.2">
      <c r="A24" s="38"/>
      <c r="B24" s="39"/>
      <c r="C24" s="31">
        <v>0</v>
      </c>
    </row>
    <row r="25" spans="1:13" x14ac:dyDescent="0.2">
      <c r="A25"/>
      <c r="C25" s="34">
        <v>0</v>
      </c>
      <c r="D25" s="37" t="s">
        <v>37</v>
      </c>
      <c r="E25" s="43" t="e">
        <f t="array" ref="E25:E28">MMULT(C20:F23,B27:B30)</f>
        <v>#VALUE!</v>
      </c>
      <c r="G25" s="37" t="s">
        <v>38</v>
      </c>
      <c r="H25" s="46">
        <f>B$27*C22+B$28*D20+B$29*E20+B$30*F20</f>
        <v>0.53530716275401458</v>
      </c>
      <c r="J25" s="37" t="s">
        <v>40</v>
      </c>
      <c r="K25" s="46" t="e">
        <f>E25-H25</f>
        <v>#VALUE!</v>
      </c>
    </row>
    <row r="26" spans="1:13" x14ac:dyDescent="0.2">
      <c r="A26"/>
      <c r="E26" s="44" t="e">
        <v>#VALUE!</v>
      </c>
      <c r="H26" s="47">
        <f>B$27*C23+B$28*D21+B$29*E21+B$30*F21</f>
        <v>4.0555483558876629E-2</v>
      </c>
      <c r="K26" s="47" t="e">
        <f>E26-H26</f>
        <v>#VALUE!</v>
      </c>
    </row>
    <row r="27" spans="1:13" x14ac:dyDescent="0.2">
      <c r="A27" s="37" t="s">
        <v>39</v>
      </c>
      <c r="B27" s="43">
        <v>0.5</v>
      </c>
      <c r="E27" s="44" t="e">
        <v>#VALUE!</v>
      </c>
      <c r="H27" s="47">
        <f>B$27*C24+B$28*D22+B$29*E22+B$30*F22</f>
        <v>-0.3905195245935148</v>
      </c>
      <c r="K27" s="47" t="e">
        <f>E27-H27</f>
        <v>#VALUE!</v>
      </c>
    </row>
    <row r="28" spans="1:13" x14ac:dyDescent="0.2">
      <c r="B28" s="44">
        <v>0.1</v>
      </c>
      <c r="E28" s="45" t="e">
        <v>#VALUE!</v>
      </c>
      <c r="H28" s="48">
        <f>B$27*C25+B$28*D23+B$29*E23+B$30*F23</f>
        <v>-0.16035225031822886</v>
      </c>
      <c r="K28" s="48" t="e">
        <f>E28-H28</f>
        <v>#VALUE!</v>
      </c>
    </row>
    <row r="29" spans="1:13" x14ac:dyDescent="0.2">
      <c r="A29" s="37"/>
      <c r="B29" s="44">
        <v>-0.3</v>
      </c>
    </row>
    <row r="30" spans="1:13" x14ac:dyDescent="0.2">
      <c r="B30" s="45">
        <v>-0.2</v>
      </c>
    </row>
    <row r="31" spans="1:13" x14ac:dyDescent="0.2">
      <c r="A31"/>
    </row>
    <row r="32" spans="1:13" x14ac:dyDescent="0.2">
      <c r="A32"/>
    </row>
    <row r="33" spans="1:1" x14ac:dyDescent="0.2">
      <c r="A33"/>
    </row>
    <row r="34" spans="1:1" x14ac:dyDescent="0.2">
      <c r="A34"/>
    </row>
  </sheetData>
  <mergeCells count="5">
    <mergeCell ref="A1:I1"/>
    <mergeCell ref="D2:F2"/>
    <mergeCell ref="A2:C2"/>
    <mergeCell ref="A10:C10"/>
    <mergeCell ref="G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Long, Kenneth R</cp:lastModifiedBy>
  <dcterms:created xsi:type="dcterms:W3CDTF">2023-08-07T07:21:12Z</dcterms:created>
  <dcterms:modified xsi:type="dcterms:W3CDTF">2023-12-06T07:19:35Z</dcterms:modified>
</cp:coreProperties>
</file>